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5640" windowWidth="20370" windowHeight="5700" tabRatio="983"/>
  </bookViews>
  <sheets>
    <sheet name="Tabela nr 6" sheetId="1" r:id="rId1"/>
    <sheet name="Tab. 6A -Drogi" sheetId="2" r:id="rId2"/>
    <sheet name="Tab. 6B Polit społ i rozwój prz" sheetId="3" r:id="rId3"/>
    <sheet name="Tab. 6C - Ochrona zdrowia" sheetId="4" r:id="rId4"/>
    <sheet name="Tab. 6D - Oświata" sheetId="5" r:id="rId5"/>
    <sheet name="Tab. 6E - Administracja" sheetId="6" r:id="rId6"/>
    <sheet name="Tab. 6F - Kultura" sheetId="7" r:id="rId7"/>
    <sheet name="Tab. 6G - Roln i ochrona środ." sheetId="8" r:id="rId8"/>
    <sheet name="Tab. 6H - Kultura fiz. i turyst" sheetId="9" r:id="rId9"/>
    <sheet name="Tab.6I - Planow. przestrz." sheetId="13" r:id="rId10"/>
    <sheet name="projekty UE" sheetId="10" r:id="rId11"/>
  </sheets>
  <definedNames>
    <definedName name="_xlnm._FilterDatabase" localSheetId="1" hidden="1">'Tab. 6A -Drogi'!$A$12:$EK$599</definedName>
    <definedName name="_xlnm._FilterDatabase" localSheetId="2" hidden="1">'Tab. 6B Polit społ i rozwój prz'!#REF!</definedName>
    <definedName name="_xlnm._FilterDatabase" localSheetId="7" hidden="1">'Tab. 6G - Roln i ochrona środ.'!$A$4:$Y$177</definedName>
    <definedName name="_xlnm.Print_Area" localSheetId="1">'Tab. 6A -Drogi'!$A$1:$Y$708</definedName>
    <definedName name="_xlnm.Print_Area" localSheetId="2">'Tab. 6B Polit społ i rozwój prz'!$A$1:$Y$234</definedName>
    <definedName name="_xlnm.Print_Area" localSheetId="3">'Tab. 6C - Ochrona zdrowia'!$A$1:$Y$138</definedName>
    <definedName name="_xlnm.Print_Area" localSheetId="4">'Tab. 6D - Oświata'!$A$1:$Y$70</definedName>
    <definedName name="_xlnm.Print_Area" localSheetId="5">'Tab. 6E - Administracja'!$A$1:$Y$260</definedName>
    <definedName name="_xlnm.Print_Area" localSheetId="6">'Tab. 6F - Kultura'!$A$1:$Y$107</definedName>
    <definedName name="_xlnm.Print_Area" localSheetId="7">'Tab. 6G - Roln i ochrona środ.'!$A$1:$Y$214</definedName>
    <definedName name="_xlnm.Print_Area" localSheetId="8">'Tab. 6H - Kultura fiz. i turyst'!$A$1:$Y$230</definedName>
    <definedName name="_xlnm.Print_Area" localSheetId="9">'Tab.6I - Planow. przestrz.'!$A$1:$Y$86</definedName>
    <definedName name="_xlnm.Print_Area" localSheetId="0">'Tabela nr 6'!$A$1:$V$93</definedName>
    <definedName name="_xlnm.Print_Titles" localSheetId="1">'Tab. 6A -Drogi'!$5:$8</definedName>
    <definedName name="_xlnm.Print_Titles" localSheetId="2">'Tab. 6B Polit społ i rozwój prz'!$4:$7</definedName>
    <definedName name="_xlnm.Print_Titles" localSheetId="3">'Tab. 6C - Ochrona zdrowia'!$6:$9</definedName>
    <definedName name="_xlnm.Print_Titles" localSheetId="4">'Tab. 6D - Oświata'!$6:$9</definedName>
    <definedName name="_xlnm.Print_Titles" localSheetId="5">'Tab. 6E - Administracja'!$6:$9</definedName>
    <definedName name="_xlnm.Print_Titles" localSheetId="6">'Tab. 6F - Kultura'!$4:$7</definedName>
    <definedName name="_xlnm.Print_Titles" localSheetId="7">'Tab. 6G - Roln i ochrona środ.'!$5:$8</definedName>
    <definedName name="_xlnm.Print_Titles" localSheetId="8">'Tab. 6H - Kultura fiz. i turyst'!$4:$7</definedName>
    <definedName name="_xlnm.Print_Titles" localSheetId="9">'Tab.6I - Planow. przestrz.'!$5:$8</definedName>
  </definedNames>
  <calcPr calcId="145621"/>
</workbook>
</file>

<file path=xl/calcChain.xml><?xml version="1.0" encoding="utf-8"?>
<calcChain xmlns="http://schemas.openxmlformats.org/spreadsheetml/2006/main">
  <c r="M133" i="4" l="1"/>
  <c r="M132" i="4" s="1"/>
  <c r="P133" i="4"/>
  <c r="P132" i="4" s="1"/>
  <c r="E133" i="4" l="1"/>
  <c r="E132" i="4" s="1"/>
  <c r="F133" i="4"/>
  <c r="F132" i="4" s="1"/>
  <c r="G133" i="4"/>
  <c r="G132" i="4" s="1"/>
  <c r="H133" i="4"/>
  <c r="H132" i="4" s="1"/>
  <c r="I133" i="4"/>
  <c r="I132" i="4" s="1"/>
  <c r="J133" i="4"/>
  <c r="J132" i="4" s="1"/>
  <c r="K133" i="4"/>
  <c r="K132" i="4" s="1"/>
  <c r="L133" i="4"/>
  <c r="L132" i="4" s="1"/>
  <c r="N133" i="4"/>
  <c r="N132" i="4" s="1"/>
  <c r="O133" i="4"/>
  <c r="O132" i="4" s="1"/>
  <c r="Q133" i="4"/>
  <c r="Q132" i="4" s="1"/>
  <c r="R133" i="4"/>
  <c r="R132" i="4" s="1"/>
  <c r="S133" i="4"/>
  <c r="S132" i="4" s="1"/>
  <c r="T133" i="4"/>
  <c r="T132" i="4" s="1"/>
  <c r="U133" i="4"/>
  <c r="U132" i="4" s="1"/>
  <c r="V133" i="4"/>
  <c r="V132" i="4" s="1"/>
  <c r="W133" i="4"/>
  <c r="W132" i="4" s="1"/>
  <c r="X134" i="4"/>
  <c r="X135" i="4"/>
  <c r="D135" i="4" s="1"/>
  <c r="X133" i="4" l="1"/>
  <c r="X132" i="4" s="1"/>
  <c r="D134" i="4"/>
  <c r="D133" i="4" s="1"/>
  <c r="D132" i="4" s="1"/>
  <c r="W86" i="1" l="1"/>
  <c r="X143" i="4"/>
  <c r="R143" i="4"/>
  <c r="AF144" i="4" s="1"/>
  <c r="S143" i="4"/>
  <c r="T143" i="4"/>
  <c r="U143" i="4"/>
  <c r="V143" i="4"/>
  <c r="W143" i="4"/>
  <c r="V16" i="4" l="1"/>
  <c r="U16" i="4"/>
  <c r="T16" i="4"/>
  <c r="S16" i="4"/>
  <c r="R16" i="4"/>
  <c r="W119" i="4" l="1"/>
  <c r="V119" i="4"/>
  <c r="U119" i="4"/>
  <c r="T119" i="4"/>
  <c r="S119" i="4"/>
  <c r="R119" i="4"/>
  <c r="X130" i="4"/>
  <c r="Q12" i="4" l="1"/>
  <c r="W11" i="4"/>
  <c r="V11" i="4"/>
  <c r="U11" i="4"/>
  <c r="T11" i="4"/>
  <c r="S11" i="4"/>
  <c r="R11" i="4"/>
  <c r="W15" i="4"/>
  <c r="V15" i="4"/>
  <c r="U15" i="4"/>
  <c r="T15" i="4"/>
  <c r="S15" i="4"/>
  <c r="R15" i="4"/>
  <c r="Q17" i="4"/>
  <c r="S153" i="9" l="1"/>
  <c r="Q61" i="3" l="1"/>
  <c r="Q56" i="3"/>
  <c r="P61" i="3"/>
  <c r="P60" i="3"/>
  <c r="P55" i="3"/>
  <c r="P56" i="3"/>
  <c r="S157" i="9" l="1"/>
  <c r="Q157" i="9"/>
  <c r="S176" i="9" l="1"/>
  <c r="R176" i="9"/>
  <c r="Q176" i="9"/>
  <c r="Q106" i="6" l="1"/>
  <c r="Q104" i="6"/>
  <c r="Q96" i="6"/>
  <c r="Q94" i="6"/>
  <c r="Q703" i="2" l="1"/>
  <c r="L34" i="10" l="1"/>
  <c r="M34" i="10"/>
  <c r="N34" i="10"/>
  <c r="O34" i="10"/>
  <c r="P34" i="10"/>
  <c r="Q34" i="10"/>
  <c r="R34" i="10"/>
  <c r="S34" i="10"/>
  <c r="T34" i="10"/>
  <c r="U34" i="10"/>
  <c r="L35" i="10"/>
  <c r="M35" i="10"/>
  <c r="N35" i="10"/>
  <c r="O35" i="10"/>
  <c r="P35" i="10"/>
  <c r="Q35" i="10"/>
  <c r="R35" i="10"/>
  <c r="S35" i="10"/>
  <c r="T35" i="10"/>
  <c r="U35" i="10"/>
  <c r="K35" i="10"/>
  <c r="K34" i="10"/>
  <c r="L32" i="10"/>
  <c r="M32" i="10"/>
  <c r="N32" i="10"/>
  <c r="O32" i="10"/>
  <c r="P32" i="10"/>
  <c r="Q32" i="10"/>
  <c r="R32" i="10"/>
  <c r="S32" i="10"/>
  <c r="T32" i="10"/>
  <c r="U32" i="10"/>
  <c r="L33" i="10"/>
  <c r="M33" i="10"/>
  <c r="N33" i="10"/>
  <c r="O33" i="10"/>
  <c r="P33" i="10"/>
  <c r="Q33" i="10"/>
  <c r="R33" i="10"/>
  <c r="S33" i="10"/>
  <c r="T33" i="10"/>
  <c r="U33" i="10"/>
  <c r="K33" i="10"/>
  <c r="K32" i="10"/>
  <c r="L30" i="10"/>
  <c r="M30" i="10"/>
  <c r="N30" i="10"/>
  <c r="O30" i="10"/>
  <c r="P30" i="10"/>
  <c r="Q30" i="10"/>
  <c r="R30" i="10"/>
  <c r="S30" i="10"/>
  <c r="T30" i="10"/>
  <c r="U30" i="10"/>
  <c r="L31" i="10"/>
  <c r="M31" i="10"/>
  <c r="N31" i="10"/>
  <c r="O31" i="10"/>
  <c r="P31" i="10"/>
  <c r="Q31" i="10"/>
  <c r="R31" i="10"/>
  <c r="S31" i="10"/>
  <c r="T31" i="10"/>
  <c r="U31" i="10"/>
  <c r="K31" i="10"/>
  <c r="K30" i="10"/>
  <c r="T29" i="10"/>
  <c r="U29" i="10"/>
  <c r="P29" i="10"/>
  <c r="Q29" i="10"/>
  <c r="R29" i="10"/>
  <c r="S29" i="10"/>
  <c r="L29" i="10"/>
  <c r="M29" i="10"/>
  <c r="N29" i="10"/>
  <c r="O29" i="10"/>
  <c r="L28" i="10" l="1"/>
  <c r="M28" i="10"/>
  <c r="N28" i="10"/>
  <c r="O28" i="10"/>
  <c r="P28" i="10"/>
  <c r="Q28" i="10"/>
  <c r="R28" i="10"/>
  <c r="S28" i="10"/>
  <c r="T28" i="10"/>
  <c r="U28" i="10"/>
  <c r="K29" i="10"/>
  <c r="K28" i="10"/>
  <c r="R196" i="9" l="1"/>
  <c r="O73" i="6" l="1"/>
  <c r="L18" i="10"/>
  <c r="M18" i="10"/>
  <c r="N18" i="10"/>
  <c r="O18" i="10"/>
  <c r="P18" i="10"/>
  <c r="Q18" i="10"/>
  <c r="R18" i="10"/>
  <c r="S18" i="10"/>
  <c r="T18" i="10"/>
  <c r="U18" i="10"/>
  <c r="K18" i="10"/>
  <c r="L17" i="10"/>
  <c r="M17" i="10"/>
  <c r="N17" i="10"/>
  <c r="O17" i="10"/>
  <c r="P17" i="10"/>
  <c r="Q17" i="10"/>
  <c r="R17" i="10"/>
  <c r="S17" i="10"/>
  <c r="T17" i="10"/>
  <c r="U17" i="10"/>
  <c r="K17" i="10"/>
  <c r="D509" i="2"/>
  <c r="X509" i="2"/>
  <c r="U49" i="3" l="1"/>
  <c r="P43" i="3"/>
  <c r="P40" i="3"/>
  <c r="Q234" i="3" l="1"/>
  <c r="Q229" i="3"/>
  <c r="Q226" i="3"/>
  <c r="P234" i="3"/>
  <c r="P229" i="3"/>
  <c r="P226" i="3"/>
  <c r="R222" i="3"/>
  <c r="R217" i="3"/>
  <c r="R214" i="3"/>
  <c r="Q222" i="3"/>
  <c r="Q217" i="3"/>
  <c r="Q214" i="3"/>
  <c r="P222" i="3"/>
  <c r="P217" i="3"/>
  <c r="P214" i="3"/>
  <c r="M217" i="3"/>
  <c r="M214" i="3"/>
  <c r="T13" i="9" l="1"/>
  <c r="S13" i="9"/>
  <c r="R13" i="9"/>
  <c r="Q13" i="9"/>
  <c r="P13" i="9"/>
  <c r="T15" i="9"/>
  <c r="U15" i="9"/>
  <c r="U14" i="9" s="1"/>
  <c r="U11" i="9" s="1"/>
  <c r="V15" i="9"/>
  <c r="S15" i="9"/>
  <c r="R15" i="9"/>
  <c r="Q15" i="9"/>
  <c r="X15" i="9" s="1"/>
  <c r="X14" i="9" s="1"/>
  <c r="P15" i="9"/>
  <c r="D199" i="9"/>
  <c r="U19" i="9"/>
  <c r="V19" i="9"/>
  <c r="W19" i="9"/>
  <c r="T19" i="9"/>
  <c r="S19" i="9"/>
  <c r="R19" i="9"/>
  <c r="Q19" i="9"/>
  <c r="D193" i="9"/>
  <c r="D202" i="9"/>
  <c r="D19" i="9"/>
  <c r="X188" i="9"/>
  <c r="X187" i="9"/>
  <c r="X190" i="9"/>
  <c r="X189" i="9"/>
  <c r="X186" i="9"/>
  <c r="D186" i="9"/>
  <c r="R186" i="9"/>
  <c r="S186" i="9"/>
  <c r="Q186" i="9"/>
  <c r="D187" i="9"/>
  <c r="D188" i="9"/>
  <c r="R187" i="9"/>
  <c r="S187" i="9"/>
  <c r="Q187" i="9"/>
  <c r="D189" i="9"/>
  <c r="D190" i="9"/>
  <c r="R189" i="9"/>
  <c r="S189" i="9"/>
  <c r="Q189" i="9"/>
  <c r="R191" i="9"/>
  <c r="S191" i="9"/>
  <c r="Q191" i="9"/>
  <c r="R192" i="9"/>
  <c r="S192" i="9"/>
  <c r="Q192" i="9"/>
  <c r="D192" i="9"/>
  <c r="D191" i="9"/>
  <c r="X197" i="9"/>
  <c r="X196" i="9" s="1"/>
  <c r="X195" i="9" s="1"/>
  <c r="X198" i="9"/>
  <c r="X199" i="9"/>
  <c r="R195" i="9"/>
  <c r="S195" i="9"/>
  <c r="T195" i="9"/>
  <c r="Q195" i="9"/>
  <c r="D198" i="9"/>
  <c r="S196" i="9"/>
  <c r="T196" i="9"/>
  <c r="Q196" i="9"/>
  <c r="D197" i="9"/>
  <c r="D196" i="9" s="1"/>
  <c r="D195" i="9" s="1"/>
  <c r="R198" i="9"/>
  <c r="S198" i="9"/>
  <c r="T198" i="9"/>
  <c r="Q198" i="9"/>
  <c r="R200" i="9"/>
  <c r="S200" i="9"/>
  <c r="T200" i="9"/>
  <c r="Q200" i="9"/>
  <c r="D201" i="9"/>
  <c r="D200" i="9"/>
  <c r="R201" i="9"/>
  <c r="S201" i="9"/>
  <c r="T201" i="9"/>
  <c r="Q201" i="9"/>
  <c r="X43" i="3"/>
  <c r="X514" i="2"/>
  <c r="D510" i="2"/>
  <c r="D515" i="2"/>
  <c r="C515" i="2"/>
  <c r="D514" i="2"/>
  <c r="C514" i="2"/>
  <c r="D61" i="13"/>
  <c r="P57" i="13"/>
  <c r="P56" i="13"/>
  <c r="Q57" i="13"/>
  <c r="Q56" i="13"/>
  <c r="R57" i="13"/>
  <c r="R56" i="13"/>
  <c r="S57" i="13"/>
  <c r="S56" i="13"/>
  <c r="T57" i="13"/>
  <c r="T56" i="13"/>
  <c r="O57" i="13"/>
  <c r="O56" i="13"/>
  <c r="M57" i="13"/>
  <c r="D57" i="13"/>
  <c r="R59" i="13"/>
  <c r="O63" i="13"/>
  <c r="D71" i="13"/>
  <c r="M63" i="13"/>
  <c r="P63" i="13"/>
  <c r="Q63" i="13"/>
  <c r="R63" i="13"/>
  <c r="S63" i="13"/>
  <c r="T63" i="13"/>
  <c r="D63" i="13"/>
  <c r="Z63" i="13"/>
  <c r="D69" i="13"/>
  <c r="Z57" i="13"/>
  <c r="U21" i="13"/>
  <c r="Q21" i="13"/>
  <c r="D21" i="13"/>
  <c r="D15" i="13"/>
  <c r="Z21" i="13"/>
  <c r="D24" i="13"/>
  <c r="D18" i="13"/>
  <c r="Z24" i="13"/>
  <c r="Z28" i="2"/>
  <c r="Z26" i="2"/>
  <c r="Z27" i="2"/>
  <c r="Z32" i="2"/>
  <c r="M518" i="2"/>
  <c r="D518" i="2"/>
  <c r="D436" i="2"/>
  <c r="D32" i="2"/>
  <c r="M512" i="2"/>
  <c r="P512" i="2"/>
  <c r="Q512" i="2"/>
  <c r="R512" i="2"/>
  <c r="S512" i="2"/>
  <c r="D512" i="2"/>
  <c r="D431" i="2"/>
  <c r="D20" i="2"/>
  <c r="Z30" i="2"/>
  <c r="Q24" i="13"/>
  <c r="Q436" i="2"/>
  <c r="Q32" i="2"/>
  <c r="Q22" i="3"/>
  <c r="N45" i="1"/>
  <c r="U24" i="13"/>
  <c r="U436" i="2"/>
  <c r="U32" i="2"/>
  <c r="U22" i="3"/>
  <c r="R45" i="1" s="1"/>
  <c r="R145" i="1" s="1"/>
  <c r="R207" i="1" s="1"/>
  <c r="M436" i="2"/>
  <c r="M32" i="2"/>
  <c r="J45" i="1"/>
  <c r="P436" i="2"/>
  <c r="P32" i="2"/>
  <c r="P22" i="3"/>
  <c r="M45" i="1"/>
  <c r="R436" i="2"/>
  <c r="R32" i="2"/>
  <c r="R22" i="3"/>
  <c r="O45" i="1"/>
  <c r="S436" i="2"/>
  <c r="S32" i="2"/>
  <c r="S22" i="3"/>
  <c r="P45" i="1"/>
  <c r="T436" i="2"/>
  <c r="T32" i="2"/>
  <c r="T22" i="3"/>
  <c r="Q45" i="1"/>
  <c r="V436" i="2"/>
  <c r="V32" i="2"/>
  <c r="V22" i="3"/>
  <c r="S45" i="1"/>
  <c r="W436" i="2"/>
  <c r="W32" i="2"/>
  <c r="W22" i="3"/>
  <c r="T45" i="1"/>
  <c r="M18" i="13"/>
  <c r="M431" i="2"/>
  <c r="M20" i="2"/>
  <c r="J29" i="1"/>
  <c r="P18" i="13"/>
  <c r="P431" i="2"/>
  <c r="P20" i="2"/>
  <c r="P16" i="3"/>
  <c r="Q18" i="13"/>
  <c r="Q431" i="2"/>
  <c r="Q20" i="2"/>
  <c r="Q40" i="3"/>
  <c r="Q16" i="3" s="1"/>
  <c r="R18" i="13"/>
  <c r="R431" i="2"/>
  <c r="R20" i="2"/>
  <c r="R40" i="3"/>
  <c r="R16" i="3" s="1"/>
  <c r="S18" i="13"/>
  <c r="S431" i="2"/>
  <c r="S20" i="2"/>
  <c r="S40" i="3"/>
  <c r="S16" i="3" s="1"/>
  <c r="T18" i="13"/>
  <c r="T431" i="2"/>
  <c r="T20" i="2"/>
  <c r="T40" i="3"/>
  <c r="T16" i="3" s="1"/>
  <c r="U431" i="2"/>
  <c r="U20" i="2"/>
  <c r="U16" i="3"/>
  <c r="R29" i="1"/>
  <c r="V431" i="2"/>
  <c r="V20" i="2"/>
  <c r="V16" i="3"/>
  <c r="S29" i="1"/>
  <c r="W431" i="2"/>
  <c r="W20" i="2"/>
  <c r="W16" i="3"/>
  <c r="T29" i="1"/>
  <c r="U20" i="3"/>
  <c r="Q20" i="3"/>
  <c r="M47" i="3"/>
  <c r="P20" i="3"/>
  <c r="P19" i="3" s="1"/>
  <c r="R20" i="3"/>
  <c r="S20" i="3"/>
  <c r="T20" i="3"/>
  <c r="V20" i="3"/>
  <c r="V19" i="3" s="1"/>
  <c r="V18" i="3" s="1"/>
  <c r="W20" i="3"/>
  <c r="M15" i="13"/>
  <c r="M38" i="3"/>
  <c r="P15" i="13"/>
  <c r="P14" i="3"/>
  <c r="Q15" i="13"/>
  <c r="Q14" i="3"/>
  <c r="R15" i="13"/>
  <c r="R14" i="3"/>
  <c r="S15" i="13"/>
  <c r="S14" i="3"/>
  <c r="T15" i="13"/>
  <c r="T14" i="3"/>
  <c r="U14" i="3"/>
  <c r="V14" i="3"/>
  <c r="W14" i="3"/>
  <c r="P57" i="6"/>
  <c r="P55" i="6"/>
  <c r="P52" i="6"/>
  <c r="P50" i="6"/>
  <c r="P231" i="6"/>
  <c r="P229" i="6"/>
  <c r="P226" i="6"/>
  <c r="P224" i="6"/>
  <c r="R220" i="6"/>
  <c r="Q220" i="6"/>
  <c r="P220" i="6"/>
  <c r="R218" i="6"/>
  <c r="Q218" i="6"/>
  <c r="P218" i="6"/>
  <c r="R215" i="6"/>
  <c r="Q215" i="6"/>
  <c r="P215" i="6"/>
  <c r="R212" i="6"/>
  <c r="Q212" i="6"/>
  <c r="P212" i="6"/>
  <c r="R211" i="6"/>
  <c r="Q211" i="6"/>
  <c r="P211" i="6"/>
  <c r="D129" i="6"/>
  <c r="W132" i="6"/>
  <c r="V132" i="6"/>
  <c r="U132" i="6"/>
  <c r="T132" i="6"/>
  <c r="S132" i="6"/>
  <c r="R132" i="6"/>
  <c r="Q132" i="6"/>
  <c r="P132" i="6"/>
  <c r="R124" i="6"/>
  <c r="Q124" i="6"/>
  <c r="P124" i="6"/>
  <c r="R123" i="6"/>
  <c r="Q123" i="6"/>
  <c r="P123" i="6"/>
  <c r="W121" i="6"/>
  <c r="V121" i="6"/>
  <c r="U121" i="6"/>
  <c r="T121" i="6"/>
  <c r="S121" i="6"/>
  <c r="R121" i="6"/>
  <c r="Q121" i="6"/>
  <c r="P121" i="6"/>
  <c r="W119" i="6"/>
  <c r="V119" i="6"/>
  <c r="U119" i="6"/>
  <c r="T119" i="6"/>
  <c r="S119" i="6"/>
  <c r="R119" i="6"/>
  <c r="Q119" i="6"/>
  <c r="P119" i="6"/>
  <c r="W129" i="6"/>
  <c r="V129" i="6"/>
  <c r="U129" i="6"/>
  <c r="T129" i="6"/>
  <c r="S129" i="6"/>
  <c r="R129" i="6"/>
  <c r="Q129" i="6"/>
  <c r="P129" i="6"/>
  <c r="Q128" i="6"/>
  <c r="P128" i="6"/>
  <c r="X127" i="6"/>
  <c r="D127" i="6"/>
  <c r="Q126" i="6"/>
  <c r="Q118" i="6"/>
  <c r="P118" i="6"/>
  <c r="P113" i="6"/>
  <c r="W113" i="6"/>
  <c r="V113" i="6"/>
  <c r="U113" i="6"/>
  <c r="T113" i="6"/>
  <c r="S113" i="6"/>
  <c r="R113" i="6"/>
  <c r="Q113" i="6"/>
  <c r="W110" i="6"/>
  <c r="V110" i="6"/>
  <c r="U110" i="6"/>
  <c r="T110" i="6"/>
  <c r="S110" i="6"/>
  <c r="R110" i="6"/>
  <c r="Q110" i="6"/>
  <c r="P110" i="6"/>
  <c r="R109" i="6"/>
  <c r="Q109" i="6"/>
  <c r="P109" i="6"/>
  <c r="X108" i="6"/>
  <c r="D108" i="6"/>
  <c r="W107" i="6"/>
  <c r="V107" i="6"/>
  <c r="U107" i="6"/>
  <c r="T107" i="6"/>
  <c r="S107" i="6"/>
  <c r="R107" i="6"/>
  <c r="Q107" i="6"/>
  <c r="P107" i="6"/>
  <c r="W106" i="6"/>
  <c r="V106" i="6"/>
  <c r="U106" i="6"/>
  <c r="T106" i="6"/>
  <c r="S106" i="6"/>
  <c r="R106" i="6"/>
  <c r="P106" i="6"/>
  <c r="W105" i="6"/>
  <c r="V105" i="6"/>
  <c r="U105" i="6"/>
  <c r="T105" i="6"/>
  <c r="S105" i="6"/>
  <c r="R105" i="6"/>
  <c r="Q105" i="6"/>
  <c r="P105" i="6"/>
  <c r="W104" i="6"/>
  <c r="V104" i="6"/>
  <c r="U104" i="6"/>
  <c r="T104" i="6"/>
  <c r="S104" i="6"/>
  <c r="R104" i="6"/>
  <c r="P104" i="6"/>
  <c r="W100" i="6"/>
  <c r="V100" i="6"/>
  <c r="U100" i="6"/>
  <c r="T100" i="6"/>
  <c r="S100" i="6"/>
  <c r="R100" i="6"/>
  <c r="Q100" i="6"/>
  <c r="P100" i="6"/>
  <c r="R99" i="6"/>
  <c r="Q99" i="6"/>
  <c r="P99" i="6"/>
  <c r="W96" i="6"/>
  <c r="V96" i="6"/>
  <c r="U96" i="6"/>
  <c r="T96" i="6"/>
  <c r="S96" i="6"/>
  <c r="R96" i="6"/>
  <c r="P96" i="6"/>
  <c r="T94" i="6"/>
  <c r="P94" i="6"/>
  <c r="P695" i="2"/>
  <c r="P663" i="2"/>
  <c r="P662" i="2"/>
  <c r="P658" i="2"/>
  <c r="P659" i="2"/>
  <c r="R84" i="8"/>
  <c r="P84" i="8"/>
  <c r="Q67" i="5"/>
  <c r="P67" i="5"/>
  <c r="Q70" i="5"/>
  <c r="P70" i="5"/>
  <c r="Q35" i="5"/>
  <c r="P35" i="5"/>
  <c r="Q37" i="5"/>
  <c r="P37" i="5"/>
  <c r="R42" i="5"/>
  <c r="Q42" i="5"/>
  <c r="P42" i="5"/>
  <c r="Q36" i="3"/>
  <c r="Q37" i="3"/>
  <c r="Q43" i="3"/>
  <c r="Q42" i="3"/>
  <c r="Q34" i="3"/>
  <c r="X34" i="3" s="1"/>
  <c r="R34" i="3"/>
  <c r="S34" i="3"/>
  <c r="T34" i="3"/>
  <c r="P34" i="3"/>
  <c r="P33" i="3" s="1"/>
  <c r="P37" i="3"/>
  <c r="P36" i="3"/>
  <c r="P42" i="3"/>
  <c r="T49" i="3"/>
  <c r="S49" i="3"/>
  <c r="R49" i="3"/>
  <c r="Q49" i="3"/>
  <c r="U170" i="9"/>
  <c r="V170" i="9"/>
  <c r="W170" i="9"/>
  <c r="T167" i="9"/>
  <c r="U167" i="9"/>
  <c r="V167" i="9"/>
  <c r="W167" i="9"/>
  <c r="T165" i="9"/>
  <c r="U165" i="9"/>
  <c r="V165" i="9"/>
  <c r="W165" i="9"/>
  <c r="S165" i="9"/>
  <c r="E66" i="9"/>
  <c r="E65" i="9" s="1"/>
  <c r="E32" i="9"/>
  <c r="E34" i="9"/>
  <c r="E31" i="9"/>
  <c r="E91" i="9"/>
  <c r="E88" i="9"/>
  <c r="E127" i="9"/>
  <c r="E124" i="9"/>
  <c r="E100" i="9"/>
  <c r="E97" i="9"/>
  <c r="E109" i="9"/>
  <c r="E106" i="9"/>
  <c r="E145" i="9"/>
  <c r="E142" i="9"/>
  <c r="E118" i="9"/>
  <c r="E115" i="9"/>
  <c r="E167" i="9"/>
  <c r="E164" i="9" s="1"/>
  <c r="F66" i="9"/>
  <c r="F65" i="9" s="1"/>
  <c r="F32" i="9"/>
  <c r="F34" i="9"/>
  <c r="F31" i="9"/>
  <c r="F91" i="9"/>
  <c r="F88" i="9"/>
  <c r="F127" i="9"/>
  <c r="F124" i="9"/>
  <c r="F100" i="9"/>
  <c r="F97" i="9"/>
  <c r="F109" i="9"/>
  <c r="F106" i="9"/>
  <c r="F145" i="9"/>
  <c r="F142" i="9"/>
  <c r="F118" i="9"/>
  <c r="F115" i="9"/>
  <c r="F167" i="9"/>
  <c r="F164" i="9" s="1"/>
  <c r="G66" i="9"/>
  <c r="G65" i="9" s="1"/>
  <c r="G32" i="9"/>
  <c r="G34" i="9"/>
  <c r="G31" i="9"/>
  <c r="G91" i="9"/>
  <c r="G88" i="9"/>
  <c r="G127" i="9"/>
  <c r="G124" i="9"/>
  <c r="G100" i="9"/>
  <c r="G97" i="9"/>
  <c r="G109" i="9"/>
  <c r="G106" i="9"/>
  <c r="G145" i="9"/>
  <c r="G142" i="9"/>
  <c r="G118" i="9"/>
  <c r="G115" i="9"/>
  <c r="G167" i="9"/>
  <c r="G164" i="9" s="1"/>
  <c r="H66" i="9"/>
  <c r="H65" i="9" s="1"/>
  <c r="H32" i="9"/>
  <c r="H34" i="9"/>
  <c r="H31" i="9"/>
  <c r="H91" i="9"/>
  <c r="H88" i="9"/>
  <c r="H127" i="9"/>
  <c r="H124" i="9"/>
  <c r="H100" i="9"/>
  <c r="H97" i="9"/>
  <c r="H109" i="9"/>
  <c r="H106" i="9"/>
  <c r="H145" i="9"/>
  <c r="H142" i="9"/>
  <c r="H118" i="9"/>
  <c r="H115" i="9"/>
  <c r="H167" i="9"/>
  <c r="H164" i="9" s="1"/>
  <c r="I66" i="9"/>
  <c r="I65" i="9" s="1"/>
  <c r="I32" i="9"/>
  <c r="I34" i="9"/>
  <c r="I31" i="9"/>
  <c r="I91" i="9"/>
  <c r="I88" i="9"/>
  <c r="I127" i="9"/>
  <c r="I124" i="9"/>
  <c r="I100" i="9"/>
  <c r="I97" i="9"/>
  <c r="I109" i="9"/>
  <c r="I106" i="9"/>
  <c r="I145" i="9"/>
  <c r="I142" i="9"/>
  <c r="I118" i="9"/>
  <c r="I115" i="9"/>
  <c r="I167" i="9"/>
  <c r="I164" i="9" s="1"/>
  <c r="J66" i="9"/>
  <c r="J65" i="9" s="1"/>
  <c r="J32" i="9"/>
  <c r="J34" i="9"/>
  <c r="J31" i="9"/>
  <c r="J91" i="9"/>
  <c r="J88" i="9"/>
  <c r="J127" i="9"/>
  <c r="J124" i="9"/>
  <c r="J100" i="9"/>
  <c r="J97" i="9"/>
  <c r="J109" i="9"/>
  <c r="J106" i="9"/>
  <c r="J145" i="9"/>
  <c r="J142" i="9"/>
  <c r="J118" i="9"/>
  <c r="J115" i="9"/>
  <c r="J167" i="9"/>
  <c r="J164" i="9" s="1"/>
  <c r="K66" i="9"/>
  <c r="K65" i="9" s="1"/>
  <c r="K32" i="9"/>
  <c r="K34" i="9"/>
  <c r="K31" i="9"/>
  <c r="K89" i="9"/>
  <c r="K91" i="9"/>
  <c r="K88" i="9"/>
  <c r="K127" i="9"/>
  <c r="K124" i="9"/>
  <c r="K100" i="9"/>
  <c r="K97" i="9"/>
  <c r="K109" i="9"/>
  <c r="K106" i="9"/>
  <c r="K143" i="9"/>
  <c r="K145" i="9"/>
  <c r="K142" i="9"/>
  <c r="K118" i="9"/>
  <c r="K115" i="9"/>
  <c r="K165" i="9"/>
  <c r="K167" i="9"/>
  <c r="K164" i="9"/>
  <c r="L66" i="9"/>
  <c r="L65" i="9" s="1"/>
  <c r="L32" i="9"/>
  <c r="L34" i="9"/>
  <c r="L31" i="9"/>
  <c r="L89" i="9"/>
  <c r="L91" i="9"/>
  <c r="L88" i="9"/>
  <c r="L127" i="9"/>
  <c r="L125" i="9"/>
  <c r="L124" i="9"/>
  <c r="L100" i="9"/>
  <c r="L97" i="9"/>
  <c r="L107" i="9"/>
  <c r="L109" i="9"/>
  <c r="L106" i="9"/>
  <c r="L143" i="9"/>
  <c r="L145" i="9"/>
  <c r="L142" i="9"/>
  <c r="L116" i="9"/>
  <c r="L118" i="9"/>
  <c r="L115" i="9"/>
  <c r="L165" i="9"/>
  <c r="L167" i="9"/>
  <c r="L164" i="9"/>
  <c r="M66" i="9"/>
  <c r="M65" i="9" s="1"/>
  <c r="M32" i="9"/>
  <c r="M34" i="9"/>
  <c r="M31" i="9"/>
  <c r="M90" i="9"/>
  <c r="M89" i="9"/>
  <c r="M91" i="9"/>
  <c r="M88" i="9"/>
  <c r="M128" i="9"/>
  <c r="M127" i="9"/>
  <c r="M126" i="9"/>
  <c r="M125" i="9"/>
  <c r="M124" i="9"/>
  <c r="M101" i="9"/>
  <c r="M100" i="9"/>
  <c r="O99" i="9"/>
  <c r="M99" i="9"/>
  <c r="M98" i="9"/>
  <c r="M97" i="9"/>
  <c r="O108" i="9"/>
  <c r="M108" i="9"/>
  <c r="M107" i="9"/>
  <c r="M110" i="9"/>
  <c r="M109" i="9"/>
  <c r="M106" i="9"/>
  <c r="M144" i="9"/>
  <c r="M143" i="9"/>
  <c r="M146" i="9"/>
  <c r="M145" i="9"/>
  <c r="M142" i="9"/>
  <c r="O117" i="9"/>
  <c r="M117" i="9"/>
  <c r="M116" i="9"/>
  <c r="M119" i="9"/>
  <c r="M118" i="9"/>
  <c r="M115" i="9"/>
  <c r="M166" i="9"/>
  <c r="M165" i="9" s="1"/>
  <c r="M164" i="9" s="1"/>
  <c r="M168" i="9"/>
  <c r="M167" i="9" s="1"/>
  <c r="N67" i="9"/>
  <c r="N66" i="9"/>
  <c r="N65" i="9"/>
  <c r="N32" i="9"/>
  <c r="N34" i="9"/>
  <c r="N31" i="9"/>
  <c r="N91" i="9"/>
  <c r="N88" i="9"/>
  <c r="N127" i="9"/>
  <c r="N125" i="9"/>
  <c r="N124" i="9"/>
  <c r="N100" i="9"/>
  <c r="N98" i="9"/>
  <c r="N97" i="9"/>
  <c r="N107" i="9"/>
  <c r="N109" i="9"/>
  <c r="N106" i="9"/>
  <c r="N145" i="9"/>
  <c r="N142" i="9"/>
  <c r="N116" i="9"/>
  <c r="N118" i="9"/>
  <c r="N115" i="9"/>
  <c r="N167" i="9"/>
  <c r="N164" i="9"/>
  <c r="O65" i="9"/>
  <c r="O32" i="9"/>
  <c r="O34" i="9"/>
  <c r="O31" i="9"/>
  <c r="O91" i="9"/>
  <c r="O88" i="9"/>
  <c r="O127" i="9"/>
  <c r="O125" i="9"/>
  <c r="O124" i="9"/>
  <c r="O100" i="9"/>
  <c r="O98" i="9"/>
  <c r="O97" i="9"/>
  <c r="O107" i="9"/>
  <c r="O109" i="9"/>
  <c r="O106" i="9"/>
  <c r="O145" i="9"/>
  <c r="O142" i="9"/>
  <c r="O116" i="9"/>
  <c r="O118" i="9"/>
  <c r="O115" i="9"/>
  <c r="O167" i="9"/>
  <c r="O164" i="9" s="1"/>
  <c r="P65" i="9"/>
  <c r="P32" i="9"/>
  <c r="P34" i="9"/>
  <c r="P31" i="9"/>
  <c r="P89" i="9"/>
  <c r="P88" i="9"/>
  <c r="P127" i="9"/>
  <c r="P125" i="9"/>
  <c r="P124" i="9"/>
  <c r="P99" i="9"/>
  <c r="P98" i="9"/>
  <c r="P97" i="9"/>
  <c r="P108" i="9"/>
  <c r="P107" i="9"/>
  <c r="P109" i="9"/>
  <c r="P106" i="9"/>
  <c r="P143" i="9"/>
  <c r="P145" i="9"/>
  <c r="P142" i="9"/>
  <c r="P116" i="9"/>
  <c r="P118" i="9"/>
  <c r="P115" i="9"/>
  <c r="P165" i="9"/>
  <c r="P167" i="9"/>
  <c r="P164" i="9" s="1"/>
  <c r="Q65" i="9"/>
  <c r="Q32" i="9"/>
  <c r="Q34" i="9"/>
  <c r="Q31" i="9"/>
  <c r="Q88" i="9"/>
  <c r="Q128" i="9"/>
  <c r="Q127" i="9"/>
  <c r="Q125" i="9"/>
  <c r="Q124" i="9"/>
  <c r="Q100" i="9"/>
  <c r="Q99" i="9"/>
  <c r="Q98" i="9"/>
  <c r="Q97" i="9"/>
  <c r="Q108" i="9"/>
  <c r="Q107" i="9"/>
  <c r="Q110" i="9"/>
  <c r="Q109" i="9"/>
  <c r="Q106" i="9"/>
  <c r="Q143" i="9"/>
  <c r="Q145" i="9"/>
  <c r="Q142" i="9"/>
  <c r="Q116" i="9"/>
  <c r="Q118" i="9"/>
  <c r="Q115" i="9"/>
  <c r="Q165" i="9"/>
  <c r="Q167" i="9"/>
  <c r="Q164" i="9"/>
  <c r="R65" i="9"/>
  <c r="R32" i="9"/>
  <c r="R34" i="9"/>
  <c r="R31" i="9"/>
  <c r="R88" i="9"/>
  <c r="R127" i="9"/>
  <c r="R125" i="9"/>
  <c r="R124" i="9"/>
  <c r="R98" i="9"/>
  <c r="R100" i="9"/>
  <c r="R97" i="9"/>
  <c r="R108" i="9"/>
  <c r="R107" i="9"/>
  <c r="R110" i="9"/>
  <c r="R109" i="9"/>
  <c r="R106" i="9"/>
  <c r="R143" i="9"/>
  <c r="R145" i="9"/>
  <c r="R142" i="9"/>
  <c r="R116" i="9"/>
  <c r="R118" i="9"/>
  <c r="R115" i="9"/>
  <c r="R165" i="9"/>
  <c r="R167" i="9"/>
  <c r="S167" i="9"/>
  <c r="S65" i="9"/>
  <c r="S32" i="9"/>
  <c r="S34" i="9"/>
  <c r="S31" i="9"/>
  <c r="S88" i="9"/>
  <c r="S127" i="9"/>
  <c r="S125" i="9"/>
  <c r="S124" i="9"/>
  <c r="S97" i="9"/>
  <c r="S142" i="9"/>
  <c r="T164" i="9"/>
  <c r="T65" i="9"/>
  <c r="T32" i="9"/>
  <c r="T34" i="9"/>
  <c r="T31" i="9"/>
  <c r="T88" i="9"/>
  <c r="T127" i="9"/>
  <c r="T125" i="9"/>
  <c r="T124" i="9"/>
  <c r="T142" i="9"/>
  <c r="U164" i="9"/>
  <c r="U10" i="9" s="1"/>
  <c r="U65" i="9"/>
  <c r="U32" i="9"/>
  <c r="U34" i="9"/>
  <c r="U31" i="9"/>
  <c r="U88" i="9"/>
  <c r="U127" i="9"/>
  <c r="U124" i="9"/>
  <c r="U142" i="9"/>
  <c r="V164" i="9"/>
  <c r="V10" i="9" s="1"/>
  <c r="V65" i="9"/>
  <c r="V32" i="9"/>
  <c r="V34" i="9"/>
  <c r="V31" i="9"/>
  <c r="V88" i="9"/>
  <c r="V127" i="9"/>
  <c r="V124" i="9"/>
  <c r="V142" i="9"/>
  <c r="W164" i="9"/>
  <c r="W10" i="9" s="1"/>
  <c r="W65" i="9"/>
  <c r="W32" i="9"/>
  <c r="W34" i="9"/>
  <c r="W31" i="9"/>
  <c r="W88" i="9"/>
  <c r="W127" i="9"/>
  <c r="W124" i="9"/>
  <c r="W142" i="9"/>
  <c r="E50" i="9"/>
  <c r="E49" i="9" s="1"/>
  <c r="E73" i="9"/>
  <c r="E72" i="9" s="1"/>
  <c r="E23" i="9"/>
  <c r="E25" i="9"/>
  <c r="E22" i="9"/>
  <c r="E41" i="9"/>
  <c r="E43" i="9"/>
  <c r="E40" i="9"/>
  <c r="E59" i="9"/>
  <c r="E56" i="9"/>
  <c r="E82" i="9"/>
  <c r="E79" i="9"/>
  <c r="E136" i="9"/>
  <c r="E133" i="9"/>
  <c r="E156" i="9"/>
  <c r="E151" i="9"/>
  <c r="E178" i="9"/>
  <c r="E173" i="9"/>
  <c r="F50" i="9"/>
  <c r="F49" i="9" s="1"/>
  <c r="F73" i="9"/>
  <c r="F72" i="9" s="1"/>
  <c r="F23" i="9"/>
  <c r="F25" i="9"/>
  <c r="F22" i="9"/>
  <c r="F41" i="9"/>
  <c r="F43" i="9"/>
  <c r="F40" i="9"/>
  <c r="F59" i="9"/>
  <c r="F56" i="9"/>
  <c r="F82" i="9"/>
  <c r="F79" i="9"/>
  <c r="F136" i="9"/>
  <c r="F133" i="9"/>
  <c r="F156" i="9"/>
  <c r="F151" i="9"/>
  <c r="F178" i="9"/>
  <c r="F173" i="9"/>
  <c r="G50" i="9"/>
  <c r="G49" i="9"/>
  <c r="G73" i="9"/>
  <c r="G72" i="9"/>
  <c r="G23" i="9"/>
  <c r="G25" i="9"/>
  <c r="G22" i="9"/>
  <c r="G41" i="9"/>
  <c r="G43" i="9"/>
  <c r="G40" i="9"/>
  <c r="G59" i="9"/>
  <c r="G56" i="9"/>
  <c r="G82" i="9"/>
  <c r="G79" i="9"/>
  <c r="G136" i="9"/>
  <c r="G133" i="9"/>
  <c r="G156" i="9"/>
  <c r="G151" i="9"/>
  <c r="G178" i="9"/>
  <c r="G173" i="9"/>
  <c r="H50" i="9"/>
  <c r="H49" i="9" s="1"/>
  <c r="H73" i="9"/>
  <c r="H72" i="9" s="1"/>
  <c r="H23" i="9"/>
  <c r="H25" i="9"/>
  <c r="H22" i="9"/>
  <c r="H41" i="9"/>
  <c r="H43" i="9"/>
  <c r="H40" i="9"/>
  <c r="H59" i="9"/>
  <c r="H56" i="9"/>
  <c r="H82" i="9"/>
  <c r="H79" i="9"/>
  <c r="H136" i="9"/>
  <c r="H133" i="9"/>
  <c r="H156" i="9"/>
  <c r="H151" i="9"/>
  <c r="H178" i="9"/>
  <c r="H173" i="9"/>
  <c r="I50" i="9"/>
  <c r="I49" i="9" s="1"/>
  <c r="I73" i="9"/>
  <c r="I72" i="9" s="1"/>
  <c r="I23" i="9"/>
  <c r="I25" i="9"/>
  <c r="I22" i="9"/>
  <c r="I41" i="9"/>
  <c r="I43" i="9"/>
  <c r="I40" i="9"/>
  <c r="I59" i="9"/>
  <c r="I56" i="9"/>
  <c r="I82" i="9"/>
  <c r="I79" i="9"/>
  <c r="I136" i="9"/>
  <c r="I133" i="9"/>
  <c r="I156" i="9"/>
  <c r="I151" i="9"/>
  <c r="I178" i="9"/>
  <c r="I173" i="9"/>
  <c r="J50" i="9"/>
  <c r="J49" i="9" s="1"/>
  <c r="J73" i="9"/>
  <c r="J72" i="9" s="1"/>
  <c r="J23" i="9"/>
  <c r="J25" i="9"/>
  <c r="J22" i="9"/>
  <c r="J41" i="9"/>
  <c r="J43" i="9"/>
  <c r="J40" i="9"/>
  <c r="J59" i="9"/>
  <c r="J56" i="9"/>
  <c r="J82" i="9"/>
  <c r="J79" i="9"/>
  <c r="J136" i="9"/>
  <c r="J133" i="9"/>
  <c r="J156" i="9"/>
  <c r="J151" i="9"/>
  <c r="J178" i="9"/>
  <c r="J173" i="9"/>
  <c r="K50" i="9"/>
  <c r="K49" i="9" s="1"/>
  <c r="K73" i="9"/>
  <c r="K72" i="9" s="1"/>
  <c r="K23" i="9"/>
  <c r="K25" i="9"/>
  <c r="K22" i="9"/>
  <c r="K41" i="9"/>
  <c r="K43" i="9"/>
  <c r="K40" i="9"/>
  <c r="K59" i="9"/>
  <c r="K56" i="9"/>
  <c r="K80" i="9"/>
  <c r="K82" i="9"/>
  <c r="K79" i="9"/>
  <c r="K134" i="9"/>
  <c r="K136" i="9"/>
  <c r="K133" i="9"/>
  <c r="K152" i="9"/>
  <c r="K156" i="9"/>
  <c r="K151" i="9" s="1"/>
  <c r="K174" i="9"/>
  <c r="K178" i="9"/>
  <c r="K173" i="9"/>
  <c r="L50" i="9"/>
  <c r="L49" i="9" s="1"/>
  <c r="L73" i="9"/>
  <c r="L72" i="9" s="1"/>
  <c r="L23" i="9"/>
  <c r="L25" i="9"/>
  <c r="L22" i="9"/>
  <c r="L41" i="9"/>
  <c r="L43" i="9"/>
  <c r="L40" i="9"/>
  <c r="L59" i="9"/>
  <c r="L56" i="9"/>
  <c r="L80" i="9"/>
  <c r="L82" i="9"/>
  <c r="L79" i="9"/>
  <c r="L134" i="9"/>
  <c r="L136" i="9"/>
  <c r="L133" i="9"/>
  <c r="L152" i="9"/>
  <c r="L156" i="9"/>
  <c r="L151" i="9" s="1"/>
  <c r="L174" i="9"/>
  <c r="L178" i="9"/>
  <c r="L173" i="9"/>
  <c r="M50" i="9"/>
  <c r="M49" i="9"/>
  <c r="M73" i="9"/>
  <c r="M72" i="9"/>
  <c r="M23" i="9"/>
  <c r="M25" i="9"/>
  <c r="M22" i="9"/>
  <c r="M41" i="9"/>
  <c r="M43" i="9"/>
  <c r="M40" i="9"/>
  <c r="M59" i="9"/>
  <c r="M56" i="9"/>
  <c r="M80" i="9"/>
  <c r="M82" i="9"/>
  <c r="M79" i="9"/>
  <c r="M135" i="9"/>
  <c r="M134" i="9"/>
  <c r="M137" i="9"/>
  <c r="M136" i="9"/>
  <c r="M133" i="9"/>
  <c r="M153" i="9"/>
  <c r="M152" i="9"/>
  <c r="M151" i="9" s="1"/>
  <c r="M157" i="9"/>
  <c r="M156" i="9"/>
  <c r="M175" i="9"/>
  <c r="M174" i="9"/>
  <c r="M179" i="9"/>
  <c r="M178" i="9"/>
  <c r="M173" i="9"/>
  <c r="N50" i="9"/>
  <c r="N49" i="9"/>
  <c r="N73" i="9"/>
  <c r="N72" i="9"/>
  <c r="N23" i="9"/>
  <c r="N25" i="9"/>
  <c r="N22" i="9"/>
  <c r="N41" i="9"/>
  <c r="N43" i="9"/>
  <c r="N40" i="9"/>
  <c r="N59" i="9"/>
  <c r="N56" i="9"/>
  <c r="N80" i="9"/>
  <c r="N82" i="9"/>
  <c r="N79" i="9"/>
  <c r="N134" i="9"/>
  <c r="N136" i="9"/>
  <c r="N133" i="9"/>
  <c r="N156" i="9"/>
  <c r="N151" i="9"/>
  <c r="N178" i="9"/>
  <c r="N173" i="9"/>
  <c r="O50" i="9"/>
  <c r="O49" i="9"/>
  <c r="O73" i="9"/>
  <c r="O72" i="9"/>
  <c r="O23" i="9"/>
  <c r="O25" i="9"/>
  <c r="O22" i="9"/>
  <c r="O41" i="9"/>
  <c r="O43" i="9"/>
  <c r="O40" i="9"/>
  <c r="O59" i="9"/>
  <c r="O57" i="9"/>
  <c r="O56" i="9"/>
  <c r="O80" i="9"/>
  <c r="O82" i="9"/>
  <c r="O79" i="9"/>
  <c r="O134" i="9"/>
  <c r="O136" i="9"/>
  <c r="O133" i="9"/>
  <c r="O156" i="9"/>
  <c r="O151" i="9" s="1"/>
  <c r="O9" i="9" s="1"/>
  <c r="O178" i="9"/>
  <c r="O173" i="9"/>
  <c r="P50" i="9"/>
  <c r="P49" i="9"/>
  <c r="P72" i="9"/>
  <c r="P23" i="9"/>
  <c r="P25" i="9"/>
  <c r="P22" i="9"/>
  <c r="P41" i="9"/>
  <c r="P43" i="9"/>
  <c r="P40" i="9"/>
  <c r="P59" i="9"/>
  <c r="P56" i="9"/>
  <c r="P80" i="9"/>
  <c r="P79" i="9"/>
  <c r="P134" i="9"/>
  <c r="P133" i="9"/>
  <c r="P152" i="9"/>
  <c r="P156" i="9"/>
  <c r="P151" i="9"/>
  <c r="P174" i="9"/>
  <c r="P178" i="9"/>
  <c r="P173" i="9"/>
  <c r="Q50" i="9"/>
  <c r="Q49" i="9"/>
  <c r="Q72" i="9"/>
  <c r="Q23" i="9"/>
  <c r="Q25" i="9"/>
  <c r="Q22" i="9"/>
  <c r="Q41" i="9"/>
  <c r="Q43" i="9"/>
  <c r="Q40" i="9"/>
  <c r="Q59" i="9"/>
  <c r="Q56" i="9"/>
  <c r="Q79" i="9"/>
  <c r="Q133" i="9"/>
  <c r="Q152" i="9"/>
  <c r="Q156" i="9"/>
  <c r="Q174" i="9"/>
  <c r="Q178" i="9"/>
  <c r="Q173" i="9"/>
  <c r="R50" i="9"/>
  <c r="R49" i="9"/>
  <c r="R72" i="9"/>
  <c r="R139" i="9"/>
  <c r="R134" i="9"/>
  <c r="R23" i="9"/>
  <c r="R25" i="9"/>
  <c r="R22" i="9"/>
  <c r="R41" i="9"/>
  <c r="R43" i="9"/>
  <c r="R40" i="9"/>
  <c r="R59" i="9"/>
  <c r="R56" i="9"/>
  <c r="R79" i="9"/>
  <c r="R152" i="9"/>
  <c r="R156" i="9"/>
  <c r="R174" i="9"/>
  <c r="R178" i="9"/>
  <c r="R173" i="9"/>
  <c r="S50" i="9"/>
  <c r="S49" i="9"/>
  <c r="S72" i="9"/>
  <c r="S23" i="9"/>
  <c r="S25" i="9"/>
  <c r="S22" i="9"/>
  <c r="S41" i="9"/>
  <c r="S43" i="9"/>
  <c r="S40" i="9"/>
  <c r="S59" i="9"/>
  <c r="S56" i="9"/>
  <c r="S79" i="9"/>
  <c r="S133" i="9"/>
  <c r="S152" i="9"/>
  <c r="S156" i="9"/>
  <c r="S151" i="9"/>
  <c r="S174" i="9"/>
  <c r="S178" i="9"/>
  <c r="S173" i="9"/>
  <c r="T50" i="9"/>
  <c r="T49" i="9"/>
  <c r="T72" i="9"/>
  <c r="T23" i="9"/>
  <c r="T25" i="9"/>
  <c r="T22" i="9"/>
  <c r="T41" i="9"/>
  <c r="T43" i="9"/>
  <c r="T40" i="9"/>
  <c r="T59" i="9"/>
  <c r="T56" i="9"/>
  <c r="T79" i="9"/>
  <c r="T133" i="9"/>
  <c r="T151" i="9"/>
  <c r="T173" i="9"/>
  <c r="U49" i="9"/>
  <c r="U72" i="9"/>
  <c r="U9" i="9" s="1"/>
  <c r="U23" i="9"/>
  <c r="U25" i="9"/>
  <c r="U22" i="9"/>
  <c r="U41" i="9"/>
  <c r="U43" i="9"/>
  <c r="U40" i="9"/>
  <c r="U59" i="9"/>
  <c r="U56" i="9"/>
  <c r="U79" i="9"/>
  <c r="U133" i="9"/>
  <c r="U151" i="9"/>
  <c r="U173" i="9"/>
  <c r="V72" i="9"/>
  <c r="V23" i="9"/>
  <c r="V25" i="9"/>
  <c r="V22" i="9"/>
  <c r="V41" i="9"/>
  <c r="V43" i="9"/>
  <c r="V40" i="9"/>
  <c r="V49" i="9"/>
  <c r="V59" i="9"/>
  <c r="V56" i="9"/>
  <c r="V79" i="9"/>
  <c r="V133" i="9"/>
  <c r="V151" i="9"/>
  <c r="V173" i="9"/>
  <c r="V9" i="9"/>
  <c r="W72" i="9"/>
  <c r="W23" i="9"/>
  <c r="W25" i="9"/>
  <c r="W22" i="9"/>
  <c r="W41" i="9"/>
  <c r="W43" i="9"/>
  <c r="W40" i="9"/>
  <c r="W49" i="9"/>
  <c r="W59" i="9"/>
  <c r="W56" i="9"/>
  <c r="W79" i="9"/>
  <c r="W133" i="9"/>
  <c r="W151" i="9"/>
  <c r="W173" i="9"/>
  <c r="W9" i="9"/>
  <c r="D67" i="9"/>
  <c r="D66" i="9"/>
  <c r="D65" i="9" s="1"/>
  <c r="D33" i="9"/>
  <c r="D32" i="9"/>
  <c r="D35" i="9"/>
  <c r="D34" i="9"/>
  <c r="D31" i="9"/>
  <c r="D90" i="9"/>
  <c r="D89" i="9"/>
  <c r="D92" i="9"/>
  <c r="D91" i="9"/>
  <c r="D88" i="9"/>
  <c r="D128" i="9"/>
  <c r="D127" i="9"/>
  <c r="D126" i="9"/>
  <c r="D125" i="9"/>
  <c r="D124" i="9"/>
  <c r="D99" i="9"/>
  <c r="D98" i="9"/>
  <c r="D101" i="9"/>
  <c r="D100" i="9"/>
  <c r="D97" i="9"/>
  <c r="D108" i="9"/>
  <c r="D107" i="9"/>
  <c r="D110" i="9"/>
  <c r="D109" i="9"/>
  <c r="D106" i="9"/>
  <c r="D144" i="9"/>
  <c r="D143" i="9"/>
  <c r="D146" i="9"/>
  <c r="D145" i="9"/>
  <c r="D142" i="9"/>
  <c r="D117" i="9"/>
  <c r="D116" i="9"/>
  <c r="D119" i="9"/>
  <c r="D118" i="9"/>
  <c r="D115" i="9"/>
  <c r="D166" i="9"/>
  <c r="D165" i="9" s="1"/>
  <c r="D168" i="9"/>
  <c r="D167" i="9" s="1"/>
  <c r="D74" i="9"/>
  <c r="D73" i="9"/>
  <c r="D72" i="9" s="1"/>
  <c r="D24" i="9"/>
  <c r="D23" i="9"/>
  <c r="D26" i="9"/>
  <c r="D25" i="9"/>
  <c r="D22" i="9"/>
  <c r="D42" i="9"/>
  <c r="D41" i="9"/>
  <c r="D44" i="9"/>
  <c r="D43" i="9"/>
  <c r="D40" i="9"/>
  <c r="D51" i="9"/>
  <c r="D50" i="9"/>
  <c r="D49" i="9"/>
  <c r="D60" i="9"/>
  <c r="D59" i="9"/>
  <c r="D58" i="9"/>
  <c r="D57" i="9"/>
  <c r="D56" i="9"/>
  <c r="D79" i="9"/>
  <c r="D135" i="9"/>
  <c r="D134" i="9"/>
  <c r="D137" i="9"/>
  <c r="D136" i="9"/>
  <c r="D133" i="9"/>
  <c r="D153" i="9"/>
  <c r="D152" i="9" s="1"/>
  <c r="D157" i="9"/>
  <c r="D156" i="9" s="1"/>
  <c r="D175" i="9"/>
  <c r="D174" i="9"/>
  <c r="D179" i="9"/>
  <c r="D178" i="9"/>
  <c r="D173" i="9"/>
  <c r="E19" i="9"/>
  <c r="F19" i="9"/>
  <c r="G19" i="9"/>
  <c r="H19" i="9"/>
  <c r="I19" i="9"/>
  <c r="J19" i="9"/>
  <c r="K47" i="9"/>
  <c r="K54" i="9"/>
  <c r="K19" i="9"/>
  <c r="L19" i="9"/>
  <c r="M104" i="9"/>
  <c r="M113" i="9"/>
  <c r="M131" i="9"/>
  <c r="M140" i="9"/>
  <c r="M149" i="9"/>
  <c r="M122" i="9"/>
  <c r="M162" i="9"/>
  <c r="M171" i="9"/>
  <c r="M184" i="9"/>
  <c r="M19" i="9"/>
  <c r="N19" i="9"/>
  <c r="O70" i="9"/>
  <c r="O19" i="9"/>
  <c r="P19" i="9"/>
  <c r="Q113" i="9"/>
  <c r="D29" i="9"/>
  <c r="D47" i="9"/>
  <c r="D54" i="9"/>
  <c r="D63" i="9"/>
  <c r="D70" i="9"/>
  <c r="D38" i="9"/>
  <c r="D77" i="9"/>
  <c r="D86" i="9"/>
  <c r="D104" i="9"/>
  <c r="D113" i="9"/>
  <c r="D95" i="9"/>
  <c r="D131" i="9"/>
  <c r="D140" i="9"/>
  <c r="D149" i="9"/>
  <c r="D122" i="9"/>
  <c r="D162" i="9"/>
  <c r="D171" i="9"/>
  <c r="D184" i="9"/>
  <c r="E15" i="9"/>
  <c r="F15" i="9"/>
  <c r="G15" i="9"/>
  <c r="H15" i="9"/>
  <c r="I15" i="9"/>
  <c r="J15" i="9"/>
  <c r="K15" i="9"/>
  <c r="L15" i="9"/>
  <c r="M15" i="9"/>
  <c r="N15" i="9"/>
  <c r="O15" i="9"/>
  <c r="W15" i="9"/>
  <c r="W14" i="9" s="1"/>
  <c r="D83" i="9"/>
  <c r="E13" i="9"/>
  <c r="F13" i="9"/>
  <c r="G13" i="9"/>
  <c r="H13" i="9"/>
  <c r="I13" i="9"/>
  <c r="J13" i="9"/>
  <c r="K13" i="9"/>
  <c r="L13" i="9"/>
  <c r="M13" i="9"/>
  <c r="N13" i="9"/>
  <c r="O13" i="9"/>
  <c r="U13" i="9"/>
  <c r="V13" i="9"/>
  <c r="V12" i="9" s="1"/>
  <c r="V11" i="9" s="1"/>
  <c r="W13" i="9"/>
  <c r="D81" i="9"/>
  <c r="P174" i="3"/>
  <c r="P169" i="3"/>
  <c r="P166" i="3"/>
  <c r="R162" i="3"/>
  <c r="R157" i="3"/>
  <c r="R154" i="3"/>
  <c r="Q162" i="3"/>
  <c r="Q157" i="3"/>
  <c r="Q154" i="3"/>
  <c r="P162" i="3"/>
  <c r="P157" i="3"/>
  <c r="P154" i="3"/>
  <c r="E10" i="7"/>
  <c r="F10" i="7"/>
  <c r="G10" i="7"/>
  <c r="H10" i="7"/>
  <c r="I10" i="7"/>
  <c r="J10" i="7"/>
  <c r="K10" i="7"/>
  <c r="L10" i="7"/>
  <c r="M10" i="7"/>
  <c r="N10" i="7"/>
  <c r="O10" i="7"/>
  <c r="P10" i="7"/>
  <c r="Q10" i="7"/>
  <c r="R10" i="7"/>
  <c r="S10" i="7"/>
  <c r="T10" i="7"/>
  <c r="U10" i="7"/>
  <c r="V10" i="7"/>
  <c r="W10" i="7"/>
  <c r="D10" i="7"/>
  <c r="E21" i="7"/>
  <c r="F21" i="7"/>
  <c r="G21" i="7"/>
  <c r="H21" i="7"/>
  <c r="I21" i="7"/>
  <c r="J21" i="7"/>
  <c r="K21" i="7"/>
  <c r="L21" i="7"/>
  <c r="M21" i="7"/>
  <c r="N21" i="7"/>
  <c r="O21" i="7"/>
  <c r="P21" i="7"/>
  <c r="Q21" i="7"/>
  <c r="R21" i="7"/>
  <c r="S21" i="7"/>
  <c r="T21" i="7"/>
  <c r="U21" i="7"/>
  <c r="V21" i="7"/>
  <c r="W21" i="7"/>
  <c r="D21" i="7"/>
  <c r="E16" i="7"/>
  <c r="F16" i="7"/>
  <c r="G16" i="7"/>
  <c r="H16" i="7"/>
  <c r="I16" i="7"/>
  <c r="J16" i="7"/>
  <c r="K16" i="7"/>
  <c r="L16" i="7"/>
  <c r="M16" i="7"/>
  <c r="N16" i="7"/>
  <c r="O16" i="7"/>
  <c r="P16" i="7"/>
  <c r="Q16" i="7"/>
  <c r="R16" i="7"/>
  <c r="S16" i="7"/>
  <c r="T16" i="7"/>
  <c r="U16" i="7"/>
  <c r="V16" i="7"/>
  <c r="W16" i="7"/>
  <c r="D16" i="7"/>
  <c r="E14" i="7"/>
  <c r="F14" i="7"/>
  <c r="G14" i="7"/>
  <c r="H14" i="7"/>
  <c r="I14" i="7"/>
  <c r="J14" i="7"/>
  <c r="K14" i="7"/>
  <c r="L14" i="7"/>
  <c r="M14" i="7"/>
  <c r="N14" i="7"/>
  <c r="O14" i="7"/>
  <c r="P14" i="7"/>
  <c r="Q14" i="7"/>
  <c r="R14" i="7"/>
  <c r="S14" i="7"/>
  <c r="T14" i="7"/>
  <c r="U14" i="7"/>
  <c r="V14" i="7"/>
  <c r="W14" i="7"/>
  <c r="D14" i="7"/>
  <c r="E102" i="7"/>
  <c r="J102" i="7"/>
  <c r="M102" i="7"/>
  <c r="D102" i="7"/>
  <c r="V101" i="7"/>
  <c r="U101" i="7"/>
  <c r="T101" i="7"/>
  <c r="S101" i="7"/>
  <c r="R101" i="7"/>
  <c r="Q101" i="7"/>
  <c r="P101" i="7"/>
  <c r="O101" i="7"/>
  <c r="N101" i="7"/>
  <c r="M101" i="7"/>
  <c r="L101" i="7"/>
  <c r="K101" i="7"/>
  <c r="J101" i="7"/>
  <c r="I101" i="7"/>
  <c r="E101" i="7"/>
  <c r="D101" i="7"/>
  <c r="M100" i="7"/>
  <c r="D100" i="7"/>
  <c r="V99" i="7"/>
  <c r="U99" i="7"/>
  <c r="T99" i="7"/>
  <c r="S99" i="7"/>
  <c r="R99" i="7"/>
  <c r="Q99" i="7"/>
  <c r="P99" i="7"/>
  <c r="O99" i="7"/>
  <c r="N99" i="7"/>
  <c r="M99" i="7"/>
  <c r="L99" i="7"/>
  <c r="K99" i="7"/>
  <c r="J99" i="7"/>
  <c r="I99" i="7"/>
  <c r="H99" i="7"/>
  <c r="G99" i="7"/>
  <c r="F99" i="7"/>
  <c r="E99" i="7"/>
  <c r="D99" i="7"/>
  <c r="V98" i="7"/>
  <c r="U98" i="7"/>
  <c r="T98" i="7"/>
  <c r="S98" i="7"/>
  <c r="R98" i="7"/>
  <c r="Q98" i="7"/>
  <c r="P98" i="7"/>
  <c r="O98" i="7"/>
  <c r="N98" i="7"/>
  <c r="M98" i="7"/>
  <c r="L98" i="7"/>
  <c r="K98" i="7"/>
  <c r="J98" i="7"/>
  <c r="I98" i="7"/>
  <c r="H98" i="7"/>
  <c r="G98" i="7"/>
  <c r="F98" i="7"/>
  <c r="E98" i="7"/>
  <c r="D98" i="7"/>
  <c r="E97" i="7"/>
  <c r="I97" i="7"/>
  <c r="M97" i="7"/>
  <c r="D97" i="7"/>
  <c r="X96" i="7"/>
  <c r="V96" i="7"/>
  <c r="U96" i="7"/>
  <c r="T96" i="7"/>
  <c r="S96" i="7"/>
  <c r="R96" i="7"/>
  <c r="Q96" i="7"/>
  <c r="P96" i="7"/>
  <c r="O96" i="7"/>
  <c r="N96" i="7"/>
  <c r="M96" i="7"/>
  <c r="L96" i="7"/>
  <c r="K96" i="7"/>
  <c r="J96" i="7"/>
  <c r="I96" i="7"/>
  <c r="E96" i="7"/>
  <c r="D96" i="7"/>
  <c r="X95" i="7"/>
  <c r="D95" i="7"/>
  <c r="D94" i="7"/>
  <c r="X93" i="7"/>
  <c r="V93" i="7"/>
  <c r="U93" i="7"/>
  <c r="T93" i="7"/>
  <c r="S93" i="7"/>
  <c r="R93" i="7"/>
  <c r="Q93" i="7"/>
  <c r="P93" i="7"/>
  <c r="O93" i="7"/>
  <c r="N93" i="7"/>
  <c r="M93" i="7"/>
  <c r="L93" i="7"/>
  <c r="K93" i="7"/>
  <c r="J93" i="7"/>
  <c r="I93" i="7"/>
  <c r="H93" i="7"/>
  <c r="G93" i="7"/>
  <c r="F93" i="7"/>
  <c r="E93" i="7"/>
  <c r="D93" i="7"/>
  <c r="X92" i="7"/>
  <c r="V92" i="7"/>
  <c r="U92" i="7"/>
  <c r="T92" i="7"/>
  <c r="S92" i="7"/>
  <c r="R92" i="7"/>
  <c r="Q92" i="7"/>
  <c r="P92" i="7"/>
  <c r="O92" i="7"/>
  <c r="N92" i="7"/>
  <c r="M92" i="7"/>
  <c r="L92" i="7"/>
  <c r="K92" i="7"/>
  <c r="J92" i="7"/>
  <c r="I92" i="7"/>
  <c r="H92" i="7"/>
  <c r="G92" i="7"/>
  <c r="F92" i="7"/>
  <c r="E92" i="7"/>
  <c r="D92" i="7"/>
  <c r="V35" i="7"/>
  <c r="P35" i="7"/>
  <c r="P619" i="2"/>
  <c r="W183" i="9"/>
  <c r="V183" i="9"/>
  <c r="U183" i="9"/>
  <c r="T183" i="9"/>
  <c r="S183" i="9"/>
  <c r="R183" i="9"/>
  <c r="Q183" i="9"/>
  <c r="P183" i="9"/>
  <c r="O183" i="9"/>
  <c r="N183" i="9"/>
  <c r="M183" i="9"/>
  <c r="L183" i="9"/>
  <c r="K183" i="9"/>
  <c r="J183" i="9"/>
  <c r="I183" i="9"/>
  <c r="H183" i="9"/>
  <c r="G183" i="9"/>
  <c r="F183" i="9"/>
  <c r="E183" i="9"/>
  <c r="D183" i="9"/>
  <c r="W182" i="9"/>
  <c r="V182" i="9"/>
  <c r="U182" i="9"/>
  <c r="T182" i="9"/>
  <c r="S182" i="9"/>
  <c r="R182" i="9"/>
  <c r="Q182" i="9"/>
  <c r="P182" i="9"/>
  <c r="O182" i="9"/>
  <c r="N182" i="9"/>
  <c r="M182" i="9"/>
  <c r="L182" i="9"/>
  <c r="K182" i="9"/>
  <c r="J182" i="9"/>
  <c r="I182" i="9"/>
  <c r="H182" i="9"/>
  <c r="G182" i="9"/>
  <c r="F182" i="9"/>
  <c r="E182" i="9"/>
  <c r="D182" i="9"/>
  <c r="X179" i="9"/>
  <c r="X178" i="9"/>
  <c r="X175" i="9"/>
  <c r="X174" i="9"/>
  <c r="O174" i="9"/>
  <c r="N174" i="9"/>
  <c r="X173" i="9"/>
  <c r="I170" i="9"/>
  <c r="I169" i="9" s="1"/>
  <c r="J170" i="9"/>
  <c r="J169" i="9" s="1"/>
  <c r="K170" i="9"/>
  <c r="K169" i="9" s="1"/>
  <c r="L170" i="9"/>
  <c r="L169" i="9" s="1"/>
  <c r="N170" i="9"/>
  <c r="N169" i="9" s="1"/>
  <c r="O170" i="9"/>
  <c r="O169" i="9" s="1"/>
  <c r="P170" i="9"/>
  <c r="P169" i="9" s="1"/>
  <c r="Q170" i="9"/>
  <c r="R170" i="9"/>
  <c r="S170" i="9"/>
  <c r="T170" i="9"/>
  <c r="I161" i="9"/>
  <c r="I160" i="9" s="1"/>
  <c r="J161" i="9"/>
  <c r="J160" i="9" s="1"/>
  <c r="K161" i="9"/>
  <c r="K160" i="9" s="1"/>
  <c r="L161" i="9"/>
  <c r="L160" i="9" s="1"/>
  <c r="N161" i="9"/>
  <c r="N160" i="9" s="1"/>
  <c r="L37" i="10" s="1"/>
  <c r="O161" i="9"/>
  <c r="O160" i="9" s="1"/>
  <c r="M37" i="10" s="1"/>
  <c r="P161" i="9"/>
  <c r="P160" i="9" s="1"/>
  <c r="N37" i="10" s="1"/>
  <c r="N26" i="10" s="1"/>
  <c r="Q161" i="9"/>
  <c r="R161" i="9"/>
  <c r="S161" i="9"/>
  <c r="T161" i="9"/>
  <c r="U161" i="9"/>
  <c r="V161" i="9"/>
  <c r="W161" i="9"/>
  <c r="M170" i="9"/>
  <c r="M169" i="9" s="1"/>
  <c r="H170" i="9"/>
  <c r="G170" i="9"/>
  <c r="G169" i="9" s="1"/>
  <c r="F170" i="9"/>
  <c r="E170" i="9"/>
  <c r="E169" i="9" s="1"/>
  <c r="H169" i="9"/>
  <c r="F169" i="9"/>
  <c r="X168" i="9"/>
  <c r="X167" i="9" s="1"/>
  <c r="X166" i="9"/>
  <c r="X165" i="9" s="1"/>
  <c r="X164" i="9" s="1"/>
  <c r="O165" i="9"/>
  <c r="N165" i="9"/>
  <c r="M161" i="9"/>
  <c r="M160" i="9" s="1"/>
  <c r="H161" i="9"/>
  <c r="H160" i="9" s="1"/>
  <c r="G161" i="9"/>
  <c r="G160" i="9" s="1"/>
  <c r="F161" i="9"/>
  <c r="F160" i="9" s="1"/>
  <c r="E161" i="9"/>
  <c r="E160" i="9" s="1"/>
  <c r="X157" i="9"/>
  <c r="X156" i="9" s="1"/>
  <c r="X153" i="9"/>
  <c r="X152" i="9" s="1"/>
  <c r="O152" i="9"/>
  <c r="N152" i="9"/>
  <c r="Q66" i="13"/>
  <c r="Q65" i="13"/>
  <c r="Q59" i="13"/>
  <c r="Q60" i="13"/>
  <c r="P59" i="13"/>
  <c r="P65" i="13"/>
  <c r="P61" i="13"/>
  <c r="R71" i="13"/>
  <c r="R69" i="13"/>
  <c r="S168" i="6"/>
  <c r="S172" i="6"/>
  <c r="R172" i="6"/>
  <c r="Q172" i="6"/>
  <c r="P172" i="6"/>
  <c r="S179" i="6"/>
  <c r="R179" i="6"/>
  <c r="Q179" i="6"/>
  <c r="P179" i="6"/>
  <c r="T195" i="6"/>
  <c r="S195" i="6"/>
  <c r="R195" i="6"/>
  <c r="T196" i="6"/>
  <c r="T200" i="6"/>
  <c r="R196" i="6"/>
  <c r="T199" i="6"/>
  <c r="S199" i="6"/>
  <c r="S200" i="6"/>
  <c r="R200" i="6"/>
  <c r="T203" i="6"/>
  <c r="R203" i="6"/>
  <c r="T206" i="6"/>
  <c r="S206" i="6"/>
  <c r="T207" i="6"/>
  <c r="S207" i="6"/>
  <c r="R207" i="6"/>
  <c r="P509" i="2"/>
  <c r="S518" i="2"/>
  <c r="S509" i="2"/>
  <c r="R509" i="2"/>
  <c r="R510" i="2"/>
  <c r="Q515" i="2"/>
  <c r="Q514" i="2"/>
  <c r="Q509" i="2"/>
  <c r="Q510" i="2"/>
  <c r="P510" i="2"/>
  <c r="T517" i="2"/>
  <c r="T516" i="2"/>
  <c r="R518" i="2"/>
  <c r="Q518" i="2"/>
  <c r="P515" i="2"/>
  <c r="Q55" i="3"/>
  <c r="P407" i="2"/>
  <c r="P406" i="2"/>
  <c r="Q409" i="2"/>
  <c r="Q407" i="2"/>
  <c r="Q406" i="2"/>
  <c r="Q404" i="2"/>
  <c r="Q401" i="2"/>
  <c r="R420" i="2"/>
  <c r="P421" i="2"/>
  <c r="O421" i="2"/>
  <c r="R424" i="2"/>
  <c r="R418" i="2"/>
  <c r="R415" i="2"/>
  <c r="Q400" i="2"/>
  <c r="N121" i="9"/>
  <c r="O121" i="9"/>
  <c r="P121" i="9"/>
  <c r="Q121" i="9"/>
  <c r="R121" i="9"/>
  <c r="S121" i="9"/>
  <c r="M121" i="9"/>
  <c r="D341" i="2"/>
  <c r="D340" i="2"/>
  <c r="T209" i="9"/>
  <c r="U209" i="9"/>
  <c r="V209" i="9"/>
  <c r="W209" i="9"/>
  <c r="E209" i="9"/>
  <c r="F209" i="9"/>
  <c r="G209" i="9"/>
  <c r="H209" i="9"/>
  <c r="I209" i="9"/>
  <c r="J209" i="9"/>
  <c r="K209" i="9"/>
  <c r="L209" i="9"/>
  <c r="M209" i="9"/>
  <c r="N209" i="9"/>
  <c r="O209" i="9"/>
  <c r="P209" i="9"/>
  <c r="Q209" i="9"/>
  <c r="R209" i="9"/>
  <c r="S209" i="9"/>
  <c r="X222" i="9"/>
  <c r="D222" i="9"/>
  <c r="D209" i="9"/>
  <c r="X221" i="9"/>
  <c r="X220" i="9"/>
  <c r="W221" i="9"/>
  <c r="V221" i="9"/>
  <c r="U221" i="9"/>
  <c r="T221" i="9"/>
  <c r="S221" i="9"/>
  <c r="R221" i="9"/>
  <c r="Q221" i="9"/>
  <c r="P221" i="9"/>
  <c r="O221" i="9"/>
  <c r="N221" i="9"/>
  <c r="M221" i="9"/>
  <c r="L221" i="9"/>
  <c r="K221" i="9"/>
  <c r="J221" i="9"/>
  <c r="I221" i="9"/>
  <c r="H221" i="9"/>
  <c r="G221" i="9"/>
  <c r="F221" i="9"/>
  <c r="E221" i="9"/>
  <c r="D221" i="9"/>
  <c r="W220" i="9"/>
  <c r="V220" i="9"/>
  <c r="U220" i="9"/>
  <c r="T220" i="9"/>
  <c r="S220" i="9"/>
  <c r="R220" i="9"/>
  <c r="Q220" i="9"/>
  <c r="P220" i="9"/>
  <c r="O220" i="9"/>
  <c r="N220" i="9"/>
  <c r="M220" i="9"/>
  <c r="L220" i="9"/>
  <c r="K220" i="9"/>
  <c r="J220" i="9"/>
  <c r="I220" i="9"/>
  <c r="H220" i="9"/>
  <c r="G220" i="9"/>
  <c r="F220" i="9"/>
  <c r="E220" i="9"/>
  <c r="D220" i="9"/>
  <c r="U250" i="1"/>
  <c r="T250" i="1"/>
  <c r="X352" i="2"/>
  <c r="X340" i="2"/>
  <c r="X364" i="2"/>
  <c r="X328" i="2"/>
  <c r="X329" i="2"/>
  <c r="D121" i="9"/>
  <c r="D120" i="9"/>
  <c r="S120" i="9"/>
  <c r="R120" i="9"/>
  <c r="Q120" i="9"/>
  <c r="N120" i="9"/>
  <c r="L121" i="9"/>
  <c r="L120" i="9" s="1"/>
  <c r="K121" i="9"/>
  <c r="K120" i="9" s="1"/>
  <c r="J121" i="9"/>
  <c r="I121" i="9"/>
  <c r="I120" i="9" s="1"/>
  <c r="H121" i="9"/>
  <c r="H120" i="9" s="1"/>
  <c r="G121" i="9"/>
  <c r="G120" i="9" s="1"/>
  <c r="F121" i="9"/>
  <c r="F120" i="9" s="1"/>
  <c r="E121" i="9"/>
  <c r="E120" i="9" s="1"/>
  <c r="P120" i="9"/>
  <c r="M120" i="9"/>
  <c r="J120" i="9"/>
  <c r="X117" i="9"/>
  <c r="X116" i="9"/>
  <c r="X119" i="9"/>
  <c r="X118" i="9"/>
  <c r="X115" i="9"/>
  <c r="E11" i="2"/>
  <c r="F11" i="2"/>
  <c r="G11" i="2"/>
  <c r="H11" i="2"/>
  <c r="I11" i="2"/>
  <c r="J11" i="2"/>
  <c r="K11" i="2"/>
  <c r="L11" i="2"/>
  <c r="M11" i="2"/>
  <c r="N11" i="2"/>
  <c r="O11" i="2"/>
  <c r="Q11" i="2"/>
  <c r="U11" i="2"/>
  <c r="V11" i="2"/>
  <c r="W11" i="2"/>
  <c r="Q238" i="2"/>
  <c r="P238" i="2"/>
  <c r="P227" i="2"/>
  <c r="Q266" i="2"/>
  <c r="P266" i="2"/>
  <c r="Q259" i="2"/>
  <c r="Q254" i="2"/>
  <c r="P254" i="2"/>
  <c r="E254" i="2"/>
  <c r="M254" i="2"/>
  <c r="Q615" i="2"/>
  <c r="P615" i="2"/>
  <c r="Q278" i="2"/>
  <c r="P278" i="2"/>
  <c r="Q273" i="2"/>
  <c r="P273" i="2"/>
  <c r="R326" i="2"/>
  <c r="Q326" i="2"/>
  <c r="Q321" i="2"/>
  <c r="Q318" i="2"/>
  <c r="P321" i="2"/>
  <c r="P318" i="2"/>
  <c r="R282" i="2"/>
  <c r="R285" i="2"/>
  <c r="R290" i="2"/>
  <c r="Q290" i="2"/>
  <c r="Q285" i="2"/>
  <c r="Q282" i="2"/>
  <c r="P285" i="2"/>
  <c r="P282" i="2"/>
  <c r="E52" i="2"/>
  <c r="F52" i="2"/>
  <c r="G52" i="2"/>
  <c r="H52" i="2"/>
  <c r="I52" i="2"/>
  <c r="J52" i="2"/>
  <c r="K52" i="2"/>
  <c r="L52" i="2"/>
  <c r="M52" i="2"/>
  <c r="N52" i="2"/>
  <c r="O52" i="2"/>
  <c r="P52" i="2"/>
  <c r="Q52" i="2"/>
  <c r="R52" i="2"/>
  <c r="S52" i="2"/>
  <c r="T52" i="2"/>
  <c r="U52" i="2"/>
  <c r="V52" i="2"/>
  <c r="W52" i="2"/>
  <c r="E46" i="2"/>
  <c r="F46" i="2"/>
  <c r="G46" i="2"/>
  <c r="H46" i="2"/>
  <c r="I46" i="2"/>
  <c r="J46" i="2"/>
  <c r="K46" i="2"/>
  <c r="L46" i="2"/>
  <c r="M46" i="2"/>
  <c r="N46" i="2"/>
  <c r="O46" i="2"/>
  <c r="P46" i="2"/>
  <c r="Q46" i="2"/>
  <c r="R46" i="2"/>
  <c r="S46" i="2"/>
  <c r="T46" i="2"/>
  <c r="U46" i="2"/>
  <c r="V46" i="2"/>
  <c r="W46" i="2"/>
  <c r="E43" i="2"/>
  <c r="F43" i="2"/>
  <c r="G43" i="2"/>
  <c r="H43" i="2"/>
  <c r="I43" i="2"/>
  <c r="J43" i="2"/>
  <c r="K43" i="2"/>
  <c r="L43" i="2"/>
  <c r="N43" i="2"/>
  <c r="O43" i="2"/>
  <c r="P43" i="2"/>
  <c r="Q43" i="2"/>
  <c r="R43" i="2"/>
  <c r="S43" i="2"/>
  <c r="T43" i="2"/>
  <c r="U43" i="2"/>
  <c r="V43" i="2"/>
  <c r="W43" i="2"/>
  <c r="X40" i="2"/>
  <c r="X39" i="2"/>
  <c r="E39" i="2"/>
  <c r="F39" i="2"/>
  <c r="G39" i="2"/>
  <c r="H39" i="2"/>
  <c r="I39" i="2"/>
  <c r="J39" i="2"/>
  <c r="K39" i="2"/>
  <c r="L39" i="2"/>
  <c r="M39" i="2"/>
  <c r="N39" i="2"/>
  <c r="O39" i="2"/>
  <c r="P39" i="2"/>
  <c r="Q39" i="2"/>
  <c r="R39" i="2"/>
  <c r="S39" i="2"/>
  <c r="T39" i="2"/>
  <c r="U39" i="2"/>
  <c r="V39" i="2"/>
  <c r="W39" i="2"/>
  <c r="E38" i="2"/>
  <c r="F38" i="2"/>
  <c r="G38" i="2"/>
  <c r="H38" i="2"/>
  <c r="I38" i="2"/>
  <c r="J38" i="2"/>
  <c r="K38" i="2"/>
  <c r="L38" i="2"/>
  <c r="N38" i="2"/>
  <c r="O38" i="2"/>
  <c r="P38" i="2"/>
  <c r="Q38" i="2"/>
  <c r="R38" i="2"/>
  <c r="S38" i="2"/>
  <c r="T38" i="2"/>
  <c r="U38" i="2"/>
  <c r="V38" i="2"/>
  <c r="W38" i="2"/>
  <c r="E374" i="2"/>
  <c r="D374" i="2"/>
  <c r="D373" i="2"/>
  <c r="R373" i="2"/>
  <c r="R370" i="2"/>
  <c r="Q373" i="2"/>
  <c r="P373" i="2"/>
  <c r="O373" i="2"/>
  <c r="N373" i="2"/>
  <c r="M373" i="2"/>
  <c r="L373" i="2"/>
  <c r="K373" i="2"/>
  <c r="J373" i="2"/>
  <c r="I373" i="2"/>
  <c r="H373" i="2"/>
  <c r="G373" i="2"/>
  <c r="F373" i="2"/>
  <c r="E373" i="2"/>
  <c r="M372" i="2"/>
  <c r="D372" i="2"/>
  <c r="D371" i="2"/>
  <c r="R371" i="2"/>
  <c r="Q371" i="2"/>
  <c r="P371" i="2"/>
  <c r="O371" i="2"/>
  <c r="N371" i="2"/>
  <c r="M371" i="2"/>
  <c r="L371" i="2"/>
  <c r="K371" i="2"/>
  <c r="J371" i="2"/>
  <c r="I371" i="2"/>
  <c r="H371" i="2"/>
  <c r="G371" i="2"/>
  <c r="F371" i="2"/>
  <c r="E371" i="2"/>
  <c r="Q370" i="2"/>
  <c r="P370" i="2"/>
  <c r="O370" i="2"/>
  <c r="N370" i="2"/>
  <c r="M370" i="2"/>
  <c r="L370" i="2"/>
  <c r="K370" i="2"/>
  <c r="J370" i="2"/>
  <c r="I370" i="2"/>
  <c r="H370" i="2"/>
  <c r="G370" i="2"/>
  <c r="F370" i="2"/>
  <c r="E370" i="2"/>
  <c r="X369" i="2"/>
  <c r="X368" i="2"/>
  <c r="E369" i="2"/>
  <c r="D369" i="2"/>
  <c r="D368" i="2"/>
  <c r="R368" i="2"/>
  <c r="Q368" i="2"/>
  <c r="Q364" i="2"/>
  <c r="P368" i="2"/>
  <c r="O368" i="2"/>
  <c r="N368" i="2"/>
  <c r="M368" i="2"/>
  <c r="L368" i="2"/>
  <c r="K368" i="2"/>
  <c r="J368" i="2"/>
  <c r="I368" i="2"/>
  <c r="H368" i="2"/>
  <c r="G368" i="2"/>
  <c r="F368" i="2"/>
  <c r="E368" i="2"/>
  <c r="X367" i="2"/>
  <c r="M367" i="2"/>
  <c r="D367" i="2"/>
  <c r="X366" i="2"/>
  <c r="M366" i="2"/>
  <c r="E366" i="2"/>
  <c r="D366" i="2"/>
  <c r="X365" i="2"/>
  <c r="R365" i="2"/>
  <c r="Q365" i="2"/>
  <c r="P365" i="2"/>
  <c r="O365" i="2"/>
  <c r="N365" i="2"/>
  <c r="M365" i="2"/>
  <c r="L365" i="2"/>
  <c r="K365" i="2"/>
  <c r="J365" i="2"/>
  <c r="I365" i="2"/>
  <c r="H365" i="2"/>
  <c r="G365" i="2"/>
  <c r="F365" i="2"/>
  <c r="E365" i="2"/>
  <c r="P364" i="2"/>
  <c r="O364" i="2"/>
  <c r="N364" i="2"/>
  <c r="M364" i="2"/>
  <c r="L364" i="2"/>
  <c r="K364" i="2"/>
  <c r="J364" i="2"/>
  <c r="I364" i="2"/>
  <c r="H364" i="2"/>
  <c r="G364" i="2"/>
  <c r="F364" i="2"/>
  <c r="E364" i="2"/>
  <c r="E362" i="2"/>
  <c r="D362" i="2"/>
  <c r="R361" i="2"/>
  <c r="Q361" i="2"/>
  <c r="P361" i="2"/>
  <c r="O361" i="2"/>
  <c r="N361" i="2"/>
  <c r="M361" i="2"/>
  <c r="L361" i="2"/>
  <c r="K361" i="2"/>
  <c r="J361" i="2"/>
  <c r="I361" i="2"/>
  <c r="H361" i="2"/>
  <c r="G361" i="2"/>
  <c r="F361" i="2"/>
  <c r="E361" i="2"/>
  <c r="D361" i="2"/>
  <c r="M360" i="2"/>
  <c r="D360" i="2"/>
  <c r="D359" i="2"/>
  <c r="D358" i="2"/>
  <c r="R359" i="2"/>
  <c r="Q359" i="2"/>
  <c r="P359" i="2"/>
  <c r="O359" i="2"/>
  <c r="N359" i="2"/>
  <c r="M359" i="2"/>
  <c r="L359" i="2"/>
  <c r="K359" i="2"/>
  <c r="J359" i="2"/>
  <c r="I359" i="2"/>
  <c r="H359" i="2"/>
  <c r="G359" i="2"/>
  <c r="F359" i="2"/>
  <c r="E359" i="2"/>
  <c r="R358" i="2"/>
  <c r="Q358" i="2"/>
  <c r="P358" i="2"/>
  <c r="O358" i="2"/>
  <c r="N358" i="2"/>
  <c r="M358" i="2"/>
  <c r="L358" i="2"/>
  <c r="K358" i="2"/>
  <c r="J358" i="2"/>
  <c r="I358" i="2"/>
  <c r="H358" i="2"/>
  <c r="G358" i="2"/>
  <c r="F358" i="2"/>
  <c r="E358" i="2"/>
  <c r="X357" i="2"/>
  <c r="X356" i="2"/>
  <c r="E357" i="2"/>
  <c r="D357" i="2"/>
  <c r="R356" i="2"/>
  <c r="Q356" i="2"/>
  <c r="P356" i="2"/>
  <c r="O356" i="2"/>
  <c r="N356" i="2"/>
  <c r="M356" i="2"/>
  <c r="L356" i="2"/>
  <c r="K356" i="2"/>
  <c r="J356" i="2"/>
  <c r="I356" i="2"/>
  <c r="H356" i="2"/>
  <c r="G356" i="2"/>
  <c r="F356" i="2"/>
  <c r="E356" i="2"/>
  <c r="D356" i="2"/>
  <c r="X355" i="2"/>
  <c r="M355" i="2"/>
  <c r="D355" i="2"/>
  <c r="D353" i="2"/>
  <c r="D352" i="2"/>
  <c r="X354" i="2"/>
  <c r="M354" i="2"/>
  <c r="E354" i="2"/>
  <c r="D354" i="2"/>
  <c r="X353" i="2"/>
  <c r="R353" i="2"/>
  <c r="Q353" i="2"/>
  <c r="P353" i="2"/>
  <c r="O353" i="2"/>
  <c r="N353" i="2"/>
  <c r="M353" i="2"/>
  <c r="L353" i="2"/>
  <c r="K353" i="2"/>
  <c r="J353" i="2"/>
  <c r="I353" i="2"/>
  <c r="H353" i="2"/>
  <c r="G353" i="2"/>
  <c r="F353" i="2"/>
  <c r="E353" i="2"/>
  <c r="R352" i="2"/>
  <c r="Q352" i="2"/>
  <c r="P352" i="2"/>
  <c r="O352" i="2"/>
  <c r="N352" i="2"/>
  <c r="M352" i="2"/>
  <c r="L352" i="2"/>
  <c r="K352" i="2"/>
  <c r="J352" i="2"/>
  <c r="I352" i="2"/>
  <c r="H352" i="2"/>
  <c r="G352" i="2"/>
  <c r="F352" i="2"/>
  <c r="E352" i="2"/>
  <c r="R364" i="2"/>
  <c r="X38" i="2"/>
  <c r="D370" i="2"/>
  <c r="D365" i="2"/>
  <c r="D364" i="2"/>
  <c r="D91" i="4"/>
  <c r="E341" i="2"/>
  <c r="F341" i="2"/>
  <c r="G341" i="2"/>
  <c r="H341" i="2"/>
  <c r="I341" i="2"/>
  <c r="J341" i="2"/>
  <c r="K341" i="2"/>
  <c r="L341" i="2"/>
  <c r="N341" i="2"/>
  <c r="M341" i="2"/>
  <c r="M348" i="2"/>
  <c r="M343" i="2"/>
  <c r="D348" i="2"/>
  <c r="M330" i="2"/>
  <c r="M342" i="2"/>
  <c r="E350" i="2"/>
  <c r="E349" i="2"/>
  <c r="E346" i="2"/>
  <c r="D350" i="2"/>
  <c r="D349" i="2"/>
  <c r="R349" i="2"/>
  <c r="Q349" i="2"/>
  <c r="P349" i="2"/>
  <c r="O349" i="2"/>
  <c r="N349" i="2"/>
  <c r="M349" i="2"/>
  <c r="L349" i="2"/>
  <c r="L346" i="2"/>
  <c r="K349" i="2"/>
  <c r="J349" i="2"/>
  <c r="J346" i="2"/>
  <c r="I349" i="2"/>
  <c r="H349" i="2"/>
  <c r="H346" i="2"/>
  <c r="G349" i="2"/>
  <c r="F349" i="2"/>
  <c r="F346" i="2"/>
  <c r="R347" i="2"/>
  <c r="Q347" i="2"/>
  <c r="P347" i="2"/>
  <c r="O347" i="2"/>
  <c r="N347" i="2"/>
  <c r="L347" i="2"/>
  <c r="K347" i="2"/>
  <c r="J347" i="2"/>
  <c r="I347" i="2"/>
  <c r="H347" i="2"/>
  <c r="G347" i="2"/>
  <c r="F347" i="2"/>
  <c r="E347" i="2"/>
  <c r="R346" i="2"/>
  <c r="P346" i="2"/>
  <c r="O346" i="2"/>
  <c r="N346" i="2"/>
  <c r="K346" i="2"/>
  <c r="I346" i="2"/>
  <c r="G346" i="2"/>
  <c r="X345" i="2"/>
  <c r="X344" i="2"/>
  <c r="E345" i="2"/>
  <c r="D345" i="2"/>
  <c r="D344" i="2"/>
  <c r="R344" i="2"/>
  <c r="Q344" i="2"/>
  <c r="P344" i="2"/>
  <c r="O344" i="2"/>
  <c r="N344" i="2"/>
  <c r="M344" i="2"/>
  <c r="L344" i="2"/>
  <c r="K344" i="2"/>
  <c r="J344" i="2"/>
  <c r="I344" i="2"/>
  <c r="H344" i="2"/>
  <c r="G344" i="2"/>
  <c r="F344" i="2"/>
  <c r="E344" i="2"/>
  <c r="X343" i="2"/>
  <c r="D343" i="2"/>
  <c r="D39" i="2"/>
  <c r="X342" i="2"/>
  <c r="X341" i="2"/>
  <c r="E342" i="2"/>
  <c r="R341" i="2"/>
  <c r="R340" i="2"/>
  <c r="Q341" i="2"/>
  <c r="P341" i="2"/>
  <c r="P340" i="2"/>
  <c r="P11" i="2"/>
  <c r="O341" i="2"/>
  <c r="L340" i="2"/>
  <c r="K340" i="2"/>
  <c r="O340" i="2"/>
  <c r="J340" i="2"/>
  <c r="I340" i="2"/>
  <c r="H340" i="2"/>
  <c r="G340" i="2"/>
  <c r="F340" i="2"/>
  <c r="E340" i="2"/>
  <c r="M337" i="2"/>
  <c r="M335" i="2"/>
  <c r="Q328" i="2"/>
  <c r="R328" i="2"/>
  <c r="R337" i="2"/>
  <c r="R335" i="2"/>
  <c r="R329" i="2"/>
  <c r="Q329" i="2"/>
  <c r="Q332" i="2"/>
  <c r="R332" i="2"/>
  <c r="Q330" i="2"/>
  <c r="D338" i="2"/>
  <c r="D336" i="2"/>
  <c r="D333" i="2"/>
  <c r="D332" i="2"/>
  <c r="D331" i="2"/>
  <c r="D329" i="2"/>
  <c r="E338" i="2"/>
  <c r="Q337" i="2"/>
  <c r="P337" i="2"/>
  <c r="O337" i="2"/>
  <c r="N337" i="2"/>
  <c r="L337" i="2"/>
  <c r="K337" i="2"/>
  <c r="J337" i="2"/>
  <c r="I337" i="2"/>
  <c r="H337" i="2"/>
  <c r="G337" i="2"/>
  <c r="F337" i="2"/>
  <c r="E337" i="2"/>
  <c r="D335" i="2"/>
  <c r="Q335" i="2"/>
  <c r="P335" i="2"/>
  <c r="O335" i="2"/>
  <c r="O334" i="2"/>
  <c r="N335" i="2"/>
  <c r="L335" i="2"/>
  <c r="K335" i="2"/>
  <c r="J335" i="2"/>
  <c r="I335" i="2"/>
  <c r="H335" i="2"/>
  <c r="G335" i="2"/>
  <c r="F335" i="2"/>
  <c r="E335" i="2"/>
  <c r="N334" i="2"/>
  <c r="L334" i="2"/>
  <c r="K334" i="2"/>
  <c r="J334" i="2"/>
  <c r="I334" i="2"/>
  <c r="H334" i="2"/>
  <c r="G334" i="2"/>
  <c r="F334" i="2"/>
  <c r="E334" i="2"/>
  <c r="X333" i="2"/>
  <c r="X332" i="2"/>
  <c r="I333" i="2"/>
  <c r="E333" i="2"/>
  <c r="P332" i="2"/>
  <c r="O332" i="2"/>
  <c r="N332" i="2"/>
  <c r="L332" i="2"/>
  <c r="K332" i="2"/>
  <c r="J332" i="2"/>
  <c r="I332" i="2"/>
  <c r="H332" i="2"/>
  <c r="G332" i="2"/>
  <c r="F332" i="2"/>
  <c r="E332" i="2"/>
  <c r="X331" i="2"/>
  <c r="Q386" i="2"/>
  <c r="Q381" i="2"/>
  <c r="Q378" i="2"/>
  <c r="P381" i="2"/>
  <c r="P378" i="2"/>
  <c r="Q115" i="2"/>
  <c r="Q148" i="2"/>
  <c r="P148" i="2"/>
  <c r="P180" i="2"/>
  <c r="Q180" i="2"/>
  <c r="D347" i="2"/>
  <c r="D46" i="2"/>
  <c r="Q346" i="2"/>
  <c r="M347" i="2"/>
  <c r="N340" i="2"/>
  <c r="M346" i="2"/>
  <c r="D346" i="2"/>
  <c r="Q340" i="2"/>
  <c r="D342" i="2"/>
  <c r="M340" i="2"/>
  <c r="D328" i="2"/>
  <c r="P334" i="2"/>
  <c r="R334" i="2"/>
  <c r="Q334" i="2"/>
  <c r="M332" i="2"/>
  <c r="D337" i="2"/>
  <c r="D334" i="2"/>
  <c r="M334" i="2"/>
  <c r="Q101" i="2"/>
  <c r="P101" i="2"/>
  <c r="T11" i="2"/>
  <c r="X657" i="2"/>
  <c r="X656" i="2"/>
  <c r="D659" i="2"/>
  <c r="O188" i="8"/>
  <c r="L188" i="8"/>
  <c r="O194" i="8"/>
  <c r="L194" i="8"/>
  <c r="K180" i="8"/>
  <c r="G184" i="8"/>
  <c r="O184" i="8"/>
  <c r="D207" i="8"/>
  <c r="X207" i="8"/>
  <c r="X206" i="8"/>
  <c r="X205" i="8"/>
  <c r="E206" i="8"/>
  <c r="E205" i="8"/>
  <c r="E180" i="8"/>
  <c r="F206" i="8"/>
  <c r="F205" i="8"/>
  <c r="F180" i="8"/>
  <c r="G206" i="8"/>
  <c r="G205" i="8"/>
  <c r="G180" i="8"/>
  <c r="H206" i="8"/>
  <c r="H205" i="8"/>
  <c r="H180" i="8"/>
  <c r="I206" i="8"/>
  <c r="I205" i="8"/>
  <c r="I180" i="8"/>
  <c r="J206" i="8"/>
  <c r="J205" i="8"/>
  <c r="J180" i="8"/>
  <c r="K206" i="8"/>
  <c r="K205" i="8"/>
  <c r="L206" i="8"/>
  <c r="L205" i="8"/>
  <c r="L180" i="8"/>
  <c r="M206" i="8"/>
  <c r="M205" i="8"/>
  <c r="M180" i="8"/>
  <c r="N206" i="8"/>
  <c r="N205" i="8"/>
  <c r="N180" i="8"/>
  <c r="O206" i="8"/>
  <c r="O205" i="8"/>
  <c r="O180" i="8"/>
  <c r="P206" i="8"/>
  <c r="P205" i="8"/>
  <c r="P180" i="8"/>
  <c r="Q206" i="8"/>
  <c r="Q205" i="8"/>
  <c r="Q180" i="8"/>
  <c r="R206" i="8"/>
  <c r="R205" i="8"/>
  <c r="R180" i="8"/>
  <c r="S206" i="8"/>
  <c r="S205" i="8"/>
  <c r="S180" i="8"/>
  <c r="T206" i="8"/>
  <c r="T205" i="8"/>
  <c r="T180" i="8"/>
  <c r="U206" i="8"/>
  <c r="U205" i="8"/>
  <c r="U180" i="8"/>
  <c r="V206" i="8"/>
  <c r="V205" i="8"/>
  <c r="V180" i="8"/>
  <c r="W206" i="8"/>
  <c r="W205" i="8"/>
  <c r="W180" i="8"/>
  <c r="D206" i="8"/>
  <c r="D184" i="8"/>
  <c r="Q181" i="8"/>
  <c r="U181" i="8"/>
  <c r="M194" i="8"/>
  <c r="E193" i="8"/>
  <c r="F193" i="8"/>
  <c r="G193" i="8"/>
  <c r="H193" i="8"/>
  <c r="I193" i="8"/>
  <c r="J193" i="8"/>
  <c r="K193" i="8"/>
  <c r="L193" i="8"/>
  <c r="M193" i="8"/>
  <c r="N193" i="8"/>
  <c r="O193" i="8"/>
  <c r="P193" i="8"/>
  <c r="P190" i="8"/>
  <c r="P189" i="8"/>
  <c r="Q193" i="8"/>
  <c r="R193" i="8"/>
  <c r="R190" i="8"/>
  <c r="R189" i="8"/>
  <c r="S193" i="8"/>
  <c r="T193" i="8"/>
  <c r="T190" i="8"/>
  <c r="T189" i="8"/>
  <c r="U193" i="8"/>
  <c r="V193" i="8"/>
  <c r="V190" i="8"/>
  <c r="V189" i="8"/>
  <c r="W193" i="8"/>
  <c r="E187" i="8"/>
  <c r="F187" i="8"/>
  <c r="G187" i="8"/>
  <c r="H187" i="8"/>
  <c r="I187" i="8"/>
  <c r="J187" i="8"/>
  <c r="K187" i="8"/>
  <c r="L187" i="8"/>
  <c r="M187" i="8"/>
  <c r="N187" i="8"/>
  <c r="O187" i="8"/>
  <c r="P187" i="8"/>
  <c r="Q187" i="8"/>
  <c r="R187" i="8"/>
  <c r="S187" i="8"/>
  <c r="T187" i="8"/>
  <c r="U187" i="8"/>
  <c r="V187" i="8"/>
  <c r="W187" i="8"/>
  <c r="N190" i="8"/>
  <c r="N189" i="8"/>
  <c r="Q190" i="8"/>
  <c r="Q189" i="8"/>
  <c r="S190" i="8"/>
  <c r="S189" i="8"/>
  <c r="U190" i="8"/>
  <c r="U189" i="8"/>
  <c r="W190" i="8"/>
  <c r="W189" i="8"/>
  <c r="X198" i="8"/>
  <c r="D198" i="8"/>
  <c r="D187" i="8"/>
  <c r="N201" i="8"/>
  <c r="N200" i="8"/>
  <c r="O201" i="8"/>
  <c r="O200" i="8"/>
  <c r="P201" i="8"/>
  <c r="P200" i="8"/>
  <c r="Q201" i="8"/>
  <c r="Q200" i="8"/>
  <c r="R201" i="8"/>
  <c r="R200" i="8"/>
  <c r="S201" i="8"/>
  <c r="S200" i="8"/>
  <c r="T201" i="8"/>
  <c r="T200" i="8"/>
  <c r="U201" i="8"/>
  <c r="U200" i="8"/>
  <c r="V201" i="8"/>
  <c r="V200" i="8"/>
  <c r="W201" i="8"/>
  <c r="W200" i="8"/>
  <c r="N197" i="8"/>
  <c r="N196" i="8"/>
  <c r="O197" i="8"/>
  <c r="O196" i="8"/>
  <c r="O181" i="8"/>
  <c r="P197" i="8"/>
  <c r="P196" i="8"/>
  <c r="P181" i="8"/>
  <c r="Q197" i="8"/>
  <c r="Q196" i="8"/>
  <c r="R197" i="8"/>
  <c r="R196" i="8"/>
  <c r="R181" i="8"/>
  <c r="S197" i="8"/>
  <c r="S196" i="8"/>
  <c r="S181" i="8"/>
  <c r="T197" i="8"/>
  <c r="T196" i="8"/>
  <c r="U197" i="8"/>
  <c r="U196" i="8"/>
  <c r="V197" i="8"/>
  <c r="V196" i="8"/>
  <c r="W197" i="8"/>
  <c r="W196" i="8"/>
  <c r="W181" i="8"/>
  <c r="D202" i="8"/>
  <c r="D193" i="8"/>
  <c r="K184" i="8"/>
  <c r="W184" i="8"/>
  <c r="W183" i="8"/>
  <c r="W182" i="8"/>
  <c r="S184" i="8"/>
  <c r="S183" i="8"/>
  <c r="S182" i="8"/>
  <c r="D205" i="8"/>
  <c r="D180" i="8"/>
  <c r="U184" i="8"/>
  <c r="U183" i="8"/>
  <c r="U182" i="8"/>
  <c r="Q184" i="8"/>
  <c r="Q183" i="8"/>
  <c r="Q182" i="8"/>
  <c r="M184" i="8"/>
  <c r="I184" i="8"/>
  <c r="E184" i="8"/>
  <c r="W179" i="8"/>
  <c r="U179" i="8"/>
  <c r="S179" i="8"/>
  <c r="V181" i="8"/>
  <c r="V179" i="8"/>
  <c r="T181" i="8"/>
  <c r="T179" i="8"/>
  <c r="V184" i="8"/>
  <c r="V183" i="8"/>
  <c r="V182" i="8"/>
  <c r="T184" i="8"/>
  <c r="T183" i="8"/>
  <c r="T182" i="8"/>
  <c r="R184" i="8"/>
  <c r="R183" i="8"/>
  <c r="R182" i="8"/>
  <c r="P184" i="8"/>
  <c r="P183" i="8"/>
  <c r="P182" i="8"/>
  <c r="N184" i="8"/>
  <c r="N183" i="8"/>
  <c r="N182" i="8"/>
  <c r="L184" i="8"/>
  <c r="J184" i="8"/>
  <c r="H184" i="8"/>
  <c r="F184" i="8"/>
  <c r="X187" i="8"/>
  <c r="N72" i="1"/>
  <c r="S72" i="1"/>
  <c r="Q72" i="1"/>
  <c r="O72" i="1"/>
  <c r="T72" i="1"/>
  <c r="R72" i="1"/>
  <c r="P72" i="1"/>
  <c r="X92" i="4"/>
  <c r="R149" i="8"/>
  <c r="R146" i="8"/>
  <c r="R143" i="8"/>
  <c r="R141" i="8"/>
  <c r="P149" i="8"/>
  <c r="P146" i="8"/>
  <c r="P143" i="8"/>
  <c r="P141" i="8"/>
  <c r="Q39" i="3"/>
  <c r="R39" i="3"/>
  <c r="S39" i="3"/>
  <c r="T39" i="3"/>
  <c r="P39" i="3"/>
  <c r="U33" i="3"/>
  <c r="U32" i="3" s="1"/>
  <c r="X154" i="3"/>
  <c r="X214" i="3"/>
  <c r="U236" i="1"/>
  <c r="P119" i="4"/>
  <c r="D119" i="4" s="1"/>
  <c r="P85" i="4"/>
  <c r="X229" i="1"/>
  <c r="W229" i="1"/>
  <c r="X228" i="1"/>
  <c r="W228" i="1"/>
  <c r="P64" i="4"/>
  <c r="P58" i="4"/>
  <c r="P56" i="4"/>
  <c r="O56" i="4"/>
  <c r="O55" i="4" s="1"/>
  <c r="O57" i="4"/>
  <c r="T236" i="1"/>
  <c r="P48" i="3"/>
  <c r="P45" i="3" s="1"/>
  <c r="Q48" i="3"/>
  <c r="Q45" i="3"/>
  <c r="R48" i="3"/>
  <c r="R45" i="3" s="1"/>
  <c r="S48" i="3"/>
  <c r="S45" i="3"/>
  <c r="T48" i="3"/>
  <c r="T45" i="3" s="1"/>
  <c r="U48" i="3"/>
  <c r="U45" i="3" s="1"/>
  <c r="P161" i="3"/>
  <c r="P158" i="3"/>
  <c r="P173" i="3"/>
  <c r="P170" i="3"/>
  <c r="N24" i="10"/>
  <c r="Q161" i="3"/>
  <c r="Q158" i="3"/>
  <c r="O24" i="10"/>
  <c r="R161" i="3"/>
  <c r="R158" i="3"/>
  <c r="P24" i="10"/>
  <c r="V24" i="10"/>
  <c r="P153" i="3"/>
  <c r="P156" i="3"/>
  <c r="P152" i="3"/>
  <c r="P165" i="3"/>
  <c r="P168" i="3"/>
  <c r="P164" i="3"/>
  <c r="N23" i="10"/>
  <c r="Q153" i="3"/>
  <c r="Q156" i="3"/>
  <c r="Q152" i="3"/>
  <c r="O23" i="10"/>
  <c r="R153" i="3"/>
  <c r="R156" i="3"/>
  <c r="R152" i="3"/>
  <c r="P23" i="10"/>
  <c r="V23" i="10"/>
  <c r="J152" i="1"/>
  <c r="J167" i="1"/>
  <c r="X42" i="3"/>
  <c r="X37" i="3"/>
  <c r="X36" i="3"/>
  <c r="X66" i="13"/>
  <c r="X65" i="13"/>
  <c r="X61" i="13"/>
  <c r="X60" i="13"/>
  <c r="X59" i="13"/>
  <c r="X515" i="2"/>
  <c r="X510" i="2"/>
  <c r="X35" i="7"/>
  <c r="X25" i="7"/>
  <c r="E593" i="2"/>
  <c r="F593" i="2"/>
  <c r="G593" i="2"/>
  <c r="H593" i="2"/>
  <c r="I593" i="2"/>
  <c r="J593" i="2"/>
  <c r="K593" i="2"/>
  <c r="L593" i="2"/>
  <c r="N593" i="2"/>
  <c r="P593" i="2"/>
  <c r="F594" i="2"/>
  <c r="G594" i="2"/>
  <c r="H594" i="2"/>
  <c r="I594" i="2"/>
  <c r="J594" i="2"/>
  <c r="K594" i="2"/>
  <c r="N594" i="2"/>
  <c r="Q594" i="2"/>
  <c r="R594" i="2"/>
  <c r="S594" i="2"/>
  <c r="T594" i="2"/>
  <c r="E592" i="2"/>
  <c r="F592" i="2"/>
  <c r="G592" i="2"/>
  <c r="H592" i="2"/>
  <c r="I592" i="2"/>
  <c r="J592" i="2"/>
  <c r="K592" i="2"/>
  <c r="L592" i="2"/>
  <c r="N592" i="2"/>
  <c r="K80" i="1"/>
  <c r="E67" i="6"/>
  <c r="F67" i="6"/>
  <c r="G67" i="6"/>
  <c r="H67" i="6"/>
  <c r="I67" i="6"/>
  <c r="I64" i="6" s="1"/>
  <c r="J67" i="6"/>
  <c r="K67" i="6"/>
  <c r="L67" i="6"/>
  <c r="E65" i="6"/>
  <c r="F65" i="6"/>
  <c r="G65" i="6"/>
  <c r="H65" i="6"/>
  <c r="I65" i="6"/>
  <c r="J65" i="6"/>
  <c r="K65" i="6"/>
  <c r="L65" i="6"/>
  <c r="E62" i="6"/>
  <c r="F62" i="6"/>
  <c r="G62" i="6"/>
  <c r="H62" i="6"/>
  <c r="I62" i="6"/>
  <c r="J62" i="6"/>
  <c r="K62" i="6"/>
  <c r="L62" i="6"/>
  <c r="M255" i="6"/>
  <c r="M231" i="6"/>
  <c r="M229" i="6"/>
  <c r="D229" i="6"/>
  <c r="M226" i="6"/>
  <c r="M224" i="6"/>
  <c r="M220" i="6"/>
  <c r="M218" i="6"/>
  <c r="D218" i="6"/>
  <c r="D217" i="6"/>
  <c r="M215" i="6"/>
  <c r="M213" i="6"/>
  <c r="M212" i="6"/>
  <c r="M211" i="6"/>
  <c r="M30" i="6"/>
  <c r="D256" i="6"/>
  <c r="D255" i="6"/>
  <c r="D231" i="6"/>
  <c r="D226" i="6"/>
  <c r="D224" i="6"/>
  <c r="D30" i="6"/>
  <c r="E56" i="13"/>
  <c r="F56" i="13"/>
  <c r="G56" i="13"/>
  <c r="H56" i="13"/>
  <c r="I56" i="13"/>
  <c r="J56" i="13"/>
  <c r="K56" i="13"/>
  <c r="L56" i="13"/>
  <c r="E62" i="13"/>
  <c r="F62" i="13"/>
  <c r="G62" i="13"/>
  <c r="H62" i="13"/>
  <c r="I62" i="13"/>
  <c r="J62" i="13"/>
  <c r="K62" i="13"/>
  <c r="L62" i="13"/>
  <c r="E68" i="13"/>
  <c r="E70" i="13"/>
  <c r="E67" i="13"/>
  <c r="F68" i="13"/>
  <c r="F70" i="13"/>
  <c r="F67" i="13"/>
  <c r="G68" i="13"/>
  <c r="G70" i="13"/>
  <c r="G67" i="13"/>
  <c r="H68" i="13"/>
  <c r="H70" i="13"/>
  <c r="H67" i="13"/>
  <c r="I68" i="13"/>
  <c r="I70" i="13"/>
  <c r="I67" i="13"/>
  <c r="J68" i="13"/>
  <c r="J70" i="13"/>
  <c r="J67" i="13"/>
  <c r="K68" i="13"/>
  <c r="K70" i="13"/>
  <c r="K67" i="13"/>
  <c r="L68" i="13"/>
  <c r="L70" i="13"/>
  <c r="L67" i="13"/>
  <c r="M69" i="13"/>
  <c r="M68" i="13"/>
  <c r="M71" i="13"/>
  <c r="M70" i="13"/>
  <c r="M67" i="13"/>
  <c r="M86" i="13"/>
  <c r="M62" i="13"/>
  <c r="M61" i="13"/>
  <c r="M56" i="13"/>
  <c r="M42" i="13"/>
  <c r="M39" i="13"/>
  <c r="M37" i="13"/>
  <c r="M33" i="13"/>
  <c r="M30" i="13"/>
  <c r="M28" i="13"/>
  <c r="D86" i="13"/>
  <c r="D42" i="13"/>
  <c r="D39" i="13"/>
  <c r="D37" i="13"/>
  <c r="D33" i="13"/>
  <c r="D30" i="13"/>
  <c r="D28" i="13"/>
  <c r="M42" i="7"/>
  <c r="D42" i="7"/>
  <c r="M40" i="7"/>
  <c r="D40" i="7"/>
  <c r="M37" i="7"/>
  <c r="M35" i="7"/>
  <c r="D35" i="7"/>
  <c r="M30" i="7"/>
  <c r="D30" i="7"/>
  <c r="M25" i="7"/>
  <c r="D25" i="7"/>
  <c r="D37" i="7"/>
  <c r="N16" i="6"/>
  <c r="N23" i="6"/>
  <c r="N22" i="6" s="1"/>
  <c r="E69" i="5"/>
  <c r="E68" i="5"/>
  <c r="F69" i="5"/>
  <c r="F68" i="5"/>
  <c r="G69" i="5"/>
  <c r="G68" i="5"/>
  <c r="H69" i="5"/>
  <c r="H68" i="5"/>
  <c r="I69" i="5"/>
  <c r="I68" i="5"/>
  <c r="J69" i="5"/>
  <c r="J68" i="5"/>
  <c r="K69" i="5"/>
  <c r="K68" i="5"/>
  <c r="L69" i="5"/>
  <c r="L68" i="5"/>
  <c r="M69" i="5"/>
  <c r="M68" i="5"/>
  <c r="E66" i="5"/>
  <c r="E65" i="5"/>
  <c r="F66" i="5"/>
  <c r="F65" i="5"/>
  <c r="G66" i="5"/>
  <c r="G65" i="5"/>
  <c r="H66" i="5"/>
  <c r="H65" i="5"/>
  <c r="I66" i="5"/>
  <c r="I65" i="5"/>
  <c r="J66" i="5"/>
  <c r="J65" i="5"/>
  <c r="K66" i="5"/>
  <c r="K65" i="5"/>
  <c r="L66" i="5"/>
  <c r="L65" i="5"/>
  <c r="M66" i="5"/>
  <c r="M65" i="5"/>
  <c r="M70" i="5"/>
  <c r="D70" i="5"/>
  <c r="M67" i="5"/>
  <c r="D67" i="5"/>
  <c r="M56" i="5"/>
  <c r="D56" i="5"/>
  <c r="M53" i="5"/>
  <c r="D53" i="5"/>
  <c r="M42" i="5"/>
  <c r="D42" i="5"/>
  <c r="M37" i="5"/>
  <c r="D37" i="5"/>
  <c r="M35" i="5"/>
  <c r="D35" i="5"/>
  <c r="M55" i="13"/>
  <c r="L55" i="13"/>
  <c r="J55" i="13"/>
  <c r="H55" i="13"/>
  <c r="F55" i="13"/>
  <c r="K55" i="13"/>
  <c r="I55" i="13"/>
  <c r="G55" i="13"/>
  <c r="E55" i="13"/>
  <c r="E127" i="4"/>
  <c r="F127" i="4"/>
  <c r="G127" i="4"/>
  <c r="H127" i="4"/>
  <c r="I127" i="4"/>
  <c r="J127" i="4"/>
  <c r="K127" i="4"/>
  <c r="L127" i="4"/>
  <c r="E128" i="4"/>
  <c r="F128" i="4"/>
  <c r="G128" i="4"/>
  <c r="H128" i="4"/>
  <c r="I128" i="4"/>
  <c r="J128" i="4"/>
  <c r="K128" i="4"/>
  <c r="L128" i="4"/>
  <c r="M130" i="4"/>
  <c r="M128" i="4" s="1"/>
  <c r="M129" i="4"/>
  <c r="D129" i="4" s="1"/>
  <c r="M125" i="4"/>
  <c r="M124" i="4"/>
  <c r="M120" i="4"/>
  <c r="D113" i="4"/>
  <c r="M92" i="4"/>
  <c r="D92" i="4"/>
  <c r="D90" i="4" s="1"/>
  <c r="D89" i="4" s="1"/>
  <c r="M87" i="4"/>
  <c r="M86" i="4"/>
  <c r="M82" i="4"/>
  <c r="M56" i="4"/>
  <c r="D56" i="4" s="1"/>
  <c r="D125" i="4"/>
  <c r="D124" i="4"/>
  <c r="D87" i="4"/>
  <c r="D86" i="4"/>
  <c r="D82" i="4"/>
  <c r="D75" i="4"/>
  <c r="D70" i="4"/>
  <c r="D69" i="4"/>
  <c r="D45" i="4"/>
  <c r="D44" i="4"/>
  <c r="M234" i="3"/>
  <c r="M229" i="3"/>
  <c r="M226" i="3"/>
  <c r="M222" i="3"/>
  <c r="M174" i="3"/>
  <c r="M169" i="3"/>
  <c r="M166" i="3"/>
  <c r="M162" i="3"/>
  <c r="M157" i="3"/>
  <c r="M154" i="3"/>
  <c r="M66" i="3"/>
  <c r="M59" i="3"/>
  <c r="M49" i="3"/>
  <c r="M40" i="3"/>
  <c r="D40" i="3"/>
  <c r="D234" i="3"/>
  <c r="D229" i="3"/>
  <c r="D226" i="3"/>
  <c r="D222" i="3"/>
  <c r="D217" i="3"/>
  <c r="D214" i="3"/>
  <c r="D174" i="3"/>
  <c r="D169" i="3"/>
  <c r="D166" i="3"/>
  <c r="D162" i="3"/>
  <c r="D157" i="3"/>
  <c r="D154" i="3"/>
  <c r="D66" i="3"/>
  <c r="D49" i="3"/>
  <c r="M707" i="2"/>
  <c r="M703" i="2"/>
  <c r="M699" i="2"/>
  <c r="M465" i="2"/>
  <c r="D707" i="2"/>
  <c r="K516" i="2"/>
  <c r="L516" i="2"/>
  <c r="M516" i="2"/>
  <c r="E517" i="2"/>
  <c r="F517" i="2"/>
  <c r="G517" i="2"/>
  <c r="H517" i="2"/>
  <c r="I517" i="2"/>
  <c r="J517" i="2"/>
  <c r="K517" i="2"/>
  <c r="L517" i="2"/>
  <c r="E511" i="2"/>
  <c r="F511" i="2"/>
  <c r="G511" i="2"/>
  <c r="H511" i="2"/>
  <c r="I511" i="2"/>
  <c r="J511" i="2"/>
  <c r="K511" i="2"/>
  <c r="L511" i="2"/>
  <c r="E506" i="2"/>
  <c r="E505" i="2" s="1"/>
  <c r="E10" i="2" s="1"/>
  <c r="F506" i="2"/>
  <c r="F505" i="2" s="1"/>
  <c r="F10" i="2" s="1"/>
  <c r="F9" i="2" s="1"/>
  <c r="G506" i="2"/>
  <c r="G505" i="2" s="1"/>
  <c r="G10" i="2" s="1"/>
  <c r="H506" i="2"/>
  <c r="H505" i="2" s="1"/>
  <c r="H10" i="2" s="1"/>
  <c r="H9" i="2" s="1"/>
  <c r="I506" i="2"/>
  <c r="I505" i="2" s="1"/>
  <c r="I10" i="2" s="1"/>
  <c r="J506" i="2"/>
  <c r="J505" i="2" s="1"/>
  <c r="J10" i="2" s="1"/>
  <c r="J9" i="2" s="1"/>
  <c r="K506" i="2"/>
  <c r="K505" i="2" s="1"/>
  <c r="K10" i="2" s="1"/>
  <c r="L506" i="2"/>
  <c r="L505" i="2" s="1"/>
  <c r="L10" i="2" s="1"/>
  <c r="L9" i="2" s="1"/>
  <c r="M517" i="2"/>
  <c r="M511" i="2"/>
  <c r="M507" i="2"/>
  <c r="M460" i="2"/>
  <c r="D465" i="2"/>
  <c r="D460" i="2"/>
  <c r="M415" i="2"/>
  <c r="M408" i="2"/>
  <c r="D408" i="2"/>
  <c r="M403" i="2"/>
  <c r="D403" i="2"/>
  <c r="M306" i="2"/>
  <c r="M266" i="2"/>
  <c r="M263" i="2"/>
  <c r="M256" i="2"/>
  <c r="D263" i="2"/>
  <c r="D256" i="2"/>
  <c r="D255" i="2"/>
  <c r="M181" i="2"/>
  <c r="D181" i="2"/>
  <c r="M506" i="2"/>
  <c r="X128" i="4"/>
  <c r="X127" i="4" s="1"/>
  <c r="X15" i="1"/>
  <c r="W23" i="10"/>
  <c r="X74" i="13"/>
  <c r="X86" i="13"/>
  <c r="X78" i="13"/>
  <c r="X39" i="13"/>
  <c r="X37" i="13"/>
  <c r="X30" i="13"/>
  <c r="X28" i="13"/>
  <c r="X218" i="9"/>
  <c r="X146" i="9"/>
  <c r="X144" i="9"/>
  <c r="X137" i="9"/>
  <c r="X135" i="9"/>
  <c r="X126" i="9"/>
  <c r="X101" i="9"/>
  <c r="X92" i="9"/>
  <c r="X90" i="9"/>
  <c r="X83" i="9"/>
  <c r="X81" i="9"/>
  <c r="X73" i="8"/>
  <c r="X71" i="8"/>
  <c r="X10" i="7"/>
  <c r="X14" i="7"/>
  <c r="X256" i="6"/>
  <c r="X255" i="6"/>
  <c r="X247" i="6"/>
  <c r="X226" i="6"/>
  <c r="X224" i="6"/>
  <c r="X128" i="6"/>
  <c r="X126" i="6"/>
  <c r="X125" i="6"/>
  <c r="X96" i="6"/>
  <c r="X110" i="6"/>
  <c r="X109" i="6"/>
  <c r="X107" i="6"/>
  <c r="X106" i="6"/>
  <c r="X105" i="6"/>
  <c r="X104" i="6"/>
  <c r="X102" i="6" s="1"/>
  <c r="X101" i="6" s="1"/>
  <c r="X97" i="6"/>
  <c r="X95" i="6"/>
  <c r="X94" i="6"/>
  <c r="X74" i="6"/>
  <c r="X72" i="6"/>
  <c r="X63" i="6"/>
  <c r="X61" i="6"/>
  <c r="X52" i="6"/>
  <c r="X50" i="6"/>
  <c r="X32" i="6"/>
  <c r="X30" i="6"/>
  <c r="X67" i="5"/>
  <c r="X60" i="5"/>
  <c r="X53" i="5"/>
  <c r="X37" i="5"/>
  <c r="X35" i="5"/>
  <c r="Q15" i="5"/>
  <c r="X15" i="5"/>
  <c r="X12" i="5"/>
  <c r="X125" i="4"/>
  <c r="X108" i="4"/>
  <c r="X107" i="4"/>
  <c r="X97" i="4"/>
  <c r="X87" i="4"/>
  <c r="X82" i="4"/>
  <c r="X70" i="4"/>
  <c r="X69" i="4"/>
  <c r="X59" i="4"/>
  <c r="X58" i="4"/>
  <c r="X57" i="4"/>
  <c r="X45" i="4"/>
  <c r="X44" i="4"/>
  <c r="X229" i="3"/>
  <c r="X226" i="3"/>
  <c r="X217" i="3"/>
  <c r="X216" i="3" s="1"/>
  <c r="X169" i="3"/>
  <c r="X166" i="3"/>
  <c r="X157" i="3"/>
  <c r="X40" i="3"/>
  <c r="R10" i="3"/>
  <c r="S10" i="3"/>
  <c r="T10" i="3"/>
  <c r="U10" i="3"/>
  <c r="V10" i="3"/>
  <c r="W10" i="3"/>
  <c r="X707" i="2"/>
  <c r="X695" i="2"/>
  <c r="X691" i="2"/>
  <c r="X687" i="2"/>
  <c r="X680" i="2"/>
  <c r="X679" i="2"/>
  <c r="X672" i="2"/>
  <c r="X659" i="2"/>
  <c r="X647" i="2"/>
  <c r="X635" i="2"/>
  <c r="X619" i="2"/>
  <c r="X608" i="2"/>
  <c r="X607" i="2"/>
  <c r="X500" i="2"/>
  <c r="X498" i="2"/>
  <c r="X491" i="2"/>
  <c r="X489" i="2"/>
  <c r="X460" i="2"/>
  <c r="X405" i="2"/>
  <c r="X403" i="2"/>
  <c r="X393" i="2"/>
  <c r="X381" i="2"/>
  <c r="X330" i="2"/>
  <c r="X256" i="2"/>
  <c r="X245" i="2"/>
  <c r="X243" i="2"/>
  <c r="X242" i="2"/>
  <c r="X231" i="2"/>
  <c r="X227" i="2"/>
  <c r="X194" i="2"/>
  <c r="X192" i="2"/>
  <c r="X183" i="2"/>
  <c r="X181" i="2"/>
  <c r="X173" i="2"/>
  <c r="X180" i="2"/>
  <c r="X171" i="2"/>
  <c r="X162" i="2"/>
  <c r="X160" i="2"/>
  <c r="X151" i="2"/>
  <c r="X149" i="2"/>
  <c r="X148" i="2"/>
  <c r="X147" i="2"/>
  <c r="X118" i="2"/>
  <c r="X116" i="2"/>
  <c r="X105" i="2"/>
  <c r="X102" i="2"/>
  <c r="X89" i="2"/>
  <c r="X86" i="2"/>
  <c r="X85" i="2"/>
  <c r="X84" i="2"/>
  <c r="X18" i="4"/>
  <c r="X92" i="6"/>
  <c r="X29" i="6"/>
  <c r="S23" i="6"/>
  <c r="T23" i="6"/>
  <c r="U23" i="6"/>
  <c r="V23" i="6"/>
  <c r="W23" i="6"/>
  <c r="S16" i="6"/>
  <c r="T16" i="6"/>
  <c r="U16" i="6"/>
  <c r="V16" i="6"/>
  <c r="W16" i="6"/>
  <c r="Q29" i="6"/>
  <c r="R29" i="6"/>
  <c r="S29" i="6"/>
  <c r="T29" i="6"/>
  <c r="U29" i="6"/>
  <c r="V29" i="6"/>
  <c r="P29" i="6"/>
  <c r="D29" i="6"/>
  <c r="E29" i="6"/>
  <c r="F29" i="6"/>
  <c r="G29" i="6"/>
  <c r="H29" i="6"/>
  <c r="I29" i="6"/>
  <c r="J29" i="6"/>
  <c r="K29" i="6"/>
  <c r="L29" i="6"/>
  <c r="P699" i="2"/>
  <c r="Q699" i="2"/>
  <c r="S136" i="6"/>
  <c r="Q66" i="3"/>
  <c r="P66" i="3"/>
  <c r="R23" i="10"/>
  <c r="Q23" i="10"/>
  <c r="S20" i="10"/>
  <c r="T20" i="10"/>
  <c r="U20" i="10"/>
  <c r="X108" i="9"/>
  <c r="X110" i="9"/>
  <c r="X99" i="9"/>
  <c r="E23" i="6"/>
  <c r="E22" i="6" s="1"/>
  <c r="F23" i="6"/>
  <c r="G23" i="6"/>
  <c r="H23" i="6"/>
  <c r="I23" i="6"/>
  <c r="I22" i="6" s="1"/>
  <c r="J23" i="6"/>
  <c r="M540" i="2"/>
  <c r="Q634" i="2"/>
  <c r="Q633" i="2"/>
  <c r="P635" i="2"/>
  <c r="R378" i="2"/>
  <c r="Q482" i="2"/>
  <c r="X482" i="2"/>
  <c r="Q480" i="2"/>
  <c r="X480" i="2"/>
  <c r="P482" i="2"/>
  <c r="P480" i="2"/>
  <c r="Q452" i="2"/>
  <c r="X452" i="2"/>
  <c r="Q450" i="2"/>
  <c r="X450" i="2"/>
  <c r="P452" i="2"/>
  <c r="P450" i="2"/>
  <c r="Q226" i="2"/>
  <c r="Q225" i="2"/>
  <c r="P231" i="2"/>
  <c r="X115" i="2"/>
  <c r="P115" i="2"/>
  <c r="D266" i="2"/>
  <c r="P259" i="2"/>
  <c r="X254" i="2"/>
  <c r="X273" i="2"/>
  <c r="P270" i="2"/>
  <c r="X101" i="2"/>
  <c r="X378" i="2"/>
  <c r="D703" i="2"/>
  <c r="X703" i="2"/>
  <c r="P39" i="13"/>
  <c r="P37" i="13"/>
  <c r="Q39" i="13"/>
  <c r="Q37" i="13"/>
  <c r="U19" i="10"/>
  <c r="T19" i="10"/>
  <c r="S19" i="10"/>
  <c r="U31" i="6"/>
  <c r="V31" i="6"/>
  <c r="U34" i="6"/>
  <c r="U33" i="6"/>
  <c r="V34" i="6"/>
  <c r="V33" i="6"/>
  <c r="W34" i="6"/>
  <c r="W33" i="6"/>
  <c r="V28" i="6"/>
  <c r="U28" i="6"/>
  <c r="R168" i="6"/>
  <c r="Q168" i="6"/>
  <c r="P168" i="6"/>
  <c r="R173" i="6"/>
  <c r="Q173" i="6"/>
  <c r="R180" i="6"/>
  <c r="Q180" i="6"/>
  <c r="S239" i="6"/>
  <c r="P23" i="6"/>
  <c r="P16" i="6"/>
  <c r="T81" i="1"/>
  <c r="R81" i="1"/>
  <c r="S81" i="1"/>
  <c r="P654" i="2"/>
  <c r="Q246" i="6"/>
  <c r="Q245" i="6"/>
  <c r="P247" i="6"/>
  <c r="Q173" i="3"/>
  <c r="Q170" i="3"/>
  <c r="Q164" i="3"/>
  <c r="Q168" i="3"/>
  <c r="Q165" i="3"/>
  <c r="S158" i="3"/>
  <c r="T158" i="3"/>
  <c r="S161" i="3"/>
  <c r="T161" i="3"/>
  <c r="S156" i="3"/>
  <c r="T156" i="3"/>
  <c r="S152" i="3"/>
  <c r="T152" i="3"/>
  <c r="S153" i="3"/>
  <c r="T153" i="3"/>
  <c r="U41" i="7"/>
  <c r="V41" i="7"/>
  <c r="U38" i="7"/>
  <c r="V38" i="7"/>
  <c r="U39" i="7"/>
  <c r="V39" i="7"/>
  <c r="U36" i="7"/>
  <c r="V36" i="7"/>
  <c r="U32" i="7"/>
  <c r="V33" i="7"/>
  <c r="V32" i="7"/>
  <c r="U33" i="7"/>
  <c r="E19" i="7"/>
  <c r="F19" i="7"/>
  <c r="G19" i="7"/>
  <c r="H19" i="7"/>
  <c r="I19" i="7"/>
  <c r="J19" i="7"/>
  <c r="K19" i="7"/>
  <c r="L19" i="7"/>
  <c r="M19" i="7"/>
  <c r="N19" i="7"/>
  <c r="O19" i="7"/>
  <c r="P19" i="7"/>
  <c r="Q19" i="7"/>
  <c r="R19" i="7"/>
  <c r="S19" i="7"/>
  <c r="T19" i="7"/>
  <c r="U19" i="7"/>
  <c r="V19" i="7"/>
  <c r="W19" i="7"/>
  <c r="R28" i="7"/>
  <c r="R29" i="7"/>
  <c r="X129" i="6"/>
  <c r="X124" i="6"/>
  <c r="X123" i="6"/>
  <c r="D230" i="6"/>
  <c r="R230" i="6"/>
  <c r="Q230" i="6"/>
  <c r="P230" i="6"/>
  <c r="O230" i="6"/>
  <c r="N230" i="6"/>
  <c r="L230" i="6"/>
  <c r="K230" i="6"/>
  <c r="J230" i="6"/>
  <c r="I230" i="6"/>
  <c r="H230" i="6"/>
  <c r="G230" i="6"/>
  <c r="F230" i="6"/>
  <c r="E230" i="6"/>
  <c r="Q228" i="6"/>
  <c r="R228" i="6"/>
  <c r="P228" i="6"/>
  <c r="O228" i="6"/>
  <c r="N228" i="6"/>
  <c r="L228" i="6"/>
  <c r="K228" i="6"/>
  <c r="J228" i="6"/>
  <c r="I228" i="6"/>
  <c r="H228" i="6"/>
  <c r="G228" i="6"/>
  <c r="F228" i="6"/>
  <c r="E228" i="6"/>
  <c r="R227" i="6"/>
  <c r="P227" i="6"/>
  <c r="O227" i="6"/>
  <c r="N227" i="6"/>
  <c r="L227" i="6"/>
  <c r="K227" i="6"/>
  <c r="J227" i="6"/>
  <c r="I227" i="6"/>
  <c r="H227" i="6"/>
  <c r="G227" i="6"/>
  <c r="F227" i="6"/>
  <c r="E227" i="6"/>
  <c r="X225" i="6"/>
  <c r="D225" i="6"/>
  <c r="R225" i="6"/>
  <c r="Q225" i="6"/>
  <c r="P225" i="6"/>
  <c r="O225" i="6"/>
  <c r="N225" i="6"/>
  <c r="M225" i="6"/>
  <c r="L225" i="6"/>
  <c r="K225" i="6"/>
  <c r="J225" i="6"/>
  <c r="I225" i="6"/>
  <c r="H225" i="6"/>
  <c r="G225" i="6"/>
  <c r="F225" i="6"/>
  <c r="E225" i="6"/>
  <c r="M223" i="6"/>
  <c r="M222" i="6"/>
  <c r="R223" i="6"/>
  <c r="Q223" i="6"/>
  <c r="O223" i="6"/>
  <c r="N223" i="6"/>
  <c r="L223" i="6"/>
  <c r="K223" i="6"/>
  <c r="K222" i="6"/>
  <c r="J223" i="6"/>
  <c r="I223" i="6"/>
  <c r="H223" i="6"/>
  <c r="G223" i="6"/>
  <c r="G222" i="6"/>
  <c r="F223" i="6"/>
  <c r="E223" i="6"/>
  <c r="O222" i="6"/>
  <c r="N222" i="6"/>
  <c r="I222" i="6"/>
  <c r="E222" i="6"/>
  <c r="D220" i="6"/>
  <c r="D219" i="6"/>
  <c r="R23" i="6"/>
  <c r="Q23" i="6"/>
  <c r="X215" i="6"/>
  <c r="X214" i="6"/>
  <c r="D215" i="6"/>
  <c r="D214" i="6"/>
  <c r="R213" i="6"/>
  <c r="Q213" i="6"/>
  <c r="P213" i="6"/>
  <c r="D213" i="6"/>
  <c r="R16" i="6"/>
  <c r="X212" i="6"/>
  <c r="D212" i="6"/>
  <c r="X211" i="6"/>
  <c r="X210" i="6"/>
  <c r="X209" i="6"/>
  <c r="D211" i="6"/>
  <c r="D210" i="6"/>
  <c r="D209" i="6"/>
  <c r="F222" i="6"/>
  <c r="H222" i="6"/>
  <c r="J222" i="6"/>
  <c r="L222" i="6"/>
  <c r="R222" i="6"/>
  <c r="Q222" i="6"/>
  <c r="Q227" i="6"/>
  <c r="D228" i="6"/>
  <c r="D227" i="6"/>
  <c r="X223" i="6"/>
  <c r="X222" i="6"/>
  <c r="P223" i="6"/>
  <c r="P222" i="6"/>
  <c r="M228" i="6"/>
  <c r="M230" i="6"/>
  <c r="M227" i="6"/>
  <c r="D223" i="6"/>
  <c r="D222" i="6"/>
  <c r="Q149" i="8"/>
  <c r="Q146" i="8"/>
  <c r="Q143" i="8"/>
  <c r="X143" i="8"/>
  <c r="Q141" i="8"/>
  <c r="X141" i="8"/>
  <c r="O607" i="2"/>
  <c r="P57" i="4"/>
  <c r="W23" i="3"/>
  <c r="V23" i="3"/>
  <c r="U23" i="3"/>
  <c r="T23" i="3"/>
  <c r="S23" i="3"/>
  <c r="R23" i="3"/>
  <c r="Q23" i="3"/>
  <c r="P23" i="3"/>
  <c r="O23" i="3"/>
  <c r="O17" i="3"/>
  <c r="O10" i="3"/>
  <c r="E227" i="3"/>
  <c r="M227" i="3"/>
  <c r="D227" i="3"/>
  <c r="X227" i="3"/>
  <c r="O234" i="3"/>
  <c r="O233" i="3"/>
  <c r="K234" i="3"/>
  <c r="E234" i="3"/>
  <c r="W233" i="3"/>
  <c r="V233" i="3"/>
  <c r="U233" i="3"/>
  <c r="T233" i="3"/>
  <c r="S233" i="3"/>
  <c r="R233" i="3"/>
  <c r="Q233" i="3"/>
  <c r="P233" i="3"/>
  <c r="N233" i="3"/>
  <c r="L233" i="3"/>
  <c r="K233" i="3"/>
  <c r="J233" i="3"/>
  <c r="I233" i="3"/>
  <c r="H233" i="3"/>
  <c r="G233" i="3"/>
  <c r="F233" i="3"/>
  <c r="E233" i="3"/>
  <c r="E232" i="3"/>
  <c r="M232" i="3"/>
  <c r="W231" i="3"/>
  <c r="V231" i="3"/>
  <c r="V230" i="3"/>
  <c r="U231" i="3"/>
  <c r="U230" i="3"/>
  <c r="T231" i="3"/>
  <c r="S231" i="3"/>
  <c r="R231" i="3"/>
  <c r="Q231" i="3"/>
  <c r="Q230" i="3"/>
  <c r="P231" i="3"/>
  <c r="O231" i="3"/>
  <c r="N231" i="3"/>
  <c r="L231" i="3"/>
  <c r="K231" i="3"/>
  <c r="K230" i="3"/>
  <c r="J231" i="3"/>
  <c r="I231" i="3"/>
  <c r="I230" i="3"/>
  <c r="H231" i="3"/>
  <c r="G231" i="3"/>
  <c r="G230" i="3"/>
  <c r="F231" i="3"/>
  <c r="E231" i="3"/>
  <c r="E230" i="3"/>
  <c r="S230" i="3"/>
  <c r="L230" i="3"/>
  <c r="J230" i="3"/>
  <c r="H230" i="3"/>
  <c r="F230" i="3"/>
  <c r="X228" i="3"/>
  <c r="E229" i="3"/>
  <c r="W228" i="3"/>
  <c r="V228" i="3"/>
  <c r="U228" i="3"/>
  <c r="T228" i="3"/>
  <c r="S228" i="3"/>
  <c r="R228" i="3"/>
  <c r="Q228" i="3"/>
  <c r="P228" i="3"/>
  <c r="O228" i="3"/>
  <c r="N228" i="3"/>
  <c r="L228" i="3"/>
  <c r="K228" i="3"/>
  <c r="J228" i="3"/>
  <c r="I228" i="3"/>
  <c r="H228" i="3"/>
  <c r="G228" i="3"/>
  <c r="F228" i="3"/>
  <c r="E228" i="3"/>
  <c r="X225" i="3"/>
  <c r="O225" i="3"/>
  <c r="O224" i="3"/>
  <c r="E226" i="3"/>
  <c r="W225" i="3"/>
  <c r="V225" i="3"/>
  <c r="V224" i="3"/>
  <c r="U225" i="3"/>
  <c r="U224" i="3"/>
  <c r="T225" i="3"/>
  <c r="T224" i="3"/>
  <c r="S225" i="3"/>
  <c r="S224" i="3"/>
  <c r="R225" i="3"/>
  <c r="R224" i="3"/>
  <c r="Q225" i="3"/>
  <c r="P225" i="3"/>
  <c r="P224" i="3" s="1"/>
  <c r="N225" i="3"/>
  <c r="N224" i="3"/>
  <c r="L225" i="3"/>
  <c r="L224" i="3"/>
  <c r="K225" i="3"/>
  <c r="K224" i="3"/>
  <c r="J225" i="3"/>
  <c r="J224" i="3"/>
  <c r="I225" i="3"/>
  <c r="H225" i="3"/>
  <c r="H224" i="3"/>
  <c r="G225" i="3"/>
  <c r="G224" i="3"/>
  <c r="F225" i="3"/>
  <c r="F224" i="3"/>
  <c r="W224" i="3"/>
  <c r="I224" i="3"/>
  <c r="N230" i="3"/>
  <c r="P230" i="3"/>
  <c r="R230" i="3"/>
  <c r="T230" i="3"/>
  <c r="O230" i="3"/>
  <c r="D228" i="3"/>
  <c r="M228" i="3"/>
  <c r="D232" i="3"/>
  <c r="D231" i="3"/>
  <c r="M231" i="3"/>
  <c r="X224" i="3"/>
  <c r="X10" i="3" s="1"/>
  <c r="W230" i="3"/>
  <c r="D225" i="3"/>
  <c r="M225" i="3"/>
  <c r="M224" i="3"/>
  <c r="D233" i="3"/>
  <c r="D230" i="3"/>
  <c r="M233" i="3"/>
  <c r="M230" i="3"/>
  <c r="E225" i="3"/>
  <c r="E224" i="3"/>
  <c r="Q100" i="2"/>
  <c r="Q99" i="2"/>
  <c r="Q114" i="2"/>
  <c r="Q113" i="2"/>
  <c r="X259" i="2"/>
  <c r="Q147" i="2"/>
  <c r="Q146" i="2"/>
  <c r="Q179" i="2"/>
  <c r="Q178" i="2"/>
  <c r="Q191" i="2"/>
  <c r="Q190" i="2"/>
  <c r="P192" i="2"/>
  <c r="Q170" i="2"/>
  <c r="Q169" i="2"/>
  <c r="P171" i="2"/>
  <c r="X321" i="2"/>
  <c r="X318" i="2"/>
  <c r="Q297" i="2"/>
  <c r="X297" i="2"/>
  <c r="Q294" i="2"/>
  <c r="X294" i="2"/>
  <c r="P297" i="2"/>
  <c r="P294" i="2"/>
  <c r="Q309" i="2"/>
  <c r="X309" i="2"/>
  <c r="Q306" i="2"/>
  <c r="X306" i="2"/>
  <c r="P309" i="2"/>
  <c r="P306" i="2"/>
  <c r="D306" i="2"/>
  <c r="R136" i="9"/>
  <c r="W148" i="9"/>
  <c r="W147" i="9" s="1"/>
  <c r="V148" i="9"/>
  <c r="V147" i="9" s="1"/>
  <c r="U148" i="9"/>
  <c r="U147" i="9" s="1"/>
  <c r="T148" i="9"/>
  <c r="T147" i="9" s="1"/>
  <c r="S148" i="9"/>
  <c r="S147" i="9" s="1"/>
  <c r="R148" i="9"/>
  <c r="R147" i="9" s="1"/>
  <c r="Q148" i="9"/>
  <c r="Q147" i="9" s="1"/>
  <c r="P148" i="9"/>
  <c r="O148" i="9"/>
  <c r="O147" i="9" s="1"/>
  <c r="N148" i="9"/>
  <c r="N147" i="9" s="1"/>
  <c r="M148" i="9"/>
  <c r="M147" i="9" s="1"/>
  <c r="L148" i="9"/>
  <c r="L147" i="9" s="1"/>
  <c r="K148" i="9"/>
  <c r="K147" i="9" s="1"/>
  <c r="J148" i="9"/>
  <c r="I148" i="9"/>
  <c r="H148" i="9"/>
  <c r="H147" i="9" s="1"/>
  <c r="G148" i="9"/>
  <c r="G147" i="9" s="1"/>
  <c r="F148" i="9"/>
  <c r="F147" i="9" s="1"/>
  <c r="E148" i="9"/>
  <c r="E147" i="9" s="1"/>
  <c r="P147" i="9"/>
  <c r="J147" i="9"/>
  <c r="X145" i="9"/>
  <c r="X143" i="9"/>
  <c r="O143" i="9"/>
  <c r="N143" i="9"/>
  <c r="W139" i="9"/>
  <c r="W138" i="9" s="1"/>
  <c r="V139" i="9"/>
  <c r="V138" i="9" s="1"/>
  <c r="U139" i="9"/>
  <c r="U138" i="9" s="1"/>
  <c r="T139" i="9"/>
  <c r="S139" i="9"/>
  <c r="Q139" i="9"/>
  <c r="P139" i="9"/>
  <c r="O139" i="9"/>
  <c r="O138" i="9" s="1"/>
  <c r="N139" i="9"/>
  <c r="N138" i="9" s="1"/>
  <c r="M139" i="9"/>
  <c r="M138" i="9" s="1"/>
  <c r="L139" i="9"/>
  <c r="L138" i="9" s="1"/>
  <c r="K139" i="9"/>
  <c r="K138" i="9" s="1"/>
  <c r="J139" i="9"/>
  <c r="J138" i="9" s="1"/>
  <c r="I139" i="9"/>
  <c r="H139" i="9"/>
  <c r="H138" i="9" s="1"/>
  <c r="G139" i="9"/>
  <c r="G138" i="9" s="1"/>
  <c r="F139" i="9"/>
  <c r="F138" i="9" s="1"/>
  <c r="E139" i="9"/>
  <c r="E138" i="9" s="1"/>
  <c r="X136" i="9"/>
  <c r="X134" i="9"/>
  <c r="X89" i="9"/>
  <c r="X88" i="9"/>
  <c r="O89" i="9"/>
  <c r="N89" i="9"/>
  <c r="S138" i="9"/>
  <c r="T138" i="9"/>
  <c r="Q138" i="9"/>
  <c r="X142" i="9"/>
  <c r="X133" i="9"/>
  <c r="P592" i="2"/>
  <c r="R599" i="2"/>
  <c r="Q599" i="2"/>
  <c r="P599" i="2"/>
  <c r="X599" i="2"/>
  <c r="E587" i="2"/>
  <c r="F587" i="2"/>
  <c r="G587" i="2"/>
  <c r="H587" i="2"/>
  <c r="I587" i="2"/>
  <c r="J587" i="2"/>
  <c r="K587" i="2"/>
  <c r="L587" i="2"/>
  <c r="N587" i="2"/>
  <c r="P587" i="2"/>
  <c r="Q587" i="2"/>
  <c r="R587" i="2"/>
  <c r="S587" i="2"/>
  <c r="T587" i="2"/>
  <c r="U587" i="2"/>
  <c r="V587" i="2"/>
  <c r="W587" i="2"/>
  <c r="U582" i="2"/>
  <c r="V582" i="2"/>
  <c r="W582" i="2"/>
  <c r="U583" i="2"/>
  <c r="V583" i="2"/>
  <c r="W583" i="2"/>
  <c r="P607" i="2"/>
  <c r="Q606" i="2"/>
  <c r="Q605" i="2"/>
  <c r="S423" i="2"/>
  <c r="S420" i="2"/>
  <c r="T420" i="2"/>
  <c r="T419" i="2"/>
  <c r="T423" i="2"/>
  <c r="Q424" i="2"/>
  <c r="N421" i="2"/>
  <c r="M421" i="2"/>
  <c r="D421" i="2"/>
  <c r="S413" i="2"/>
  <c r="S417" i="2"/>
  <c r="T417" i="2"/>
  <c r="Q418" i="2"/>
  <c r="T413" i="2"/>
  <c r="Q415" i="2"/>
  <c r="R414" i="2"/>
  <c r="Q414" i="2"/>
  <c r="S412" i="2"/>
  <c r="S11" i="2"/>
  <c r="D415" i="2"/>
  <c r="X415" i="2"/>
  <c r="X418" i="2"/>
  <c r="S419" i="2"/>
  <c r="T412" i="2"/>
  <c r="U586" i="2"/>
  <c r="V586" i="2"/>
  <c r="W586" i="2"/>
  <c r="T706" i="2"/>
  <c r="S706" i="2"/>
  <c r="R706" i="2"/>
  <c r="Q706" i="2"/>
  <c r="T705" i="2"/>
  <c r="S705" i="2"/>
  <c r="R705" i="2"/>
  <c r="Q705" i="2"/>
  <c r="R702" i="2"/>
  <c r="R701" i="2"/>
  <c r="S702" i="2"/>
  <c r="S701" i="2"/>
  <c r="T702" i="2"/>
  <c r="T701" i="2"/>
  <c r="X706" i="2"/>
  <c r="X705" i="2"/>
  <c r="P706" i="2"/>
  <c r="O706" i="2"/>
  <c r="N706" i="2"/>
  <c r="M706" i="2"/>
  <c r="L706" i="2"/>
  <c r="D706" i="2"/>
  <c r="P705" i="2"/>
  <c r="O705" i="2"/>
  <c r="N705" i="2"/>
  <c r="M705" i="2"/>
  <c r="L705" i="2"/>
  <c r="D705" i="2"/>
  <c r="X702" i="2"/>
  <c r="X701" i="2"/>
  <c r="D702" i="2"/>
  <c r="D701" i="2"/>
  <c r="Q702" i="2"/>
  <c r="Q701" i="2"/>
  <c r="P702" i="2"/>
  <c r="P701" i="2"/>
  <c r="O702" i="2"/>
  <c r="O701" i="2"/>
  <c r="N702" i="2"/>
  <c r="M702" i="2"/>
  <c r="M701" i="2"/>
  <c r="L702" i="2"/>
  <c r="L701" i="2"/>
  <c r="N701" i="2"/>
  <c r="T614" i="2"/>
  <c r="T613" i="2"/>
  <c r="R615" i="2"/>
  <c r="X615" i="2"/>
  <c r="Q473" i="2"/>
  <c r="X473" i="2"/>
  <c r="P473" i="2"/>
  <c r="Q471" i="2"/>
  <c r="X471" i="2"/>
  <c r="P471" i="2"/>
  <c r="Q462" i="2"/>
  <c r="X462" i="2"/>
  <c r="P462" i="2"/>
  <c r="Q459" i="2"/>
  <c r="X459" i="2"/>
  <c r="P459" i="2"/>
  <c r="X671" i="2"/>
  <c r="Z705" i="2"/>
  <c r="Z701" i="2"/>
  <c r="T42" i="3"/>
  <c r="S42" i="3"/>
  <c r="R42" i="3"/>
  <c r="T43" i="3"/>
  <c r="S43" i="3"/>
  <c r="R43" i="3"/>
  <c r="X57" i="13"/>
  <c r="T60" i="13"/>
  <c r="S60" i="13"/>
  <c r="R60" i="13"/>
  <c r="T66" i="13"/>
  <c r="S66" i="13"/>
  <c r="R66" i="13"/>
  <c r="T65" i="13"/>
  <c r="S65" i="13"/>
  <c r="R65" i="13"/>
  <c r="X63" i="13"/>
  <c r="T59" i="13"/>
  <c r="S59" i="13"/>
  <c r="P66" i="5"/>
  <c r="P65" i="5"/>
  <c r="Q66" i="5"/>
  <c r="Q65" i="5"/>
  <c r="P69" i="5"/>
  <c r="Q69" i="5"/>
  <c r="P36" i="5"/>
  <c r="P34" i="5"/>
  <c r="P33" i="5"/>
  <c r="Q36" i="5"/>
  <c r="Q34" i="5"/>
  <c r="Q33" i="5"/>
  <c r="T33" i="3"/>
  <c r="T32" i="3"/>
  <c r="O17" i="4"/>
  <c r="Q19" i="4"/>
  <c r="N71" i="1"/>
  <c r="P19" i="4"/>
  <c r="M71" i="1"/>
  <c r="E24" i="13"/>
  <c r="F24" i="13"/>
  <c r="G24" i="13"/>
  <c r="H24" i="13"/>
  <c r="I24" i="13"/>
  <c r="J24" i="13"/>
  <c r="K24" i="13"/>
  <c r="L24" i="13"/>
  <c r="M24" i="13"/>
  <c r="N24" i="13"/>
  <c r="O24" i="13"/>
  <c r="P24" i="13"/>
  <c r="R24" i="13"/>
  <c r="S24" i="13"/>
  <c r="T24" i="13"/>
  <c r="V24" i="13"/>
  <c r="W24" i="13"/>
  <c r="E18" i="13"/>
  <c r="F18" i="13"/>
  <c r="G18" i="13"/>
  <c r="H18" i="13"/>
  <c r="I18" i="13"/>
  <c r="J18" i="13"/>
  <c r="K18" i="13"/>
  <c r="L18" i="13"/>
  <c r="N18" i="13"/>
  <c r="O18" i="13"/>
  <c r="U18" i="13"/>
  <c r="V18" i="13"/>
  <c r="W18" i="13"/>
  <c r="O15" i="13"/>
  <c r="E14" i="13"/>
  <c r="F14" i="13"/>
  <c r="G14" i="13"/>
  <c r="H14" i="13"/>
  <c r="I14" i="13"/>
  <c r="J14" i="13"/>
  <c r="K14" i="13"/>
  <c r="L14" i="13"/>
  <c r="M14" i="13"/>
  <c r="N14" i="13"/>
  <c r="O14" i="13"/>
  <c r="P14" i="13"/>
  <c r="Q14" i="13"/>
  <c r="R14" i="13"/>
  <c r="S14" i="13"/>
  <c r="T14" i="13"/>
  <c r="U14" i="13"/>
  <c r="V14" i="13"/>
  <c r="W14" i="13"/>
  <c r="U15" i="13"/>
  <c r="V15" i="13"/>
  <c r="W15" i="13"/>
  <c r="P41" i="13"/>
  <c r="Q41" i="13"/>
  <c r="R41" i="13"/>
  <c r="S41" i="13"/>
  <c r="T41" i="13"/>
  <c r="U41" i="13"/>
  <c r="P36" i="13"/>
  <c r="Q36" i="13"/>
  <c r="R36" i="13"/>
  <c r="S36" i="13"/>
  <c r="T36" i="13"/>
  <c r="P38" i="13"/>
  <c r="Q38" i="13"/>
  <c r="R38" i="13"/>
  <c r="S38" i="13"/>
  <c r="T38" i="13"/>
  <c r="N29" i="13"/>
  <c r="O29" i="13"/>
  <c r="N27" i="13"/>
  <c r="N26" i="13"/>
  <c r="O27" i="13"/>
  <c r="P32" i="13"/>
  <c r="R32" i="13"/>
  <c r="S32" i="13"/>
  <c r="T32" i="13"/>
  <c r="Q32" i="13"/>
  <c r="Q29" i="13"/>
  <c r="R29" i="13"/>
  <c r="S29" i="13"/>
  <c r="Q27" i="13"/>
  <c r="R27" i="13"/>
  <c r="S27" i="13"/>
  <c r="Q26" i="13"/>
  <c r="S26" i="13"/>
  <c r="P29" i="13"/>
  <c r="P27" i="13"/>
  <c r="X109" i="9"/>
  <c r="S112" i="9"/>
  <c r="M112" i="9"/>
  <c r="R112" i="9"/>
  <c r="X107" i="9"/>
  <c r="X106" i="9"/>
  <c r="S98" i="9"/>
  <c r="M111" i="9"/>
  <c r="X14" i="13"/>
  <c r="X18" i="13"/>
  <c r="X15" i="13"/>
  <c r="S111" i="9"/>
  <c r="R111" i="9"/>
  <c r="T31" i="13"/>
  <c r="R31" i="13"/>
  <c r="O26" i="13"/>
  <c r="P35" i="13"/>
  <c r="T35" i="13"/>
  <c r="R35" i="13"/>
  <c r="P26" i="13"/>
  <c r="R26" i="13"/>
  <c r="S31" i="13"/>
  <c r="Q31" i="13"/>
  <c r="S35" i="13"/>
  <c r="Q35" i="13"/>
  <c r="U40" i="13"/>
  <c r="S40" i="13"/>
  <c r="Q40" i="13"/>
  <c r="P31" i="13"/>
  <c r="T40" i="13"/>
  <c r="R40" i="13"/>
  <c r="P40" i="13"/>
  <c r="O86" i="13"/>
  <c r="O68" i="13"/>
  <c r="O67" i="13"/>
  <c r="O21" i="13"/>
  <c r="X128" i="9"/>
  <c r="P330" i="2"/>
  <c r="O330" i="2"/>
  <c r="N330" i="2"/>
  <c r="N329" i="2"/>
  <c r="L330" i="2"/>
  <c r="I330" i="2"/>
  <c r="I329" i="2"/>
  <c r="I328" i="2"/>
  <c r="E330" i="2"/>
  <c r="O329" i="2"/>
  <c r="L329" i="2"/>
  <c r="L328" i="2"/>
  <c r="K329" i="2"/>
  <c r="K328" i="2"/>
  <c r="J329" i="2"/>
  <c r="J328" i="2"/>
  <c r="H329" i="2"/>
  <c r="H328" i="2"/>
  <c r="G329" i="2"/>
  <c r="G328" i="2"/>
  <c r="F329" i="2"/>
  <c r="F328" i="2"/>
  <c r="E329" i="2"/>
  <c r="E328" i="2"/>
  <c r="O328" i="2"/>
  <c r="N328" i="2"/>
  <c r="D330" i="2"/>
  <c r="P329" i="2"/>
  <c r="M329" i="2"/>
  <c r="M328" i="2"/>
  <c r="Q253" i="2"/>
  <c r="P253" i="2"/>
  <c r="O253" i="2"/>
  <c r="X285" i="2"/>
  <c r="Q270" i="2"/>
  <c r="X270" i="2"/>
  <c r="P328" i="2"/>
  <c r="X282" i="2"/>
  <c r="N253" i="2"/>
  <c r="D254" i="2"/>
  <c r="O81" i="7"/>
  <c r="D61" i="3"/>
  <c r="D60" i="3"/>
  <c r="D55" i="3"/>
  <c r="Q59" i="3"/>
  <c r="Q17" i="3" s="1"/>
  <c r="R59" i="3"/>
  <c r="R17" i="3"/>
  <c r="S59" i="3"/>
  <c r="S17" i="3"/>
  <c r="T59" i="3"/>
  <c r="T17" i="3"/>
  <c r="U59" i="3"/>
  <c r="U17" i="3"/>
  <c r="U15" i="3" s="1"/>
  <c r="V59" i="3"/>
  <c r="V17" i="3"/>
  <c r="W59" i="3"/>
  <c r="W17" i="3"/>
  <c r="W15" i="3" s="1"/>
  <c r="P59" i="3"/>
  <c r="M58" i="3"/>
  <c r="D56" i="3"/>
  <c r="P54" i="3"/>
  <c r="P13" i="3"/>
  <c r="P12" i="3" s="1"/>
  <c r="Q54" i="3"/>
  <c r="R54" i="3"/>
  <c r="R13" i="3" s="1"/>
  <c r="R12" i="3" s="1"/>
  <c r="S54" i="3"/>
  <c r="S53" i="3" s="1"/>
  <c r="T54" i="3"/>
  <c r="T13" i="3" s="1"/>
  <c r="T12" i="3" s="1"/>
  <c r="U54" i="3"/>
  <c r="U13" i="3" s="1"/>
  <c r="U12" i="3" s="1"/>
  <c r="V54" i="3"/>
  <c r="V13" i="3" s="1"/>
  <c r="V12" i="3" s="1"/>
  <c r="W54" i="3"/>
  <c r="W13" i="3" s="1"/>
  <c r="O54" i="3"/>
  <c r="O13" i="3" s="1"/>
  <c r="E65" i="3"/>
  <c r="F65" i="3"/>
  <c r="G65" i="3"/>
  <c r="H65" i="3"/>
  <c r="I65" i="3"/>
  <c r="J65" i="3"/>
  <c r="K65" i="3"/>
  <c r="L65" i="3"/>
  <c r="N65" i="3"/>
  <c r="O65" i="3"/>
  <c r="P65" i="3"/>
  <c r="Q65" i="3"/>
  <c r="R65" i="3"/>
  <c r="S65" i="3"/>
  <c r="T65" i="3"/>
  <c r="U65" i="3"/>
  <c r="V65" i="3"/>
  <c r="W65" i="3"/>
  <c r="E63" i="3"/>
  <c r="F63" i="3"/>
  <c r="G63" i="3"/>
  <c r="H63" i="3"/>
  <c r="I63" i="3"/>
  <c r="J63" i="3"/>
  <c r="K63" i="3"/>
  <c r="L63" i="3"/>
  <c r="N63" i="3"/>
  <c r="O63" i="3"/>
  <c r="P63" i="3"/>
  <c r="Q63" i="3"/>
  <c r="R63" i="3"/>
  <c r="S63" i="3"/>
  <c r="T63" i="3"/>
  <c r="U63" i="3"/>
  <c r="V63" i="3"/>
  <c r="W63" i="3"/>
  <c r="E62" i="3"/>
  <c r="F62" i="3"/>
  <c r="G62" i="3"/>
  <c r="H62" i="3"/>
  <c r="I62" i="3"/>
  <c r="J62" i="3"/>
  <c r="K62" i="3"/>
  <c r="L62" i="3"/>
  <c r="N62" i="3"/>
  <c r="O62" i="3"/>
  <c r="P62" i="3"/>
  <c r="Q62" i="3"/>
  <c r="R62" i="3"/>
  <c r="S62" i="3"/>
  <c r="T62" i="3"/>
  <c r="U62" i="3"/>
  <c r="V62" i="3"/>
  <c r="W62" i="3"/>
  <c r="E58" i="3"/>
  <c r="F58" i="3"/>
  <c r="G58" i="3"/>
  <c r="H58" i="3"/>
  <c r="I58" i="3"/>
  <c r="J58" i="3"/>
  <c r="K58" i="3"/>
  <c r="L58" i="3"/>
  <c r="N58" i="3"/>
  <c r="O58" i="3"/>
  <c r="P58" i="3"/>
  <c r="R58" i="3"/>
  <c r="T58" i="3"/>
  <c r="V58" i="3"/>
  <c r="F53" i="3"/>
  <c r="G53" i="3"/>
  <c r="G52" i="3" s="1"/>
  <c r="G9" i="3" s="1"/>
  <c r="G8" i="3" s="1"/>
  <c r="H53" i="3"/>
  <c r="I53" i="3"/>
  <c r="J53" i="3"/>
  <c r="K53" i="3"/>
  <c r="L53" i="3"/>
  <c r="N53" i="3"/>
  <c r="O53" i="3"/>
  <c r="U53" i="3"/>
  <c r="W53" i="3"/>
  <c r="X59" i="3"/>
  <c r="Q13" i="3"/>
  <c r="Q12" i="3" s="1"/>
  <c r="X54" i="3"/>
  <c r="P17" i="3"/>
  <c r="D59" i="3"/>
  <c r="V53" i="3"/>
  <c r="T53" i="3"/>
  <c r="R53" i="3"/>
  <c r="W58" i="3"/>
  <c r="U58" i="3"/>
  <c r="S58" i="3"/>
  <c r="P53" i="3"/>
  <c r="N52" i="3"/>
  <c r="Q53" i="3"/>
  <c r="U52" i="3"/>
  <c r="O52" i="3"/>
  <c r="Q84" i="8"/>
  <c r="X84" i="8"/>
  <c r="Q82" i="8"/>
  <c r="X82" i="8"/>
  <c r="X17" i="8"/>
  <c r="P82" i="8"/>
  <c r="R83" i="8"/>
  <c r="S83" i="8"/>
  <c r="R81" i="8"/>
  <c r="S81" i="8"/>
  <c r="S88" i="8"/>
  <c r="S86" i="8"/>
  <c r="S85" i="8"/>
  <c r="R89" i="8"/>
  <c r="R87" i="8"/>
  <c r="Q87" i="8"/>
  <c r="P89" i="8"/>
  <c r="P87" i="8"/>
  <c r="W52" i="3"/>
  <c r="S80" i="8"/>
  <c r="R80" i="8"/>
  <c r="Q217" i="9"/>
  <c r="R217" i="9"/>
  <c r="S217" i="9"/>
  <c r="P507" i="2"/>
  <c r="Q507" i="2"/>
  <c r="O16" i="3"/>
  <c r="O22" i="3"/>
  <c r="Q33" i="3"/>
  <c r="R33" i="3"/>
  <c r="S33" i="3"/>
  <c r="O33" i="3"/>
  <c r="D22" i="3"/>
  <c r="O48" i="3"/>
  <c r="D16" i="3"/>
  <c r="O39" i="3"/>
  <c r="R32" i="3"/>
  <c r="S654" i="2"/>
  <c r="R654" i="2"/>
  <c r="Q654" i="2"/>
  <c r="X654" i="2"/>
  <c r="U592" i="2"/>
  <c r="R80" i="1"/>
  <c r="V592" i="2"/>
  <c r="S80" i="1"/>
  <c r="W592" i="2"/>
  <c r="T80" i="1"/>
  <c r="T662" i="2"/>
  <c r="T592" i="2"/>
  <c r="S662" i="2"/>
  <c r="S592" i="2"/>
  <c r="T661" i="2"/>
  <c r="S661" i="2"/>
  <c r="T660" i="2"/>
  <c r="S660" i="2"/>
  <c r="R662" i="2"/>
  <c r="R592" i="2"/>
  <c r="Q662" i="2"/>
  <c r="Q592" i="2"/>
  <c r="P594" i="2"/>
  <c r="T658" i="2"/>
  <c r="T586" i="2"/>
  <c r="S658" i="2"/>
  <c r="R658" i="2"/>
  <c r="Q658" i="2"/>
  <c r="X658" i="2"/>
  <c r="S653" i="2"/>
  <c r="S652" i="2"/>
  <c r="S586" i="2"/>
  <c r="Q80" i="1"/>
  <c r="P80" i="1"/>
  <c r="N396" i="2"/>
  <c r="P391" i="2"/>
  <c r="N390" i="2"/>
  <c r="O68" i="6"/>
  <c r="M68" i="6"/>
  <c r="O66" i="6"/>
  <c r="M66" i="6"/>
  <c r="O63" i="6"/>
  <c r="M63" i="6"/>
  <c r="O61" i="6"/>
  <c r="M61" i="6"/>
  <c r="O57" i="6"/>
  <c r="M57" i="6"/>
  <c r="D57" i="6"/>
  <c r="O55" i="6"/>
  <c r="M55" i="6"/>
  <c r="D55" i="6"/>
  <c r="O52" i="6"/>
  <c r="M52" i="6"/>
  <c r="D52" i="6"/>
  <c r="O50" i="6"/>
  <c r="M50" i="6"/>
  <c r="P251" i="6"/>
  <c r="O251" i="6"/>
  <c r="S614" i="2"/>
  <c r="S613" i="2"/>
  <c r="H586" i="2"/>
  <c r="G586" i="2"/>
  <c r="F586" i="2"/>
  <c r="R699" i="2"/>
  <c r="M698" i="2"/>
  <c r="M697" i="2"/>
  <c r="Q698" i="2"/>
  <c r="Q697" i="2"/>
  <c r="P698" i="2"/>
  <c r="P697" i="2"/>
  <c r="O698" i="2"/>
  <c r="N698" i="2"/>
  <c r="N697" i="2"/>
  <c r="L698" i="2"/>
  <c r="O697" i="2"/>
  <c r="L697" i="2"/>
  <c r="X690" i="2"/>
  <c r="X689" i="2"/>
  <c r="D587" i="2"/>
  <c r="F436" i="2"/>
  <c r="G436" i="2"/>
  <c r="H436" i="2"/>
  <c r="I436" i="2"/>
  <c r="J436" i="2"/>
  <c r="K436" i="2"/>
  <c r="L436" i="2"/>
  <c r="N436" i="2"/>
  <c r="O436" i="2"/>
  <c r="E434" i="2"/>
  <c r="E433" i="2"/>
  <c r="F434" i="2"/>
  <c r="F433" i="2"/>
  <c r="G434" i="2"/>
  <c r="G433" i="2"/>
  <c r="H434" i="2"/>
  <c r="H433" i="2"/>
  <c r="I434" i="2"/>
  <c r="I433" i="2"/>
  <c r="J434" i="2"/>
  <c r="J433" i="2"/>
  <c r="K434" i="2"/>
  <c r="K433" i="2"/>
  <c r="L434" i="2"/>
  <c r="L433" i="2"/>
  <c r="N434" i="2"/>
  <c r="O434" i="2"/>
  <c r="P434" i="2"/>
  <c r="Q434" i="2"/>
  <c r="R434" i="2"/>
  <c r="S434" i="2"/>
  <c r="T434" i="2"/>
  <c r="U434" i="2"/>
  <c r="V434" i="2"/>
  <c r="W434" i="2"/>
  <c r="F431" i="2"/>
  <c r="G431" i="2"/>
  <c r="H431" i="2"/>
  <c r="I431" i="2"/>
  <c r="J431" i="2"/>
  <c r="K431" i="2"/>
  <c r="L431" i="2"/>
  <c r="N431" i="2"/>
  <c r="O431" i="2"/>
  <c r="E429" i="2"/>
  <c r="F429" i="2"/>
  <c r="G429" i="2"/>
  <c r="H429" i="2"/>
  <c r="I429" i="2"/>
  <c r="J429" i="2"/>
  <c r="K429" i="2"/>
  <c r="L429" i="2"/>
  <c r="N429" i="2"/>
  <c r="O429" i="2"/>
  <c r="P429" i="2"/>
  <c r="Q429" i="2"/>
  <c r="R429" i="2"/>
  <c r="S429" i="2"/>
  <c r="T429" i="2"/>
  <c r="U429" i="2"/>
  <c r="V429" i="2"/>
  <c r="W429" i="2"/>
  <c r="F428" i="2"/>
  <c r="F427" i="2" s="1"/>
  <c r="G428" i="2"/>
  <c r="H428" i="2"/>
  <c r="I428" i="2"/>
  <c r="I427" i="2" s="1"/>
  <c r="I426" i="2" s="1"/>
  <c r="G28" i="10" s="1"/>
  <c r="J428" i="2"/>
  <c r="J427" i="2" s="1"/>
  <c r="J426" i="2" s="1"/>
  <c r="K428" i="2"/>
  <c r="K427" i="2" s="1"/>
  <c r="K426" i="2" s="1"/>
  <c r="I28" i="10" s="1"/>
  <c r="O428" i="2"/>
  <c r="O427" i="2" s="1"/>
  <c r="O426" i="2" s="1"/>
  <c r="T428" i="2"/>
  <c r="U428" i="2"/>
  <c r="V428" i="2"/>
  <c r="W428" i="2"/>
  <c r="E326" i="2"/>
  <c r="M326" i="2"/>
  <c r="D326" i="2"/>
  <c r="R325" i="2"/>
  <c r="Q325" i="2"/>
  <c r="P325" i="2"/>
  <c r="O325" i="2"/>
  <c r="N325" i="2"/>
  <c r="L325" i="2"/>
  <c r="K325" i="2"/>
  <c r="J325" i="2"/>
  <c r="I325" i="2"/>
  <c r="H325" i="2"/>
  <c r="G325" i="2"/>
  <c r="F325" i="2"/>
  <c r="E325" i="2"/>
  <c r="E324" i="2"/>
  <c r="D324" i="2"/>
  <c r="D323" i="2"/>
  <c r="P323" i="2"/>
  <c r="O323" i="2"/>
  <c r="O322" i="2"/>
  <c r="N323" i="2"/>
  <c r="M323" i="2"/>
  <c r="L323" i="2"/>
  <c r="K323" i="2"/>
  <c r="K322" i="2"/>
  <c r="J323" i="2"/>
  <c r="I323" i="2"/>
  <c r="H323" i="2"/>
  <c r="G323" i="2"/>
  <c r="F323" i="2"/>
  <c r="E323" i="2"/>
  <c r="Q322" i="2"/>
  <c r="P322" i="2"/>
  <c r="N322" i="2"/>
  <c r="L322" i="2"/>
  <c r="J322" i="2"/>
  <c r="I322" i="2"/>
  <c r="H322" i="2"/>
  <c r="G322" i="2"/>
  <c r="F322" i="2"/>
  <c r="E322" i="2"/>
  <c r="X320" i="2"/>
  <c r="O321" i="2"/>
  <c r="M321" i="2"/>
  <c r="D321" i="2"/>
  <c r="R320" i="2"/>
  <c r="Q320" i="2"/>
  <c r="P320" i="2"/>
  <c r="N320" i="2"/>
  <c r="L320" i="2"/>
  <c r="K320" i="2"/>
  <c r="J320" i="2"/>
  <c r="I320" i="2"/>
  <c r="H320" i="2"/>
  <c r="G320" i="2"/>
  <c r="F320" i="2"/>
  <c r="E320" i="2"/>
  <c r="D319" i="2"/>
  <c r="X317" i="2"/>
  <c r="O318" i="2"/>
  <c r="R317" i="2"/>
  <c r="Q317" i="2"/>
  <c r="P317" i="2"/>
  <c r="N317" i="2"/>
  <c r="L317" i="2"/>
  <c r="K317" i="2"/>
  <c r="K316" i="2"/>
  <c r="J317" i="2"/>
  <c r="I317" i="2"/>
  <c r="I316" i="2"/>
  <c r="H317" i="2"/>
  <c r="G317" i="2"/>
  <c r="G316" i="2"/>
  <c r="F317" i="2"/>
  <c r="E317" i="2"/>
  <c r="E316" i="2"/>
  <c r="N316" i="2"/>
  <c r="L316" i="2"/>
  <c r="J316" i="2"/>
  <c r="H316" i="2"/>
  <c r="F316" i="2"/>
  <c r="E314" i="2"/>
  <c r="M314" i="2"/>
  <c r="D314" i="2"/>
  <c r="R313" i="2"/>
  <c r="Q313" i="2"/>
  <c r="P313" i="2"/>
  <c r="O313" i="2"/>
  <c r="N313" i="2"/>
  <c r="L313" i="2"/>
  <c r="K313" i="2"/>
  <c r="J313" i="2"/>
  <c r="I313" i="2"/>
  <c r="H313" i="2"/>
  <c r="G313" i="2"/>
  <c r="F313" i="2"/>
  <c r="E312" i="2"/>
  <c r="E311" i="2"/>
  <c r="D312" i="2"/>
  <c r="D311" i="2"/>
  <c r="P311" i="2"/>
  <c r="P310" i="2"/>
  <c r="O311" i="2"/>
  <c r="N311" i="2"/>
  <c r="M311" i="2"/>
  <c r="L311" i="2"/>
  <c r="L310" i="2"/>
  <c r="K311" i="2"/>
  <c r="J311" i="2"/>
  <c r="J310" i="2"/>
  <c r="I311" i="2"/>
  <c r="H311" i="2"/>
  <c r="H310" i="2"/>
  <c r="G311" i="2"/>
  <c r="F311" i="2"/>
  <c r="F310" i="2"/>
  <c r="Q310" i="2"/>
  <c r="N310" i="2"/>
  <c r="K310" i="2"/>
  <c r="I310" i="2"/>
  <c r="X308" i="2"/>
  <c r="O309" i="2"/>
  <c r="O308" i="2"/>
  <c r="M309" i="2"/>
  <c r="D309" i="2"/>
  <c r="R308" i="2"/>
  <c r="Q308" i="2"/>
  <c r="P308" i="2"/>
  <c r="N308" i="2"/>
  <c r="L308" i="2"/>
  <c r="K308" i="2"/>
  <c r="J308" i="2"/>
  <c r="I308" i="2"/>
  <c r="H308" i="2"/>
  <c r="G308" i="2"/>
  <c r="F308" i="2"/>
  <c r="E308" i="2"/>
  <c r="D307" i="2"/>
  <c r="X305" i="2"/>
  <c r="O306" i="2"/>
  <c r="O305" i="2"/>
  <c r="M305" i="2"/>
  <c r="R305" i="2"/>
  <c r="Q305" i="2"/>
  <c r="P305" i="2"/>
  <c r="N305" i="2"/>
  <c r="L305" i="2"/>
  <c r="K305" i="2"/>
  <c r="J305" i="2"/>
  <c r="I305" i="2"/>
  <c r="H305" i="2"/>
  <c r="G305" i="2"/>
  <c r="F305" i="2"/>
  <c r="E305" i="2"/>
  <c r="R304" i="2"/>
  <c r="L304" i="2"/>
  <c r="K304" i="2"/>
  <c r="J304" i="2"/>
  <c r="I304" i="2"/>
  <c r="H304" i="2"/>
  <c r="G304" i="2"/>
  <c r="F304" i="2"/>
  <c r="E304" i="2"/>
  <c r="E302" i="2"/>
  <c r="M302" i="2"/>
  <c r="D302" i="2"/>
  <c r="R301" i="2"/>
  <c r="Q301" i="2"/>
  <c r="P301" i="2"/>
  <c r="O301" i="2"/>
  <c r="N301" i="2"/>
  <c r="L301" i="2"/>
  <c r="K301" i="2"/>
  <c r="J301" i="2"/>
  <c r="I301" i="2"/>
  <c r="H301" i="2"/>
  <c r="G301" i="2"/>
  <c r="F301" i="2"/>
  <c r="E300" i="2"/>
  <c r="E299" i="2"/>
  <c r="D300" i="2"/>
  <c r="P299" i="2"/>
  <c r="O299" i="2"/>
  <c r="N299" i="2"/>
  <c r="M299" i="2"/>
  <c r="L299" i="2"/>
  <c r="K299" i="2"/>
  <c r="J299" i="2"/>
  <c r="I299" i="2"/>
  <c r="I298" i="2"/>
  <c r="H299" i="2"/>
  <c r="G299" i="2"/>
  <c r="G298" i="2"/>
  <c r="F299" i="2"/>
  <c r="D299" i="2"/>
  <c r="R298" i="2"/>
  <c r="P298" i="2"/>
  <c r="N298" i="2"/>
  <c r="K298" i="2"/>
  <c r="X296" i="2"/>
  <c r="O297" i="2"/>
  <c r="R296" i="2"/>
  <c r="Q296" i="2"/>
  <c r="P296" i="2"/>
  <c r="N296" i="2"/>
  <c r="L296" i="2"/>
  <c r="K296" i="2"/>
  <c r="J296" i="2"/>
  <c r="I296" i="2"/>
  <c r="H296" i="2"/>
  <c r="G296" i="2"/>
  <c r="F296" i="2"/>
  <c r="E296" i="2"/>
  <c r="D295" i="2"/>
  <c r="X293" i="2"/>
  <c r="O294" i="2"/>
  <c r="R293" i="2"/>
  <c r="Q293" i="2"/>
  <c r="P293" i="2"/>
  <c r="N293" i="2"/>
  <c r="L293" i="2"/>
  <c r="L292" i="2"/>
  <c r="K293" i="2"/>
  <c r="J293" i="2"/>
  <c r="I293" i="2"/>
  <c r="H293" i="2"/>
  <c r="H292" i="2"/>
  <c r="G293" i="2"/>
  <c r="F293" i="2"/>
  <c r="F292" i="2"/>
  <c r="E293" i="2"/>
  <c r="J292" i="2"/>
  <c r="R289" i="2"/>
  <c r="R284" i="2"/>
  <c r="R281" i="2"/>
  <c r="E290" i="2"/>
  <c r="M290" i="2"/>
  <c r="D290" i="2"/>
  <c r="Q289" i="2"/>
  <c r="P289" i="2"/>
  <c r="O289" i="2"/>
  <c r="N289" i="2"/>
  <c r="L289" i="2"/>
  <c r="K289" i="2"/>
  <c r="J289" i="2"/>
  <c r="I289" i="2"/>
  <c r="H289" i="2"/>
  <c r="G289" i="2"/>
  <c r="F289" i="2"/>
  <c r="E289" i="2"/>
  <c r="E288" i="2"/>
  <c r="E287" i="2"/>
  <c r="D288" i="2"/>
  <c r="D287" i="2"/>
  <c r="P287" i="2"/>
  <c r="O287" i="2"/>
  <c r="N287" i="2"/>
  <c r="M287" i="2"/>
  <c r="L287" i="2"/>
  <c r="K287" i="2"/>
  <c r="J287" i="2"/>
  <c r="I287" i="2"/>
  <c r="I286" i="2"/>
  <c r="H287" i="2"/>
  <c r="G287" i="2"/>
  <c r="G286" i="2"/>
  <c r="F287" i="2"/>
  <c r="K286" i="2"/>
  <c r="X284" i="2"/>
  <c r="O285" i="2"/>
  <c r="M285" i="2"/>
  <c r="D285" i="2"/>
  <c r="Q284" i="2"/>
  <c r="P284" i="2"/>
  <c r="N284" i="2"/>
  <c r="L284" i="2"/>
  <c r="K284" i="2"/>
  <c r="J284" i="2"/>
  <c r="I284" i="2"/>
  <c r="H284" i="2"/>
  <c r="G284" i="2"/>
  <c r="F284" i="2"/>
  <c r="E284" i="2"/>
  <c r="D283" i="2"/>
  <c r="X281" i="2"/>
  <c r="O282" i="2"/>
  <c r="M282" i="2"/>
  <c r="D282" i="2"/>
  <c r="Q281" i="2"/>
  <c r="P281" i="2"/>
  <c r="O281" i="2"/>
  <c r="N281" i="2"/>
  <c r="L281" i="2"/>
  <c r="L280" i="2"/>
  <c r="K281" i="2"/>
  <c r="J281" i="2"/>
  <c r="J280" i="2"/>
  <c r="I281" i="2"/>
  <c r="H281" i="2"/>
  <c r="H280" i="2"/>
  <c r="G281" i="2"/>
  <c r="G280" i="2"/>
  <c r="F281" i="2"/>
  <c r="F280" i="2"/>
  <c r="E281" i="2"/>
  <c r="E280" i="2"/>
  <c r="Q280" i="2"/>
  <c r="I280" i="2"/>
  <c r="G118" i="2"/>
  <c r="G116" i="2"/>
  <c r="G115" i="2"/>
  <c r="P123" i="2"/>
  <c r="P121" i="2"/>
  <c r="O123" i="2"/>
  <c r="O121" i="2"/>
  <c r="N118" i="2"/>
  <c r="N116" i="2"/>
  <c r="N115" i="2"/>
  <c r="L118" i="2"/>
  <c r="L116" i="2"/>
  <c r="L115" i="2"/>
  <c r="O176" i="2"/>
  <c r="N176" i="2"/>
  <c r="N173" i="2"/>
  <c r="N171" i="2"/>
  <c r="P503" i="2"/>
  <c r="E503" i="2"/>
  <c r="M503" i="2"/>
  <c r="D503" i="2"/>
  <c r="T502" i="2"/>
  <c r="S502" i="2"/>
  <c r="R502" i="2"/>
  <c r="Q502" i="2"/>
  <c r="P502" i="2"/>
  <c r="O502" i="2"/>
  <c r="N502" i="2"/>
  <c r="L502" i="2"/>
  <c r="L501" i="2"/>
  <c r="K502" i="2"/>
  <c r="K501" i="2"/>
  <c r="J502" i="2"/>
  <c r="J501" i="2"/>
  <c r="I502" i="2"/>
  <c r="I501" i="2"/>
  <c r="H502" i="2"/>
  <c r="H501" i="2"/>
  <c r="G502" i="2"/>
  <c r="G501" i="2"/>
  <c r="F502" i="2"/>
  <c r="F501" i="2"/>
  <c r="T501" i="2"/>
  <c r="Q501" i="2"/>
  <c r="E500" i="2"/>
  <c r="M500" i="2"/>
  <c r="D500" i="2"/>
  <c r="X499" i="2"/>
  <c r="S499" i="2"/>
  <c r="R499" i="2"/>
  <c r="Q499" i="2"/>
  <c r="P499" i="2"/>
  <c r="O499" i="2"/>
  <c r="N499" i="2"/>
  <c r="L499" i="2"/>
  <c r="K499" i="2"/>
  <c r="J499" i="2"/>
  <c r="I499" i="2"/>
  <c r="H499" i="2"/>
  <c r="G499" i="2"/>
  <c r="F499" i="2"/>
  <c r="N498" i="2"/>
  <c r="N497" i="2"/>
  <c r="L498" i="2"/>
  <c r="L497" i="2"/>
  <c r="E498" i="2"/>
  <c r="X497" i="2"/>
  <c r="S497" i="2"/>
  <c r="R497" i="2"/>
  <c r="Q497" i="2"/>
  <c r="P497" i="2"/>
  <c r="O497" i="2"/>
  <c r="K497" i="2"/>
  <c r="J497" i="2"/>
  <c r="J496" i="2"/>
  <c r="I497" i="2"/>
  <c r="H497" i="2"/>
  <c r="H496" i="2"/>
  <c r="G497" i="2"/>
  <c r="F497" i="2"/>
  <c r="F496" i="2"/>
  <c r="T493" i="2"/>
  <c r="R493" i="2"/>
  <c r="S493" i="2"/>
  <c r="R490" i="2"/>
  <c r="S490" i="2"/>
  <c r="R488" i="2"/>
  <c r="S488" i="2"/>
  <c r="P494" i="2"/>
  <c r="P493" i="2"/>
  <c r="E494" i="2"/>
  <c r="M494" i="2"/>
  <c r="D494" i="2"/>
  <c r="Q493" i="2"/>
  <c r="O493" i="2"/>
  <c r="N493" i="2"/>
  <c r="L493" i="2"/>
  <c r="L492" i="2"/>
  <c r="K493" i="2"/>
  <c r="K492" i="2"/>
  <c r="J493" i="2"/>
  <c r="J492" i="2"/>
  <c r="I493" i="2"/>
  <c r="I492" i="2"/>
  <c r="H493" i="2"/>
  <c r="H492" i="2"/>
  <c r="G493" i="2"/>
  <c r="G492" i="2"/>
  <c r="F493" i="2"/>
  <c r="F492" i="2"/>
  <c r="E491" i="2"/>
  <c r="M491" i="2"/>
  <c r="D491" i="2"/>
  <c r="X490" i="2"/>
  <c r="Q490" i="2"/>
  <c r="P490" i="2"/>
  <c r="O490" i="2"/>
  <c r="N490" i="2"/>
  <c r="L490" i="2"/>
  <c r="K490" i="2"/>
  <c r="J490" i="2"/>
  <c r="J487" i="2"/>
  <c r="I490" i="2"/>
  <c r="H490" i="2"/>
  <c r="G490" i="2"/>
  <c r="F490" i="2"/>
  <c r="N489" i="2"/>
  <c r="N488" i="2"/>
  <c r="L489" i="2"/>
  <c r="L488" i="2"/>
  <c r="L487" i="2"/>
  <c r="E489" i="2"/>
  <c r="X488" i="2"/>
  <c r="Q488" i="2"/>
  <c r="P488" i="2"/>
  <c r="O488" i="2"/>
  <c r="K488" i="2"/>
  <c r="K487" i="2"/>
  <c r="J488" i="2"/>
  <c r="I488" i="2"/>
  <c r="I487" i="2"/>
  <c r="H488" i="2"/>
  <c r="G488" i="2"/>
  <c r="G487" i="2"/>
  <c r="F488" i="2"/>
  <c r="E488" i="2"/>
  <c r="P485" i="2"/>
  <c r="E485" i="2"/>
  <c r="M485" i="2"/>
  <c r="R484" i="2"/>
  <c r="Q484" i="2"/>
  <c r="P484" i="2"/>
  <c r="O484" i="2"/>
  <c r="N484" i="2"/>
  <c r="L484" i="2"/>
  <c r="L483" i="2"/>
  <c r="K484" i="2"/>
  <c r="J484" i="2"/>
  <c r="J483" i="2"/>
  <c r="I484" i="2"/>
  <c r="I483" i="2"/>
  <c r="H484" i="2"/>
  <c r="H483" i="2"/>
  <c r="G484" i="2"/>
  <c r="G483" i="2"/>
  <c r="F484" i="2"/>
  <c r="F483" i="2"/>
  <c r="K483" i="2"/>
  <c r="X481" i="2"/>
  <c r="E482" i="2"/>
  <c r="M482" i="2"/>
  <c r="D482" i="2"/>
  <c r="Q481" i="2"/>
  <c r="P481" i="2"/>
  <c r="O481" i="2"/>
  <c r="N481" i="2"/>
  <c r="L481" i="2"/>
  <c r="K481" i="2"/>
  <c r="J481" i="2"/>
  <c r="I481" i="2"/>
  <c r="H481" i="2"/>
  <c r="G481" i="2"/>
  <c r="F481" i="2"/>
  <c r="X479" i="2"/>
  <c r="N480" i="2"/>
  <c r="N479" i="2"/>
  <c r="L480" i="2"/>
  <c r="L479" i="2"/>
  <c r="E480" i="2"/>
  <c r="Q479" i="2"/>
  <c r="P479" i="2"/>
  <c r="O479" i="2"/>
  <c r="K479" i="2"/>
  <c r="J479" i="2"/>
  <c r="I479" i="2"/>
  <c r="H479" i="2"/>
  <c r="H478" i="2"/>
  <c r="G479" i="2"/>
  <c r="F479" i="2"/>
  <c r="F478" i="2"/>
  <c r="E479" i="2"/>
  <c r="J478" i="2"/>
  <c r="P476" i="2"/>
  <c r="E476" i="2"/>
  <c r="M476" i="2"/>
  <c r="D476" i="2"/>
  <c r="R475" i="2"/>
  <c r="R474" i="2"/>
  <c r="Q475" i="2"/>
  <c r="Q474" i="2"/>
  <c r="P475" i="2"/>
  <c r="O475" i="2"/>
  <c r="O474" i="2"/>
  <c r="N475" i="2"/>
  <c r="L475" i="2"/>
  <c r="L474" i="2"/>
  <c r="K475" i="2"/>
  <c r="J475" i="2"/>
  <c r="J474" i="2"/>
  <c r="I475" i="2"/>
  <c r="I474" i="2"/>
  <c r="H475" i="2"/>
  <c r="H474" i="2"/>
  <c r="G475" i="2"/>
  <c r="G474" i="2"/>
  <c r="F475" i="2"/>
  <c r="F474" i="2"/>
  <c r="P474" i="2"/>
  <c r="N474" i="2"/>
  <c r="K474" i="2"/>
  <c r="X472" i="2"/>
  <c r="E473" i="2"/>
  <c r="M473" i="2"/>
  <c r="D473" i="2"/>
  <c r="Q472" i="2"/>
  <c r="P472" i="2"/>
  <c r="O472" i="2"/>
  <c r="N472" i="2"/>
  <c r="L472" i="2"/>
  <c r="K472" i="2"/>
  <c r="J472" i="2"/>
  <c r="I472" i="2"/>
  <c r="H472" i="2"/>
  <c r="G472" i="2"/>
  <c r="F472" i="2"/>
  <c r="X470" i="2"/>
  <c r="N471" i="2"/>
  <c r="L471" i="2"/>
  <c r="E471" i="2"/>
  <c r="Q470" i="2"/>
  <c r="P470" i="2"/>
  <c r="O470" i="2"/>
  <c r="N470" i="2"/>
  <c r="L470" i="2"/>
  <c r="K470" i="2"/>
  <c r="J470" i="2"/>
  <c r="I470" i="2"/>
  <c r="H470" i="2"/>
  <c r="G470" i="2"/>
  <c r="F470" i="2"/>
  <c r="Q316" i="2"/>
  <c r="E470" i="2"/>
  <c r="M471" i="2"/>
  <c r="D471" i="2"/>
  <c r="M480" i="2"/>
  <c r="D480" i="2"/>
  <c r="D485" i="2"/>
  <c r="F487" i="2"/>
  <c r="H487" i="2"/>
  <c r="M489" i="2"/>
  <c r="D489" i="2"/>
  <c r="O492" i="2"/>
  <c r="G496" i="2"/>
  <c r="I496" i="2"/>
  <c r="K496" i="2"/>
  <c r="K280" i="2"/>
  <c r="O284" i="2"/>
  <c r="O293" i="2"/>
  <c r="M294" i="2"/>
  <c r="D294" i="2"/>
  <c r="O296" i="2"/>
  <c r="M297" i="2"/>
  <c r="X429" i="2"/>
  <c r="O593" i="2"/>
  <c r="X699" i="2"/>
  <c r="X698" i="2"/>
  <c r="X697" i="2"/>
  <c r="D699" i="2"/>
  <c r="E497" i="2"/>
  <c r="M498" i="2"/>
  <c r="D498" i="2"/>
  <c r="O317" i="2"/>
  <c r="M318" i="2"/>
  <c r="X43" i="2"/>
  <c r="X496" i="2"/>
  <c r="F469" i="2"/>
  <c r="H469" i="2"/>
  <c r="J469" i="2"/>
  <c r="L469" i="2"/>
  <c r="G469" i="2"/>
  <c r="I469" i="2"/>
  <c r="K469" i="2"/>
  <c r="G478" i="2"/>
  <c r="I478" i="2"/>
  <c r="K478" i="2"/>
  <c r="E493" i="2"/>
  <c r="E492" i="2"/>
  <c r="O469" i="2"/>
  <c r="O478" i="2"/>
  <c r="O487" i="2"/>
  <c r="Q487" i="2"/>
  <c r="N487" i="2"/>
  <c r="R487" i="2"/>
  <c r="P496" i="2"/>
  <c r="O280" i="2"/>
  <c r="P292" i="2"/>
  <c r="R292" i="2"/>
  <c r="Q298" i="2"/>
  <c r="N304" i="2"/>
  <c r="Q304" i="2"/>
  <c r="N478" i="2"/>
  <c r="P487" i="2"/>
  <c r="S487" i="2"/>
  <c r="O496" i="2"/>
  <c r="Q496" i="2"/>
  <c r="S496" i="2"/>
  <c r="Q286" i="2"/>
  <c r="R286" i="2"/>
  <c r="N292" i="2"/>
  <c r="P304" i="2"/>
  <c r="G310" i="2"/>
  <c r="R310" i="2"/>
  <c r="P316" i="2"/>
  <c r="R316" i="2"/>
  <c r="O320" i="2"/>
  <c r="R322" i="2"/>
  <c r="N483" i="2"/>
  <c r="P483" i="2"/>
  <c r="R483" i="2"/>
  <c r="S492" i="2"/>
  <c r="T492" i="2"/>
  <c r="O501" i="2"/>
  <c r="S501" i="2"/>
  <c r="O483" i="2"/>
  <c r="Q483" i="2"/>
  <c r="N492" i="2"/>
  <c r="Q492" i="2"/>
  <c r="P492" i="2"/>
  <c r="R492" i="2"/>
  <c r="N501" i="2"/>
  <c r="P501" i="2"/>
  <c r="R501" i="2"/>
  <c r="Q478" i="2"/>
  <c r="P478" i="2"/>
  <c r="D293" i="2"/>
  <c r="F298" i="2"/>
  <c r="H298" i="2"/>
  <c r="N469" i="2"/>
  <c r="L478" i="2"/>
  <c r="J298" i="2"/>
  <c r="L298" i="2"/>
  <c r="E475" i="2"/>
  <c r="E474" i="2"/>
  <c r="O316" i="2"/>
  <c r="O298" i="2"/>
  <c r="D320" i="2"/>
  <c r="L496" i="2"/>
  <c r="D284" i="2"/>
  <c r="E286" i="2"/>
  <c r="O286" i="2"/>
  <c r="E292" i="2"/>
  <c r="G292" i="2"/>
  <c r="I292" i="2"/>
  <c r="K292" i="2"/>
  <c r="M293" i="2"/>
  <c r="E301" i="2"/>
  <c r="E298" i="2"/>
  <c r="O304" i="2"/>
  <c r="D308" i="2"/>
  <c r="O310" i="2"/>
  <c r="E313" i="2"/>
  <c r="E310" i="2"/>
  <c r="M320" i="2"/>
  <c r="N496" i="2"/>
  <c r="E502" i="2"/>
  <c r="E501" i="2"/>
  <c r="N280" i="2"/>
  <c r="P280" i="2"/>
  <c r="D281" i="2"/>
  <c r="M284" i="2"/>
  <c r="Q292" i="2"/>
  <c r="O292" i="2"/>
  <c r="D305" i="2"/>
  <c r="M308" i="2"/>
  <c r="R698" i="2"/>
  <c r="R697" i="2"/>
  <c r="D698" i="2"/>
  <c r="D697" i="2"/>
  <c r="Z689" i="2"/>
  <c r="M289" i="2"/>
  <c r="D289" i="2"/>
  <c r="D286" i="2"/>
  <c r="D301" i="2"/>
  <c r="D298" i="2"/>
  <c r="M301" i="2"/>
  <c r="N286" i="2"/>
  <c r="P286" i="2"/>
  <c r="R496" i="2"/>
  <c r="F286" i="2"/>
  <c r="H286" i="2"/>
  <c r="J286" i="2"/>
  <c r="L286" i="2"/>
  <c r="X316" i="2"/>
  <c r="D325" i="2"/>
  <c r="D322" i="2"/>
  <c r="M325" i="2"/>
  <c r="X304" i="2"/>
  <c r="D313" i="2"/>
  <c r="D310" i="2"/>
  <c r="M313" i="2"/>
  <c r="X292" i="2"/>
  <c r="R280" i="2"/>
  <c r="X280" i="2"/>
  <c r="M281" i="2"/>
  <c r="D497" i="2"/>
  <c r="M497" i="2"/>
  <c r="D499" i="2"/>
  <c r="M499" i="2"/>
  <c r="D502" i="2"/>
  <c r="D501" i="2"/>
  <c r="M502" i="2"/>
  <c r="E499" i="2"/>
  <c r="E496" i="2"/>
  <c r="X487" i="2"/>
  <c r="D488" i="2"/>
  <c r="M488" i="2"/>
  <c r="D490" i="2"/>
  <c r="M490" i="2"/>
  <c r="D493" i="2"/>
  <c r="D492" i="2"/>
  <c r="M493" i="2"/>
  <c r="E490" i="2"/>
  <c r="E487" i="2"/>
  <c r="X478" i="2"/>
  <c r="D479" i="2"/>
  <c r="M479" i="2"/>
  <c r="D481" i="2"/>
  <c r="M481" i="2"/>
  <c r="D484" i="2"/>
  <c r="D483" i="2"/>
  <c r="M484" i="2"/>
  <c r="E481" i="2"/>
  <c r="E478" i="2"/>
  <c r="E484" i="2"/>
  <c r="E483" i="2"/>
  <c r="Q469" i="2"/>
  <c r="X469" i="2"/>
  <c r="P469" i="2"/>
  <c r="D472" i="2"/>
  <c r="M472" i="2"/>
  <c r="D475" i="2"/>
  <c r="D474" i="2"/>
  <c r="M475" i="2"/>
  <c r="M474" i="2"/>
  <c r="E472" i="2"/>
  <c r="E469" i="2"/>
  <c r="D318" i="2"/>
  <c r="M317" i="2"/>
  <c r="M593" i="2"/>
  <c r="D593" i="2"/>
  <c r="D297" i="2"/>
  <c r="D296" i="2"/>
  <c r="M296" i="2"/>
  <c r="D280" i="2"/>
  <c r="D292" i="2"/>
  <c r="D304" i="2"/>
  <c r="M280" i="2"/>
  <c r="M310" i="2"/>
  <c r="M286" i="2"/>
  <c r="M292" i="2"/>
  <c r="M322" i="2"/>
  <c r="M298" i="2"/>
  <c r="M304" i="2"/>
  <c r="M492" i="2"/>
  <c r="M501" i="2"/>
  <c r="M483" i="2"/>
  <c r="Z697" i="2"/>
  <c r="M496" i="2"/>
  <c r="D496" i="2"/>
  <c r="M487" i="2"/>
  <c r="D487" i="2"/>
  <c r="D478" i="2"/>
  <c r="M478" i="2"/>
  <c r="D470" i="2"/>
  <c r="D469" i="2"/>
  <c r="M470" i="2"/>
  <c r="M429" i="2"/>
  <c r="N459" i="2"/>
  <c r="N458" i="2"/>
  <c r="L464" i="2"/>
  <c r="K464" i="2"/>
  <c r="J464" i="2"/>
  <c r="I464" i="2"/>
  <c r="H464" i="2"/>
  <c r="G464" i="2"/>
  <c r="F464" i="2"/>
  <c r="E464" i="2"/>
  <c r="O458" i="2"/>
  <c r="P458" i="2"/>
  <c r="Q458" i="2"/>
  <c r="R458" i="2"/>
  <c r="E459" i="2"/>
  <c r="M459" i="2"/>
  <c r="D459" i="2"/>
  <c r="L458" i="2"/>
  <c r="K458" i="2"/>
  <c r="J458" i="2"/>
  <c r="I458" i="2"/>
  <c r="H458" i="2"/>
  <c r="G458" i="2"/>
  <c r="F458" i="2"/>
  <c r="E458" i="2"/>
  <c r="N464" i="2"/>
  <c r="P467" i="2"/>
  <c r="E467" i="2"/>
  <c r="M467" i="2"/>
  <c r="R466" i="2"/>
  <c r="Q466" i="2"/>
  <c r="P466" i="2"/>
  <c r="O466" i="2"/>
  <c r="N466" i="2"/>
  <c r="L466" i="2"/>
  <c r="K466" i="2"/>
  <c r="J466" i="2"/>
  <c r="I466" i="2"/>
  <c r="H466" i="2"/>
  <c r="G466" i="2"/>
  <c r="F466" i="2"/>
  <c r="E462" i="2"/>
  <c r="M462" i="2"/>
  <c r="D462" i="2"/>
  <c r="X461" i="2"/>
  <c r="Q461" i="2"/>
  <c r="P461" i="2"/>
  <c r="O461" i="2"/>
  <c r="N461" i="2"/>
  <c r="L461" i="2"/>
  <c r="K461" i="2"/>
  <c r="J461" i="2"/>
  <c r="I461" i="2"/>
  <c r="H461" i="2"/>
  <c r="G461" i="2"/>
  <c r="F461" i="2"/>
  <c r="X458" i="2"/>
  <c r="R454" i="2"/>
  <c r="Q455" i="2"/>
  <c r="P455" i="2"/>
  <c r="Q451" i="2"/>
  <c r="Q449" i="2"/>
  <c r="L630" i="2"/>
  <c r="L629" i="2"/>
  <c r="M627" i="2"/>
  <c r="M628" i="2"/>
  <c r="D317" i="2"/>
  <c r="D316" i="2"/>
  <c r="D467" i="2"/>
  <c r="M316" i="2"/>
  <c r="D429" i="2"/>
  <c r="O463" i="2"/>
  <c r="Q463" i="2"/>
  <c r="R457" i="2"/>
  <c r="P463" i="2"/>
  <c r="R463" i="2"/>
  <c r="M469" i="2"/>
  <c r="R453" i="2"/>
  <c r="E461" i="2"/>
  <c r="E466" i="2"/>
  <c r="N463" i="2"/>
  <c r="F457" i="2"/>
  <c r="H457" i="2"/>
  <c r="J457" i="2"/>
  <c r="L457" i="2"/>
  <c r="Q457" i="2"/>
  <c r="O457" i="2"/>
  <c r="F463" i="2"/>
  <c r="H463" i="2"/>
  <c r="J463" i="2"/>
  <c r="L463" i="2"/>
  <c r="N457" i="2"/>
  <c r="E457" i="2"/>
  <c r="G457" i="2"/>
  <c r="I457" i="2"/>
  <c r="K457" i="2"/>
  <c r="M458" i="2"/>
  <c r="P457" i="2"/>
  <c r="E463" i="2"/>
  <c r="G463" i="2"/>
  <c r="I463" i="2"/>
  <c r="K463" i="2"/>
  <c r="M434" i="2"/>
  <c r="M433" i="2"/>
  <c r="X457" i="2"/>
  <c r="D461" i="2"/>
  <c r="M461" i="2"/>
  <c r="D466" i="2"/>
  <c r="M466" i="2"/>
  <c r="Q448" i="2"/>
  <c r="M464" i="2"/>
  <c r="M463" i="2"/>
  <c r="D458" i="2"/>
  <c r="D457" i="2"/>
  <c r="D464" i="2"/>
  <c r="D463" i="2"/>
  <c r="D434" i="2"/>
  <c r="D433" i="2"/>
  <c r="M457" i="2"/>
  <c r="D82" i="3"/>
  <c r="D83" i="3"/>
  <c r="T148" i="8"/>
  <c r="U148" i="8"/>
  <c r="V148" i="8"/>
  <c r="W148" i="8"/>
  <c r="T145" i="8"/>
  <c r="T144" i="8"/>
  <c r="U145" i="8"/>
  <c r="U144" i="8"/>
  <c r="V145" i="8"/>
  <c r="W145" i="8"/>
  <c r="W144" i="8"/>
  <c r="T142" i="8"/>
  <c r="U142" i="8"/>
  <c r="V142" i="8"/>
  <c r="W142" i="8"/>
  <c r="T139" i="8"/>
  <c r="U139" i="8"/>
  <c r="V139" i="8"/>
  <c r="W139" i="8"/>
  <c r="M44" i="3"/>
  <c r="V138" i="8"/>
  <c r="T138" i="8"/>
  <c r="U138" i="8"/>
  <c r="W138" i="8"/>
  <c r="V144" i="8"/>
  <c r="M50" i="8"/>
  <c r="R205" i="6"/>
  <c r="D203" i="6"/>
  <c r="M15" i="5"/>
  <c r="F17" i="5"/>
  <c r="G17" i="5"/>
  <c r="H17" i="5"/>
  <c r="I17" i="5"/>
  <c r="J17" i="5"/>
  <c r="K17" i="5"/>
  <c r="L17" i="5"/>
  <c r="N17" i="5"/>
  <c r="O17" i="5"/>
  <c r="P17" i="5"/>
  <c r="Q17" i="5"/>
  <c r="R17" i="5"/>
  <c r="S17" i="5"/>
  <c r="T17" i="5"/>
  <c r="U17" i="5"/>
  <c r="V17" i="5"/>
  <c r="W17" i="5"/>
  <c r="F20" i="5"/>
  <c r="G20" i="5"/>
  <c r="H20" i="5"/>
  <c r="I20" i="5"/>
  <c r="J20" i="5"/>
  <c r="K20" i="5"/>
  <c r="L20" i="5"/>
  <c r="N20" i="5"/>
  <c r="O20" i="5"/>
  <c r="P20" i="5"/>
  <c r="Q20" i="5"/>
  <c r="R20" i="5"/>
  <c r="S20" i="5"/>
  <c r="T20" i="5"/>
  <c r="U20" i="5"/>
  <c r="V20" i="5"/>
  <c r="W20" i="5"/>
  <c r="D15" i="5"/>
  <c r="X17" i="5"/>
  <c r="R23" i="1"/>
  <c r="V23" i="1"/>
  <c r="O13" i="13"/>
  <c r="W13" i="13"/>
  <c r="V13" i="13"/>
  <c r="U13" i="13"/>
  <c r="T13" i="13"/>
  <c r="S13" i="13"/>
  <c r="R13" i="13"/>
  <c r="Q13" i="13"/>
  <c r="W21" i="13"/>
  <c r="W20" i="13"/>
  <c r="O20" i="13"/>
  <c r="N21" i="13"/>
  <c r="N20" i="13"/>
  <c r="P21" i="13"/>
  <c r="P20" i="13"/>
  <c r="R21" i="13"/>
  <c r="S21" i="13"/>
  <c r="S20" i="13"/>
  <c r="T21" i="13"/>
  <c r="U20" i="13"/>
  <c r="V21" i="13"/>
  <c r="V20" i="13"/>
  <c r="M21" i="13"/>
  <c r="U10" i="13"/>
  <c r="V10" i="13"/>
  <c r="W10" i="13"/>
  <c r="X56" i="13"/>
  <c r="X62" i="13"/>
  <c r="D68" i="13"/>
  <c r="U68" i="13"/>
  <c r="U70" i="13"/>
  <c r="P62" i="13"/>
  <c r="Q62" i="13"/>
  <c r="R62" i="13"/>
  <c r="S62" i="13"/>
  <c r="T62" i="13"/>
  <c r="O62" i="13"/>
  <c r="Q68" i="13"/>
  <c r="R68" i="13"/>
  <c r="S68" i="13"/>
  <c r="T68" i="13"/>
  <c r="P68" i="13"/>
  <c r="P67" i="13"/>
  <c r="D70" i="13"/>
  <c r="Q70" i="13"/>
  <c r="R70" i="13"/>
  <c r="S70" i="13"/>
  <c r="T70" i="13"/>
  <c r="S67" i="13"/>
  <c r="D56" i="13"/>
  <c r="M20" i="13"/>
  <c r="R67" i="13"/>
  <c r="O55" i="13"/>
  <c r="T55" i="13"/>
  <c r="S55" i="13"/>
  <c r="R55" i="13"/>
  <c r="Q55" i="13"/>
  <c r="D62" i="13"/>
  <c r="P55" i="13"/>
  <c r="X13" i="13"/>
  <c r="P13" i="13"/>
  <c r="D20" i="13"/>
  <c r="T20" i="13"/>
  <c r="R20" i="13"/>
  <c r="Q20" i="13"/>
  <c r="X55" i="13"/>
  <c r="Q67" i="13"/>
  <c r="T67" i="13"/>
  <c r="U67" i="13"/>
  <c r="D67" i="13"/>
  <c r="D55" i="13"/>
  <c r="T10" i="13"/>
  <c r="S10" i="13"/>
  <c r="R10" i="13"/>
  <c r="Q10" i="13"/>
  <c r="X10" i="13"/>
  <c r="P10" i="13"/>
  <c r="O99" i="4"/>
  <c r="O102" i="4"/>
  <c r="R154" i="6"/>
  <c r="Q154" i="6"/>
  <c r="P154" i="6"/>
  <c r="R158" i="6"/>
  <c r="Q158" i="6"/>
  <c r="P158" i="6"/>
  <c r="R164" i="6"/>
  <c r="Q164" i="6"/>
  <c r="P164" i="6"/>
  <c r="P178" i="6"/>
  <c r="T187" i="6"/>
  <c r="S187" i="6"/>
  <c r="R187" i="6"/>
  <c r="T191" i="6"/>
  <c r="S191" i="6"/>
  <c r="R191" i="6"/>
  <c r="P148" i="6"/>
  <c r="D66" i="5"/>
  <c r="D65" i="5"/>
  <c r="Q68" i="5"/>
  <c r="D69" i="5"/>
  <c r="D68" i="5"/>
  <c r="X66" i="5"/>
  <c r="X65" i="5"/>
  <c r="P68" i="5"/>
  <c r="O548" i="2"/>
  <c r="N548" i="2"/>
  <c r="O106" i="4"/>
  <c r="O110" i="4"/>
  <c r="O115" i="4"/>
  <c r="O45" i="4"/>
  <c r="O47" i="4"/>
  <c r="M81" i="7"/>
  <c r="P428" i="2"/>
  <c r="S507" i="2"/>
  <c r="R507" i="2"/>
  <c r="X431" i="2"/>
  <c r="X430" i="2"/>
  <c r="X512" i="2"/>
  <c r="X511" i="2"/>
  <c r="D507" i="2"/>
  <c r="P506" i="2"/>
  <c r="K188" i="8"/>
  <c r="K183" i="8"/>
  <c r="L183" i="8"/>
  <c r="K194" i="8"/>
  <c r="E210" i="6"/>
  <c r="F210" i="6"/>
  <c r="G210" i="6"/>
  <c r="H210" i="6"/>
  <c r="I210" i="6"/>
  <c r="J210" i="6"/>
  <c r="K210" i="6"/>
  <c r="L210" i="6"/>
  <c r="N210" i="6"/>
  <c r="O210" i="6"/>
  <c r="P210" i="6"/>
  <c r="Q210" i="6"/>
  <c r="R210" i="6"/>
  <c r="X417" i="2"/>
  <c r="X414" i="2"/>
  <c r="X404" i="2"/>
  <c r="X401" i="2"/>
  <c r="X400" i="2"/>
  <c r="X413" i="2"/>
  <c r="X412" i="2"/>
  <c r="E286" i="6"/>
  <c r="F286" i="6"/>
  <c r="G286" i="6"/>
  <c r="H286" i="6"/>
  <c r="I286" i="6"/>
  <c r="J286" i="6"/>
  <c r="K286" i="6"/>
  <c r="L286" i="6"/>
  <c r="M286" i="6"/>
  <c r="M289" i="6" s="1"/>
  <c r="N286" i="6"/>
  <c r="N289" i="6" s="1"/>
  <c r="O286" i="6"/>
  <c r="V285" i="6"/>
  <c r="V284" i="6"/>
  <c r="U285" i="6"/>
  <c r="U284" i="6"/>
  <c r="T285" i="6"/>
  <c r="T284" i="6"/>
  <c r="S285" i="6"/>
  <c r="S284" i="6"/>
  <c r="R285" i="6"/>
  <c r="R284" i="6"/>
  <c r="Q285" i="6"/>
  <c r="Q284" i="6"/>
  <c r="P285" i="6"/>
  <c r="P284" i="6"/>
  <c r="R219" i="6"/>
  <c r="Q219" i="6"/>
  <c r="P219" i="6"/>
  <c r="O219" i="6"/>
  <c r="N219" i="6"/>
  <c r="L219" i="6"/>
  <c r="K219" i="6"/>
  <c r="J219" i="6"/>
  <c r="I219" i="6"/>
  <c r="H219" i="6"/>
  <c r="G219" i="6"/>
  <c r="F219" i="6"/>
  <c r="E219" i="6"/>
  <c r="R217" i="6"/>
  <c r="Q217" i="6"/>
  <c r="P217" i="6"/>
  <c r="P216" i="6"/>
  <c r="O217" i="6"/>
  <c r="O216" i="6"/>
  <c r="N217" i="6"/>
  <c r="M217" i="6"/>
  <c r="L217" i="6"/>
  <c r="L216" i="6"/>
  <c r="K217" i="6"/>
  <c r="J217" i="6"/>
  <c r="I217" i="6"/>
  <c r="H217" i="6"/>
  <c r="G217" i="6"/>
  <c r="F217" i="6"/>
  <c r="E217" i="6"/>
  <c r="R216" i="6"/>
  <c r="N216" i="6"/>
  <c r="R214" i="6"/>
  <c r="Q214" i="6"/>
  <c r="P214" i="6"/>
  <c r="O214" i="6"/>
  <c r="N214" i="6"/>
  <c r="L214" i="6"/>
  <c r="L209" i="6"/>
  <c r="K214" i="6"/>
  <c r="K209" i="6"/>
  <c r="J214" i="6"/>
  <c r="J209" i="6"/>
  <c r="I214" i="6"/>
  <c r="I209" i="6"/>
  <c r="H214" i="6"/>
  <c r="H209" i="6"/>
  <c r="G214" i="6"/>
  <c r="G209" i="6"/>
  <c r="F214" i="6"/>
  <c r="F209" i="6"/>
  <c r="E214" i="6"/>
  <c r="E209" i="6"/>
  <c r="P209" i="6"/>
  <c r="E216" i="6"/>
  <c r="G216" i="6"/>
  <c r="I216" i="6"/>
  <c r="K216" i="6"/>
  <c r="F216" i="6"/>
  <c r="H216" i="6"/>
  <c r="J216" i="6"/>
  <c r="M214" i="6"/>
  <c r="O209" i="6"/>
  <c r="N209" i="6"/>
  <c r="R209" i="6"/>
  <c r="Q209" i="6"/>
  <c r="M210" i="6"/>
  <c r="Q286" i="6"/>
  <c r="R286" i="6"/>
  <c r="S286" i="6"/>
  <c r="T286" i="6"/>
  <c r="U286" i="6"/>
  <c r="P286" i="6"/>
  <c r="V286" i="6"/>
  <c r="M219" i="6"/>
  <c r="M209" i="6"/>
  <c r="M216" i="6"/>
  <c r="E13" i="7"/>
  <c r="F13" i="7"/>
  <c r="G13" i="7"/>
  <c r="H13" i="7"/>
  <c r="I13" i="7"/>
  <c r="J13" i="7"/>
  <c r="K13" i="7"/>
  <c r="L13" i="7"/>
  <c r="N13" i="7"/>
  <c r="O13" i="7"/>
  <c r="J81" i="7"/>
  <c r="D82" i="7"/>
  <c r="F13" i="3"/>
  <c r="G13" i="3"/>
  <c r="H13" i="3"/>
  <c r="I13" i="3"/>
  <c r="J13" i="3"/>
  <c r="K13" i="3"/>
  <c r="L13" i="3"/>
  <c r="N13" i="3"/>
  <c r="K18" i="1" s="1"/>
  <c r="X178" i="3"/>
  <c r="D511" i="2"/>
  <c r="Q511" i="2"/>
  <c r="R511" i="2"/>
  <c r="S511" i="2"/>
  <c r="P511" i="2"/>
  <c r="R517" i="2"/>
  <c r="S517" i="2"/>
  <c r="Q517" i="2"/>
  <c r="Q516" i="2"/>
  <c r="R516" i="2"/>
  <c r="S516" i="2"/>
  <c r="J516" i="2"/>
  <c r="P505" i="2"/>
  <c r="Z518" i="2"/>
  <c r="D516" i="2"/>
  <c r="D517" i="2"/>
  <c r="O217" i="3"/>
  <c r="O214" i="3"/>
  <c r="O162" i="3"/>
  <c r="O157" i="3"/>
  <c r="O154" i="3"/>
  <c r="I516" i="2"/>
  <c r="E516" i="2"/>
  <c r="G516" i="2"/>
  <c r="F516" i="2"/>
  <c r="H516" i="2"/>
  <c r="O87" i="8"/>
  <c r="O84" i="8"/>
  <c r="O82" i="8"/>
  <c r="P76" i="8"/>
  <c r="O76" i="8"/>
  <c r="P73" i="8"/>
  <c r="O73" i="8"/>
  <c r="P72" i="8"/>
  <c r="P71" i="8"/>
  <c r="O71" i="8"/>
  <c r="E49" i="2"/>
  <c r="F49" i="2"/>
  <c r="G49" i="2"/>
  <c r="H49" i="2"/>
  <c r="I49" i="2"/>
  <c r="J49" i="2"/>
  <c r="K49" i="2"/>
  <c r="L49" i="2"/>
  <c r="N49" i="2"/>
  <c r="O49" i="2"/>
  <c r="P49" i="2"/>
  <c r="Q49" i="2"/>
  <c r="R49" i="2"/>
  <c r="S49" i="2"/>
  <c r="T49" i="2"/>
  <c r="U49" i="2"/>
  <c r="V49" i="2"/>
  <c r="W49" i="2"/>
  <c r="E41" i="2"/>
  <c r="F41" i="2"/>
  <c r="G41" i="2"/>
  <c r="H41" i="2"/>
  <c r="I41" i="2"/>
  <c r="J41" i="2"/>
  <c r="K41" i="2"/>
  <c r="L41" i="2"/>
  <c r="N41" i="2"/>
  <c r="O41" i="2"/>
  <c r="P41" i="2"/>
  <c r="Q41" i="2"/>
  <c r="R41" i="2"/>
  <c r="S41" i="2"/>
  <c r="T41" i="2"/>
  <c r="U41" i="2"/>
  <c r="V41" i="2"/>
  <c r="W41" i="2"/>
  <c r="Q423" i="2"/>
  <c r="R423" i="2"/>
  <c r="Q417" i="2"/>
  <c r="R417" i="2"/>
  <c r="F420" i="2"/>
  <c r="G420" i="2"/>
  <c r="H420" i="2"/>
  <c r="I420" i="2"/>
  <c r="J420" i="2"/>
  <c r="K420" i="2"/>
  <c r="L420" i="2"/>
  <c r="N420" i="2"/>
  <c r="O420" i="2"/>
  <c r="P420" i="2"/>
  <c r="Q420" i="2"/>
  <c r="Q419" i="2"/>
  <c r="F413" i="2"/>
  <c r="G413" i="2"/>
  <c r="H413" i="2"/>
  <c r="I413" i="2"/>
  <c r="J413" i="2"/>
  <c r="K413" i="2"/>
  <c r="L413" i="2"/>
  <c r="N413" i="2"/>
  <c r="O413" i="2"/>
  <c r="P413" i="2"/>
  <c r="Q413" i="2"/>
  <c r="R413" i="2"/>
  <c r="E407" i="2"/>
  <c r="F407" i="2"/>
  <c r="G407" i="2"/>
  <c r="H407" i="2"/>
  <c r="I407" i="2"/>
  <c r="J407" i="2"/>
  <c r="K407" i="2"/>
  <c r="L407" i="2"/>
  <c r="M407" i="2"/>
  <c r="N407" i="2"/>
  <c r="O407" i="2"/>
  <c r="P401" i="2"/>
  <c r="O401" i="2"/>
  <c r="N401" i="2"/>
  <c r="M401" i="2"/>
  <c r="K401" i="2"/>
  <c r="J401" i="2"/>
  <c r="I401" i="2"/>
  <c r="H401" i="2"/>
  <c r="G401" i="2"/>
  <c r="F401" i="2"/>
  <c r="D407" i="2"/>
  <c r="D402" i="2"/>
  <c r="O115" i="2"/>
  <c r="P197" i="2"/>
  <c r="O197" i="2"/>
  <c r="O194" i="2"/>
  <c r="O192" i="2"/>
  <c r="N194" i="2"/>
  <c r="M194" i="2"/>
  <c r="D194" i="2"/>
  <c r="N192" i="2"/>
  <c r="M192" i="2"/>
  <c r="D192" i="2"/>
  <c r="O273" i="2"/>
  <c r="M273" i="2"/>
  <c r="D273" i="2"/>
  <c r="O270" i="2"/>
  <c r="M270" i="2"/>
  <c r="D270" i="2"/>
  <c r="O101" i="2"/>
  <c r="X41" i="2"/>
  <c r="Q412" i="2"/>
  <c r="R419" i="2"/>
  <c r="R412" i="2"/>
  <c r="R11" i="2"/>
  <c r="X11" i="2"/>
  <c r="D401" i="2"/>
  <c r="O587" i="2"/>
  <c r="O695" i="2"/>
  <c r="M695" i="2"/>
  <c r="D695" i="2"/>
  <c r="R380" i="2"/>
  <c r="R377" i="2"/>
  <c r="O615" i="2"/>
  <c r="R376" i="2"/>
  <c r="O222" i="3"/>
  <c r="O132" i="6"/>
  <c r="M132" i="6"/>
  <c r="D132" i="6" s="1"/>
  <c r="D131" i="6" s="1"/>
  <c r="D130" i="6" s="1"/>
  <c r="O129" i="6"/>
  <c r="O128" i="6"/>
  <c r="O119" i="6"/>
  <c r="O118" i="6"/>
  <c r="O113" i="6"/>
  <c r="M113" i="6"/>
  <c r="O110" i="6"/>
  <c r="O109" i="6"/>
  <c r="O106" i="6"/>
  <c r="O105" i="6"/>
  <c r="O104" i="6"/>
  <c r="O100" i="6"/>
  <c r="O99" i="6"/>
  <c r="O96" i="6"/>
  <c r="O149" i="8"/>
  <c r="M149" i="8"/>
  <c r="D149" i="8"/>
  <c r="O146" i="8"/>
  <c r="M146" i="8"/>
  <c r="D146" i="8"/>
  <c r="O143" i="8"/>
  <c r="O141" i="8"/>
  <c r="M141" i="8"/>
  <c r="D141" i="8"/>
  <c r="M143" i="8"/>
  <c r="D187" i="6"/>
  <c r="D143" i="8"/>
  <c r="D176" i="6"/>
  <c r="X187" i="6"/>
  <c r="R194" i="6"/>
  <c r="S194" i="6"/>
  <c r="Q194" i="6"/>
  <c r="O619" i="2"/>
  <c r="N194" i="6"/>
  <c r="O194" i="6"/>
  <c r="P194" i="6"/>
  <c r="T194" i="6"/>
  <c r="U194" i="6"/>
  <c r="V194" i="6"/>
  <c r="W194" i="6"/>
  <c r="M194" i="6"/>
  <c r="D196" i="6"/>
  <c r="N202" i="6"/>
  <c r="O202" i="6"/>
  <c r="P202" i="6"/>
  <c r="Q202" i="6"/>
  <c r="R202" i="6"/>
  <c r="S202" i="6"/>
  <c r="T202" i="6"/>
  <c r="U202" i="6"/>
  <c r="V202" i="6"/>
  <c r="W202" i="6"/>
  <c r="M202" i="6"/>
  <c r="X194" i="6"/>
  <c r="E182" i="6"/>
  <c r="F182" i="6"/>
  <c r="G182" i="6"/>
  <c r="H182" i="6"/>
  <c r="I182" i="6"/>
  <c r="J182" i="6"/>
  <c r="K182" i="6"/>
  <c r="L182" i="6"/>
  <c r="E136" i="6"/>
  <c r="F136" i="6"/>
  <c r="G136" i="6"/>
  <c r="H136" i="6"/>
  <c r="I136" i="6"/>
  <c r="J136" i="6"/>
  <c r="K136" i="6"/>
  <c r="L136" i="6"/>
  <c r="N136" i="6"/>
  <c r="O136" i="6"/>
  <c r="P136" i="6"/>
  <c r="Q136" i="6"/>
  <c r="R136" i="6"/>
  <c r="T136" i="6"/>
  <c r="U136" i="6"/>
  <c r="V136" i="6"/>
  <c r="W136" i="6"/>
  <c r="E137" i="6"/>
  <c r="F137" i="6"/>
  <c r="G137" i="6"/>
  <c r="H137" i="6"/>
  <c r="I137" i="6"/>
  <c r="J137" i="6"/>
  <c r="K137" i="6"/>
  <c r="L137" i="6"/>
  <c r="N137" i="6"/>
  <c r="N17" i="6" s="1"/>
  <c r="K22" i="1" s="1"/>
  <c r="O137" i="6"/>
  <c r="O17" i="6"/>
  <c r="P137" i="6"/>
  <c r="P17" i="6"/>
  <c r="Q137" i="6"/>
  <c r="R137" i="6"/>
  <c r="S137" i="6"/>
  <c r="T137" i="6"/>
  <c r="T17" i="6" s="1"/>
  <c r="U137" i="6"/>
  <c r="U17" i="6" s="1"/>
  <c r="V137" i="6"/>
  <c r="V17" i="6" s="1"/>
  <c r="W137" i="6"/>
  <c r="W17" i="6" s="1"/>
  <c r="E140" i="6"/>
  <c r="F140" i="6"/>
  <c r="G140" i="6"/>
  <c r="H140" i="6"/>
  <c r="I140" i="6"/>
  <c r="J140" i="6"/>
  <c r="K140" i="6"/>
  <c r="L140" i="6"/>
  <c r="M140" i="6"/>
  <c r="M287" i="6" s="1"/>
  <c r="M290" i="6" s="1"/>
  <c r="N140" i="6"/>
  <c r="N287" i="6"/>
  <c r="N290" i="6" s="1"/>
  <c r="O140" i="6"/>
  <c r="O287" i="6" s="1"/>
  <c r="P140" i="6"/>
  <c r="P287" i="6" s="1"/>
  <c r="Q140" i="6"/>
  <c r="Q287" i="6" s="1"/>
  <c r="R140" i="6"/>
  <c r="R287" i="6" s="1"/>
  <c r="S140" i="6"/>
  <c r="S287" i="6" s="1"/>
  <c r="T140" i="6"/>
  <c r="T287" i="6" s="1"/>
  <c r="U140" i="6"/>
  <c r="U287" i="6" s="1"/>
  <c r="V140" i="6"/>
  <c r="V287" i="6" s="1"/>
  <c r="W140" i="6"/>
  <c r="E141" i="6"/>
  <c r="F141" i="6"/>
  <c r="G141" i="6"/>
  <c r="H141" i="6"/>
  <c r="I141" i="6"/>
  <c r="J141" i="6"/>
  <c r="K141" i="6"/>
  <c r="L141" i="6"/>
  <c r="M141" i="6"/>
  <c r="N141" i="6"/>
  <c r="O141" i="6"/>
  <c r="P141" i="6"/>
  <c r="Q141" i="6"/>
  <c r="R141" i="6"/>
  <c r="S141" i="6"/>
  <c r="T141" i="6"/>
  <c r="U141" i="6"/>
  <c r="V141" i="6"/>
  <c r="W141" i="6"/>
  <c r="E142" i="6"/>
  <c r="F142" i="6"/>
  <c r="G142" i="6"/>
  <c r="H142" i="6"/>
  <c r="I142" i="6"/>
  <c r="J142" i="6"/>
  <c r="K142" i="6"/>
  <c r="L142" i="6"/>
  <c r="M142" i="6"/>
  <c r="N142" i="6"/>
  <c r="O142" i="6"/>
  <c r="P142" i="6"/>
  <c r="Q142" i="6"/>
  <c r="R142" i="6"/>
  <c r="S142" i="6"/>
  <c r="T142" i="6"/>
  <c r="U142" i="6"/>
  <c r="V142" i="6"/>
  <c r="W142" i="6"/>
  <c r="E145" i="6"/>
  <c r="E144" i="6" s="1"/>
  <c r="F145" i="6"/>
  <c r="F144" i="6" s="1"/>
  <c r="G145" i="6"/>
  <c r="G144" i="6" s="1"/>
  <c r="H145" i="6"/>
  <c r="H144" i="6" s="1"/>
  <c r="I145" i="6"/>
  <c r="I144" i="6" s="1"/>
  <c r="J145" i="6"/>
  <c r="J144" i="6" s="1"/>
  <c r="K145" i="6"/>
  <c r="K144" i="6" s="1"/>
  <c r="L145" i="6"/>
  <c r="L144" i="6" s="1"/>
  <c r="N145" i="6"/>
  <c r="N144" i="6" s="1"/>
  <c r="N143" i="6" s="1"/>
  <c r="O145" i="6"/>
  <c r="P145" i="6"/>
  <c r="Q145" i="6"/>
  <c r="Q144" i="6" s="1"/>
  <c r="Q143" i="6" s="1"/>
  <c r="R145" i="6"/>
  <c r="S145" i="6"/>
  <c r="T145" i="6"/>
  <c r="U145" i="6"/>
  <c r="U144" i="6" s="1"/>
  <c r="V145" i="6"/>
  <c r="W145" i="6"/>
  <c r="E148" i="6"/>
  <c r="F148" i="6"/>
  <c r="G148" i="6"/>
  <c r="H148" i="6"/>
  <c r="I148" i="6"/>
  <c r="J148" i="6"/>
  <c r="K148" i="6"/>
  <c r="L148" i="6"/>
  <c r="M148" i="6"/>
  <c r="N148" i="6"/>
  <c r="O148" i="6"/>
  <c r="Q148" i="6"/>
  <c r="R148" i="6"/>
  <c r="S148" i="6"/>
  <c r="T148" i="6"/>
  <c r="U148" i="6"/>
  <c r="V148" i="6"/>
  <c r="W148" i="6"/>
  <c r="E149" i="6"/>
  <c r="F149" i="6"/>
  <c r="G149" i="6"/>
  <c r="H149" i="6"/>
  <c r="I149" i="6"/>
  <c r="J149" i="6"/>
  <c r="K149" i="6"/>
  <c r="L149" i="6"/>
  <c r="M149" i="6"/>
  <c r="N149" i="6"/>
  <c r="O149" i="6"/>
  <c r="P149" i="6"/>
  <c r="Q149" i="6"/>
  <c r="R149" i="6"/>
  <c r="S149" i="6"/>
  <c r="T149" i="6"/>
  <c r="U149" i="6"/>
  <c r="V149" i="6"/>
  <c r="W149" i="6"/>
  <c r="E150" i="6"/>
  <c r="F150" i="6"/>
  <c r="G150" i="6"/>
  <c r="H150" i="6"/>
  <c r="I150" i="6"/>
  <c r="J150" i="6"/>
  <c r="K150" i="6"/>
  <c r="L150" i="6"/>
  <c r="M150" i="6"/>
  <c r="N150" i="6"/>
  <c r="O150" i="6"/>
  <c r="P150" i="6"/>
  <c r="Q150" i="6"/>
  <c r="R150" i="6"/>
  <c r="S150" i="6"/>
  <c r="T150" i="6"/>
  <c r="U150" i="6"/>
  <c r="V150" i="6"/>
  <c r="W150" i="6"/>
  <c r="N153" i="6"/>
  <c r="O153" i="6"/>
  <c r="P153" i="6"/>
  <c r="Q153" i="6"/>
  <c r="R153" i="6"/>
  <c r="S153" i="6"/>
  <c r="T153" i="6"/>
  <c r="U153" i="6"/>
  <c r="V153" i="6"/>
  <c r="W153" i="6"/>
  <c r="M153" i="6"/>
  <c r="X154" i="6"/>
  <c r="X155" i="6"/>
  <c r="X158" i="6"/>
  <c r="N157" i="6"/>
  <c r="N156" i="6" s="1"/>
  <c r="O157" i="6"/>
  <c r="P157" i="6"/>
  <c r="P156" i="6" s="1"/>
  <c r="Q157" i="6"/>
  <c r="Q156" i="6" s="1"/>
  <c r="Q152" i="6" s="1"/>
  <c r="R157" i="6"/>
  <c r="R156" i="6" s="1"/>
  <c r="S157" i="6"/>
  <c r="S156" i="6" s="1"/>
  <c r="S152" i="6" s="1"/>
  <c r="T157" i="6"/>
  <c r="T156" i="6"/>
  <c r="U157" i="6"/>
  <c r="U156" i="6"/>
  <c r="U152" i="6" s="1"/>
  <c r="V157" i="6"/>
  <c r="V156" i="6" s="1"/>
  <c r="W157" i="6"/>
  <c r="W156" i="6" s="1"/>
  <c r="W152" i="6" s="1"/>
  <c r="M157" i="6"/>
  <c r="M156" i="6"/>
  <c r="D154" i="6"/>
  <c r="D155" i="6"/>
  <c r="D158" i="6"/>
  <c r="N160" i="6"/>
  <c r="O160" i="6"/>
  <c r="P160" i="6"/>
  <c r="Q160" i="6"/>
  <c r="R160" i="6"/>
  <c r="S160" i="6"/>
  <c r="T160" i="6"/>
  <c r="U160" i="6"/>
  <c r="V160" i="6"/>
  <c r="W160" i="6"/>
  <c r="M160" i="6"/>
  <c r="D161" i="6"/>
  <c r="N163" i="6"/>
  <c r="O163" i="6"/>
  <c r="P163" i="6"/>
  <c r="Q163" i="6"/>
  <c r="R163" i="6"/>
  <c r="S163" i="6"/>
  <c r="T163" i="6"/>
  <c r="U163" i="6"/>
  <c r="V163" i="6"/>
  <c r="W163" i="6"/>
  <c r="M163" i="6"/>
  <c r="D164" i="6"/>
  <c r="N167" i="6"/>
  <c r="O167" i="6"/>
  <c r="P167" i="6"/>
  <c r="Q167" i="6"/>
  <c r="R167" i="6"/>
  <c r="S167" i="6"/>
  <c r="T167" i="6"/>
  <c r="U167" i="6"/>
  <c r="V167" i="6"/>
  <c r="W167" i="6"/>
  <c r="M167" i="6"/>
  <c r="X168" i="6"/>
  <c r="X169" i="6"/>
  <c r="X172" i="6"/>
  <c r="X173" i="6"/>
  <c r="N171" i="6"/>
  <c r="N170" i="6"/>
  <c r="O171" i="6"/>
  <c r="O170" i="6"/>
  <c r="P171" i="6"/>
  <c r="P170" i="6"/>
  <c r="Q171" i="6"/>
  <c r="Q170" i="6"/>
  <c r="R171" i="6"/>
  <c r="R170" i="6"/>
  <c r="S171" i="6"/>
  <c r="S170" i="6" s="1"/>
  <c r="S166" i="6" s="1"/>
  <c r="T171" i="6"/>
  <c r="T170" i="6" s="1"/>
  <c r="T166" i="6" s="1"/>
  <c r="U171" i="6"/>
  <c r="U170" i="6" s="1"/>
  <c r="U166" i="6" s="1"/>
  <c r="V171" i="6"/>
  <c r="V170" i="6" s="1"/>
  <c r="V166" i="6" s="1"/>
  <c r="W171" i="6"/>
  <c r="W170" i="6" s="1"/>
  <c r="W166" i="6" s="1"/>
  <c r="M171" i="6"/>
  <c r="M170" i="6" s="1"/>
  <c r="D173" i="6"/>
  <c r="D141" i="6" s="1"/>
  <c r="D172" i="6"/>
  <c r="D169" i="6"/>
  <c r="D168" i="6"/>
  <c r="E174" i="6"/>
  <c r="F174" i="6"/>
  <c r="G174" i="6"/>
  <c r="H174" i="6"/>
  <c r="I174" i="6"/>
  <c r="J174" i="6"/>
  <c r="K174" i="6"/>
  <c r="L174" i="6"/>
  <c r="N175" i="6"/>
  <c r="O175" i="6"/>
  <c r="P175" i="6"/>
  <c r="Q175" i="6"/>
  <c r="R175" i="6"/>
  <c r="S175" i="6"/>
  <c r="T175" i="6"/>
  <c r="U175" i="6"/>
  <c r="V175" i="6"/>
  <c r="W175" i="6"/>
  <c r="M175" i="6"/>
  <c r="N178" i="6"/>
  <c r="N177" i="6" s="1"/>
  <c r="N174" i="6" s="1"/>
  <c r="O178" i="6"/>
  <c r="O177" i="6" s="1"/>
  <c r="O174" i="6" s="1"/>
  <c r="P177" i="6"/>
  <c r="Q178" i="6"/>
  <c r="Q177" i="6" s="1"/>
  <c r="R178" i="6"/>
  <c r="R177" i="6" s="1"/>
  <c r="S178" i="6"/>
  <c r="S177" i="6" s="1"/>
  <c r="T178" i="6"/>
  <c r="T177" i="6" s="1"/>
  <c r="U178" i="6"/>
  <c r="U177" i="6" s="1"/>
  <c r="V178" i="6"/>
  <c r="V177" i="6" s="1"/>
  <c r="W178" i="6"/>
  <c r="W177" i="6" s="1"/>
  <c r="M178" i="6"/>
  <c r="D179" i="6"/>
  <c r="D180" i="6"/>
  <c r="D149" i="6" s="1"/>
  <c r="N183" i="6"/>
  <c r="O183" i="6"/>
  <c r="P183" i="6"/>
  <c r="Q183" i="6"/>
  <c r="R183" i="6"/>
  <c r="S183" i="6"/>
  <c r="T183" i="6"/>
  <c r="U183" i="6"/>
  <c r="V183" i="6"/>
  <c r="W183" i="6"/>
  <c r="M183" i="6"/>
  <c r="D184" i="6"/>
  <c r="X184" i="6"/>
  <c r="N186" i="6"/>
  <c r="N185" i="6" s="1"/>
  <c r="O186" i="6"/>
  <c r="O185" i="6" s="1"/>
  <c r="O182" i="6" s="1"/>
  <c r="P186" i="6"/>
  <c r="P185" i="6" s="1"/>
  <c r="P182" i="6" s="1"/>
  <c r="Q186" i="6"/>
  <c r="R186" i="6"/>
  <c r="R185" i="6" s="1"/>
  <c r="S186" i="6"/>
  <c r="S185" i="6" s="1"/>
  <c r="T186" i="6"/>
  <c r="T185" i="6" s="1"/>
  <c r="U186" i="6"/>
  <c r="U185" i="6" s="1"/>
  <c r="V186" i="6"/>
  <c r="V185" i="6" s="1"/>
  <c r="W186" i="6"/>
  <c r="W185" i="6" s="1"/>
  <c r="M186" i="6"/>
  <c r="M185" i="6" s="1"/>
  <c r="E188" i="6"/>
  <c r="F188" i="6"/>
  <c r="G188" i="6"/>
  <c r="H188" i="6"/>
  <c r="I188" i="6"/>
  <c r="J188" i="6"/>
  <c r="K188" i="6"/>
  <c r="L188" i="6"/>
  <c r="N190" i="6"/>
  <c r="N189" i="6" s="1"/>
  <c r="O190" i="6"/>
  <c r="O189" i="6" s="1"/>
  <c r="O188" i="6" s="1"/>
  <c r="P190" i="6"/>
  <c r="P189" i="6" s="1"/>
  <c r="P188" i="6" s="1"/>
  <c r="Q190" i="6"/>
  <c r="Q189" i="6" s="1"/>
  <c r="Q188" i="6" s="1"/>
  <c r="R190" i="6"/>
  <c r="R189" i="6"/>
  <c r="R188" i="6" s="1"/>
  <c r="S190" i="6"/>
  <c r="S189" i="6" s="1"/>
  <c r="S188" i="6" s="1"/>
  <c r="T190" i="6"/>
  <c r="T189" i="6" s="1"/>
  <c r="T188" i="6" s="1"/>
  <c r="U190" i="6"/>
  <c r="U189" i="6" s="1"/>
  <c r="V190" i="6"/>
  <c r="V189" i="6" s="1"/>
  <c r="V188" i="6" s="1"/>
  <c r="W190" i="6"/>
  <c r="W189" i="6" s="1"/>
  <c r="W188" i="6" s="1"/>
  <c r="M190" i="6"/>
  <c r="D191" i="6"/>
  <c r="X195" i="6"/>
  <c r="X196" i="6"/>
  <c r="D195" i="6"/>
  <c r="D206" i="6"/>
  <c r="D207" i="6"/>
  <c r="D150" i="6" s="1"/>
  <c r="X199" i="6"/>
  <c r="X200" i="6"/>
  <c r="D199" i="6"/>
  <c r="D200" i="6"/>
  <c r="D142" i="6" s="1"/>
  <c r="E198" i="6"/>
  <c r="E197" i="6" s="1"/>
  <c r="E193" i="6" s="1"/>
  <c r="F198" i="6"/>
  <c r="F197" i="6" s="1"/>
  <c r="F193" i="6" s="1"/>
  <c r="G198" i="6"/>
  <c r="G197" i="6"/>
  <c r="G193" i="6" s="1"/>
  <c r="H198" i="6"/>
  <c r="H197" i="6" s="1"/>
  <c r="H193" i="6" s="1"/>
  <c r="I198" i="6"/>
  <c r="I197" i="6" s="1"/>
  <c r="I193" i="6" s="1"/>
  <c r="J198" i="6"/>
  <c r="J197" i="6" s="1"/>
  <c r="J193" i="6" s="1"/>
  <c r="K198" i="6"/>
  <c r="K197" i="6"/>
  <c r="K193" i="6" s="1"/>
  <c r="L198" i="6"/>
  <c r="L197" i="6" s="1"/>
  <c r="L193" i="6" s="1"/>
  <c r="M198" i="6"/>
  <c r="M197" i="6" s="1"/>
  <c r="N198" i="6"/>
  <c r="N197" i="6" s="1"/>
  <c r="N193" i="6" s="1"/>
  <c r="O198" i="6"/>
  <c r="O197" i="6" s="1"/>
  <c r="O193" i="6" s="1"/>
  <c r="P198" i="6"/>
  <c r="P197" i="6"/>
  <c r="P193" i="6" s="1"/>
  <c r="Q198" i="6"/>
  <c r="Q197" i="6" s="1"/>
  <c r="R198" i="6"/>
  <c r="R197" i="6" s="1"/>
  <c r="S198" i="6"/>
  <c r="S197" i="6" s="1"/>
  <c r="T198" i="6"/>
  <c r="T197" i="6" s="1"/>
  <c r="T193" i="6" s="1"/>
  <c r="U198" i="6"/>
  <c r="U197" i="6"/>
  <c r="U193" i="6" s="1"/>
  <c r="V198" i="6"/>
  <c r="V197" i="6" s="1"/>
  <c r="V193" i="6" s="1"/>
  <c r="W198" i="6"/>
  <c r="W197" i="6" s="1"/>
  <c r="W193" i="6" s="1"/>
  <c r="E202" i="6"/>
  <c r="F202" i="6"/>
  <c r="G202" i="6"/>
  <c r="H202" i="6"/>
  <c r="I202" i="6"/>
  <c r="J202" i="6"/>
  <c r="K202" i="6"/>
  <c r="L202" i="6"/>
  <c r="E205" i="6"/>
  <c r="E147" i="6" s="1"/>
  <c r="F205" i="6"/>
  <c r="F147" i="6" s="1"/>
  <c r="G205" i="6"/>
  <c r="G147" i="6" s="1"/>
  <c r="G26" i="6" s="1"/>
  <c r="H205" i="6"/>
  <c r="H147" i="6"/>
  <c r="H146" i="6" s="1"/>
  <c r="H143" i="6" s="1"/>
  <c r="I205" i="6"/>
  <c r="I147" i="6"/>
  <c r="J205" i="6"/>
  <c r="J147" i="6"/>
  <c r="J26" i="6" s="1"/>
  <c r="K205" i="6"/>
  <c r="K147" i="6" s="1"/>
  <c r="K146" i="6" s="1"/>
  <c r="K143" i="6" s="1"/>
  <c r="L205" i="6"/>
  <c r="L147" i="6" s="1"/>
  <c r="L146" i="6" s="1"/>
  <c r="L143" i="6" s="1"/>
  <c r="M205" i="6"/>
  <c r="N205" i="6"/>
  <c r="O205" i="6"/>
  <c r="P205" i="6"/>
  <c r="Q205" i="6"/>
  <c r="S205" i="6"/>
  <c r="T205" i="6"/>
  <c r="U205" i="6"/>
  <c r="V205" i="6"/>
  <c r="V204" i="6" s="1"/>
  <c r="W205" i="6"/>
  <c r="W204" i="6" s="1"/>
  <c r="W201" i="6" s="1"/>
  <c r="M145" i="6"/>
  <c r="D145" i="6"/>
  <c r="X137" i="6"/>
  <c r="M137" i="6"/>
  <c r="X136" i="6"/>
  <c r="M136" i="6"/>
  <c r="D136" i="6" s="1"/>
  <c r="D284" i="6"/>
  <c r="X284" i="6" s="1"/>
  <c r="P147" i="6"/>
  <c r="M204" i="6"/>
  <c r="D205" i="6"/>
  <c r="X141" i="6"/>
  <c r="D285" i="6"/>
  <c r="X285" i="6" s="1"/>
  <c r="X153" i="6"/>
  <c r="N139" i="6"/>
  <c r="N138" i="6" s="1"/>
  <c r="L139" i="6"/>
  <c r="L138" i="6" s="1"/>
  <c r="J139" i="6"/>
  <c r="J138" i="6" s="1"/>
  <c r="H139" i="6"/>
  <c r="H138" i="6" s="1"/>
  <c r="F139" i="6"/>
  <c r="F138" i="6" s="1"/>
  <c r="M189" i="6"/>
  <c r="M188" i="6" s="1"/>
  <c r="D190" i="6"/>
  <c r="D148" i="6"/>
  <c r="W147" i="6"/>
  <c r="U147" i="6"/>
  <c r="S147" i="6"/>
  <c r="S26" i="6" s="1"/>
  <c r="P46" i="1" s="1"/>
  <c r="Q147" i="6"/>
  <c r="Q26" i="6" s="1"/>
  <c r="O147" i="6"/>
  <c r="T147" i="6"/>
  <c r="T26" i="6" s="1"/>
  <c r="R147" i="6"/>
  <c r="R26" i="6" s="1"/>
  <c r="N147" i="6"/>
  <c r="D163" i="6"/>
  <c r="V162" i="6"/>
  <c r="V159" i="6" s="1"/>
  <c r="V147" i="6"/>
  <c r="L204" i="6"/>
  <c r="J204" i="6"/>
  <c r="J201" i="6" s="1"/>
  <c r="H204" i="6"/>
  <c r="H201" i="6"/>
  <c r="F204" i="6"/>
  <c r="J146" i="6"/>
  <c r="K204" i="6"/>
  <c r="K201" i="6"/>
  <c r="I204" i="6"/>
  <c r="I201" i="6"/>
  <c r="G204" i="6"/>
  <c r="G201" i="6"/>
  <c r="G146" i="6"/>
  <c r="E204" i="6"/>
  <c r="E201" i="6" s="1"/>
  <c r="T162" i="6"/>
  <c r="T159" i="6" s="1"/>
  <c r="R162" i="6"/>
  <c r="R159" i="6" s="1"/>
  <c r="P162" i="6"/>
  <c r="P159" i="6" s="1"/>
  <c r="N162" i="6"/>
  <c r="N159" i="6" s="1"/>
  <c r="D160" i="6"/>
  <c r="R166" i="6"/>
  <c r="P166" i="6"/>
  <c r="W135" i="6"/>
  <c r="U135" i="6"/>
  <c r="O135" i="6"/>
  <c r="M135" i="6"/>
  <c r="W182" i="6"/>
  <c r="S182" i="6"/>
  <c r="W174" i="6"/>
  <c r="U174" i="6"/>
  <c r="S174" i="6"/>
  <c r="Q174" i="6"/>
  <c r="K139" i="6"/>
  <c r="K138" i="6" s="1"/>
  <c r="I139" i="6"/>
  <c r="I138" i="6" s="1"/>
  <c r="G139" i="6"/>
  <c r="G138" i="6" s="1"/>
  <c r="E139" i="6"/>
  <c r="V135" i="6"/>
  <c r="T135" i="6"/>
  <c r="P135" i="6"/>
  <c r="T139" i="6"/>
  <c r="W139" i="6"/>
  <c r="V139" i="6"/>
  <c r="U139" i="6"/>
  <c r="P139" i="6"/>
  <c r="O139" i="6"/>
  <c r="Q185" i="6"/>
  <c r="D186" i="6"/>
  <c r="Q139" i="6"/>
  <c r="S17" i="6"/>
  <c r="S135" i="6"/>
  <c r="R17" i="6"/>
  <c r="R135" i="6"/>
  <c r="Q17" i="6"/>
  <c r="X17" i="6" s="1"/>
  <c r="Q135" i="6"/>
  <c r="S139" i="6"/>
  <c r="R139" i="6"/>
  <c r="W24" i="6"/>
  <c r="W144" i="6"/>
  <c r="S24" i="6"/>
  <c r="S144" i="6"/>
  <c r="O24" i="6"/>
  <c r="O144" i="6"/>
  <c r="M24" i="6"/>
  <c r="M144" i="6"/>
  <c r="V24" i="6"/>
  <c r="V144" i="6"/>
  <c r="T24" i="6"/>
  <c r="T144" i="6"/>
  <c r="R24" i="6"/>
  <c r="R144" i="6"/>
  <c r="P24" i="6"/>
  <c r="P144" i="6"/>
  <c r="N166" i="6"/>
  <c r="D144" i="6"/>
  <c r="D202" i="6"/>
  <c r="X183" i="6"/>
  <c r="U204" i="6"/>
  <c r="U201" i="6" s="1"/>
  <c r="Q204" i="6"/>
  <c r="Q201" i="6" s="1"/>
  <c r="L201" i="6"/>
  <c r="F201" i="6"/>
  <c r="N188" i="6"/>
  <c r="Q166" i="6"/>
  <c r="U146" i="6"/>
  <c r="S146" i="6"/>
  <c r="W162" i="6"/>
  <c r="W159" i="6" s="1"/>
  <c r="S162" i="6"/>
  <c r="S159" i="6" s="1"/>
  <c r="O162" i="6"/>
  <c r="O159" i="6" s="1"/>
  <c r="Q24" i="6"/>
  <c r="S204" i="6"/>
  <c r="S201" i="6" s="1"/>
  <c r="O204" i="6"/>
  <c r="O201" i="6" s="1"/>
  <c r="D198" i="6"/>
  <c r="D175" i="6"/>
  <c r="U162" i="6"/>
  <c r="Q162" i="6"/>
  <c r="Q159" i="6"/>
  <c r="U24" i="6"/>
  <c r="R193" i="6"/>
  <c r="M201" i="6"/>
  <c r="S193" i="6"/>
  <c r="Q193" i="6"/>
  <c r="M182" i="6"/>
  <c r="D183" i="6"/>
  <c r="V182" i="6"/>
  <c r="T182" i="6"/>
  <c r="R182" i="6"/>
  <c r="D178" i="6"/>
  <c r="M177" i="6"/>
  <c r="D177" i="6" s="1"/>
  <c r="D174" i="6" s="1"/>
  <c r="V174" i="6"/>
  <c r="T174" i="6"/>
  <c r="R174" i="6"/>
  <c r="P174" i="6"/>
  <c r="O166" i="6"/>
  <c r="X167" i="6"/>
  <c r="D167" i="6"/>
  <c r="M152" i="6"/>
  <c r="D153" i="6"/>
  <c r="V152" i="6"/>
  <c r="T152" i="6"/>
  <c r="R152" i="6"/>
  <c r="N152" i="6"/>
  <c r="T204" i="6"/>
  <c r="T201" i="6"/>
  <c r="R204" i="6"/>
  <c r="R201" i="6"/>
  <c r="P204" i="6"/>
  <c r="P201" i="6"/>
  <c r="N204" i="6"/>
  <c r="D194" i="6"/>
  <c r="U182" i="6"/>
  <c r="Q182" i="6"/>
  <c r="X171" i="6"/>
  <c r="M162" i="6"/>
  <c r="U159" i="6"/>
  <c r="D157" i="6"/>
  <c r="X157" i="6"/>
  <c r="O156" i="6"/>
  <c r="O152" i="6" s="1"/>
  <c r="N146" i="6"/>
  <c r="X198" i="6"/>
  <c r="X186" i="6"/>
  <c r="D171" i="6"/>
  <c r="X142" i="6"/>
  <c r="X140" i="6"/>
  <c r="O599" i="2"/>
  <c r="M599" i="2"/>
  <c r="D599" i="2"/>
  <c r="O654" i="2"/>
  <c r="O662" i="2"/>
  <c r="O663" i="2"/>
  <c r="O594" i="2"/>
  <c r="O658" i="2"/>
  <c r="O659" i="2"/>
  <c r="X391" i="2"/>
  <c r="X390" i="2"/>
  <c r="M396" i="2"/>
  <c r="M391" i="2"/>
  <c r="M41" i="2"/>
  <c r="F389" i="2"/>
  <c r="G389" i="2"/>
  <c r="H389" i="2"/>
  <c r="J389" i="2"/>
  <c r="K389" i="2"/>
  <c r="L389" i="2"/>
  <c r="N389" i="2"/>
  <c r="O389" i="2"/>
  <c r="P389" i="2"/>
  <c r="P213" i="2"/>
  <c r="P210" i="2"/>
  <c r="E395" i="2"/>
  <c r="F395" i="2"/>
  <c r="G395" i="2"/>
  <c r="H395" i="2"/>
  <c r="I395" i="2"/>
  <c r="J395" i="2"/>
  <c r="K395" i="2"/>
  <c r="L395" i="2"/>
  <c r="N395" i="2"/>
  <c r="O395" i="2"/>
  <c r="P395" i="2"/>
  <c r="X392" i="2"/>
  <c r="D286" i="6"/>
  <c r="X286" i="6"/>
  <c r="X139" i="6"/>
  <c r="E138" i="6"/>
  <c r="M139" i="6"/>
  <c r="D139" i="6" s="1"/>
  <c r="D137" i="6"/>
  <c r="D17" i="6" s="1"/>
  <c r="M17" i="6"/>
  <c r="O592" i="2"/>
  <c r="M662" i="2"/>
  <c r="J143" i="6"/>
  <c r="O146" i="6"/>
  <c r="U143" i="6"/>
  <c r="U130" i="9"/>
  <c r="R146" i="6"/>
  <c r="Q146" i="6"/>
  <c r="P146" i="6"/>
  <c r="O143" i="6"/>
  <c r="G143" i="6"/>
  <c r="V146" i="6"/>
  <c r="W146" i="6"/>
  <c r="T146" i="6"/>
  <c r="V138" i="6"/>
  <c r="O138" i="6"/>
  <c r="U138" i="6"/>
  <c r="W138" i="6"/>
  <c r="D391" i="2"/>
  <c r="D41" i="2"/>
  <c r="D396" i="2"/>
  <c r="D49" i="2"/>
  <c r="M49" i="2"/>
  <c r="M395" i="2"/>
  <c r="X389" i="2"/>
  <c r="X388" i="2"/>
  <c r="Q138" i="6"/>
  <c r="S138" i="6"/>
  <c r="T138" i="6"/>
  <c r="R138" i="6"/>
  <c r="D24" i="6"/>
  <c r="S143" i="6"/>
  <c r="X138" i="6"/>
  <c r="P138" i="6"/>
  <c r="D140" i="6"/>
  <c r="X135" i="6"/>
  <c r="M159" i="6"/>
  <c r="D162" i="6"/>
  <c r="N201" i="6"/>
  <c r="P26" i="6"/>
  <c r="P25" i="6" s="1"/>
  <c r="O16" i="6"/>
  <c r="O23" i="6"/>
  <c r="M138" i="6"/>
  <c r="M592" i="2"/>
  <c r="J80" i="1"/>
  <c r="D662" i="2"/>
  <c r="D592" i="2"/>
  <c r="P143" i="6"/>
  <c r="D287" i="6"/>
  <c r="X287" i="6"/>
  <c r="R134" i="6"/>
  <c r="S134" i="6"/>
  <c r="U134" i="6"/>
  <c r="T143" i="6"/>
  <c r="V143" i="6"/>
  <c r="P134" i="6"/>
  <c r="T134" i="6"/>
  <c r="Q134" i="6"/>
  <c r="W134" i="6"/>
  <c r="O134" i="6"/>
  <c r="V134" i="6"/>
  <c r="D395" i="2"/>
  <c r="L626" i="2"/>
  <c r="L625" i="2"/>
  <c r="X59" i="5"/>
  <c r="X58" i="5"/>
  <c r="W78" i="13"/>
  <c r="W77" i="13"/>
  <c r="W76" i="13"/>
  <c r="V78" i="13"/>
  <c r="V77" i="13"/>
  <c r="V76" i="13"/>
  <c r="U78" i="13"/>
  <c r="U77" i="13"/>
  <c r="U76" i="13"/>
  <c r="W74" i="13"/>
  <c r="W73" i="13"/>
  <c r="V74" i="13"/>
  <c r="V73" i="13"/>
  <c r="U74" i="13"/>
  <c r="U73" i="13"/>
  <c r="T74" i="13"/>
  <c r="S85" i="13"/>
  <c r="S84" i="13"/>
  <c r="S74" i="13"/>
  <c r="S73" i="13"/>
  <c r="R85" i="13"/>
  <c r="R84" i="13"/>
  <c r="Q85" i="13"/>
  <c r="Q84" i="13"/>
  <c r="Q74" i="13"/>
  <c r="Q73" i="13"/>
  <c r="X85" i="13"/>
  <c r="X84" i="13"/>
  <c r="N85" i="13"/>
  <c r="N84" i="13"/>
  <c r="L85" i="13"/>
  <c r="L84" i="13"/>
  <c r="J85" i="13"/>
  <c r="J84" i="13"/>
  <c r="P85" i="13"/>
  <c r="O85" i="13"/>
  <c r="O84" i="13"/>
  <c r="O74" i="13"/>
  <c r="O73" i="13"/>
  <c r="K85" i="13"/>
  <c r="K84" i="13"/>
  <c r="K75" i="13"/>
  <c r="I85" i="13"/>
  <c r="I84" i="13"/>
  <c r="I75" i="13"/>
  <c r="H85" i="13"/>
  <c r="G85" i="13"/>
  <c r="G84" i="13"/>
  <c r="G75" i="13"/>
  <c r="F85" i="13"/>
  <c r="F84" i="13"/>
  <c r="F75" i="13"/>
  <c r="E85" i="13"/>
  <c r="E84" i="13"/>
  <c r="E75" i="13"/>
  <c r="P84" i="13"/>
  <c r="P74" i="13"/>
  <c r="H84" i="13"/>
  <c r="T82" i="13"/>
  <c r="S82" i="13"/>
  <c r="S81" i="13"/>
  <c r="S80" i="13"/>
  <c r="R82" i="13"/>
  <c r="Q82" i="13"/>
  <c r="Q81" i="13"/>
  <c r="Q80" i="13"/>
  <c r="P82" i="13"/>
  <c r="O82" i="13"/>
  <c r="O81" i="13"/>
  <c r="O80" i="13"/>
  <c r="N82" i="13"/>
  <c r="M82" i="13"/>
  <c r="M81" i="13"/>
  <c r="M80" i="13"/>
  <c r="L82" i="13"/>
  <c r="K82" i="13"/>
  <c r="K81" i="13"/>
  <c r="K80" i="13"/>
  <c r="J82" i="13"/>
  <c r="I82" i="13"/>
  <c r="I81" i="13"/>
  <c r="I80" i="13"/>
  <c r="H82" i="13"/>
  <c r="G82" i="13"/>
  <c r="G81" i="13"/>
  <c r="G80" i="13"/>
  <c r="F82" i="13"/>
  <c r="E82" i="13"/>
  <c r="E81" i="13"/>
  <c r="E80" i="13"/>
  <c r="D82" i="13"/>
  <c r="T81" i="13"/>
  <c r="T80" i="13"/>
  <c r="R81" i="13"/>
  <c r="R80" i="13"/>
  <c r="P81" i="13"/>
  <c r="P80" i="13"/>
  <c r="N81" i="13"/>
  <c r="N80" i="13"/>
  <c r="L81" i="13"/>
  <c r="L80" i="13"/>
  <c r="J81" i="13"/>
  <c r="J80" i="13"/>
  <c r="H81" i="13"/>
  <c r="H80" i="13"/>
  <c r="F81" i="13"/>
  <c r="F80" i="13"/>
  <c r="D81" i="13"/>
  <c r="D80" i="13"/>
  <c r="T79" i="13"/>
  <c r="S79" i="13"/>
  <c r="R79" i="13"/>
  <c r="Q79" i="13"/>
  <c r="P79" i="13"/>
  <c r="O79" i="13"/>
  <c r="N79" i="13"/>
  <c r="M79" i="13"/>
  <c r="L79" i="13"/>
  <c r="K79" i="13"/>
  <c r="J79" i="13"/>
  <c r="I79" i="13"/>
  <c r="H79" i="13"/>
  <c r="G79" i="13"/>
  <c r="F79" i="13"/>
  <c r="E79" i="13"/>
  <c r="D79" i="13"/>
  <c r="T78" i="13"/>
  <c r="T77" i="13"/>
  <c r="T76" i="13"/>
  <c r="S78" i="13"/>
  <c r="S77" i="13"/>
  <c r="R78" i="13"/>
  <c r="R77" i="13"/>
  <c r="R76" i="13"/>
  <c r="Q78" i="13"/>
  <c r="Q77" i="13"/>
  <c r="P78" i="13"/>
  <c r="O78" i="13"/>
  <c r="M78" i="13"/>
  <c r="M77" i="13"/>
  <c r="M76" i="13"/>
  <c r="K78" i="13"/>
  <c r="K77" i="13"/>
  <c r="I78" i="13"/>
  <c r="I77" i="13"/>
  <c r="I76" i="13"/>
  <c r="H78" i="13"/>
  <c r="G78" i="13"/>
  <c r="G77" i="13"/>
  <c r="G76" i="13"/>
  <c r="F78" i="13"/>
  <c r="E78" i="13"/>
  <c r="E77" i="13"/>
  <c r="E76" i="13"/>
  <c r="H77" i="13"/>
  <c r="H76" i="13"/>
  <c r="F77" i="13"/>
  <c r="F76" i="13"/>
  <c r="S76" i="13"/>
  <c r="Q76" i="13"/>
  <c r="K76" i="13"/>
  <c r="N75" i="13"/>
  <c r="L75" i="13"/>
  <c r="J75" i="13"/>
  <c r="J73" i="13"/>
  <c r="H75" i="13"/>
  <c r="N74" i="13"/>
  <c r="L74" i="13"/>
  <c r="K74" i="13"/>
  <c r="K73" i="13"/>
  <c r="J74" i="13"/>
  <c r="I74" i="13"/>
  <c r="I73" i="13"/>
  <c r="H74" i="13"/>
  <c r="H73" i="13"/>
  <c r="G74" i="13"/>
  <c r="G73" i="13"/>
  <c r="F74" i="13"/>
  <c r="E74" i="13"/>
  <c r="E73" i="13"/>
  <c r="T73" i="13"/>
  <c r="N73" i="13"/>
  <c r="O77" i="13"/>
  <c r="O76" i="13"/>
  <c r="F73" i="13"/>
  <c r="L73" i="13"/>
  <c r="X79" i="13"/>
  <c r="R74" i="13"/>
  <c r="R73" i="13"/>
  <c r="X75" i="13"/>
  <c r="P73" i="13"/>
  <c r="P77" i="13"/>
  <c r="P76" i="13"/>
  <c r="M85" i="13"/>
  <c r="M84" i="13"/>
  <c r="X73" i="13"/>
  <c r="J78" i="13"/>
  <c r="J77" i="13"/>
  <c r="J76" i="13"/>
  <c r="L78" i="13"/>
  <c r="L77" i="13"/>
  <c r="L76" i="13"/>
  <c r="N78" i="13"/>
  <c r="N77" i="13"/>
  <c r="N76" i="13"/>
  <c r="X77" i="13"/>
  <c r="X76" i="13"/>
  <c r="M74" i="13"/>
  <c r="M73" i="13"/>
  <c r="D85" i="13"/>
  <c r="D84" i="13"/>
  <c r="D78" i="13"/>
  <c r="D77" i="13"/>
  <c r="D76" i="13"/>
  <c r="O35" i="5"/>
  <c r="O37" i="5"/>
  <c r="O42" i="5"/>
  <c r="O34" i="5"/>
  <c r="R34" i="5"/>
  <c r="S34" i="5"/>
  <c r="R36" i="5"/>
  <c r="S36" i="5"/>
  <c r="O36" i="5"/>
  <c r="O39" i="5"/>
  <c r="P39" i="5"/>
  <c r="Q39" i="5"/>
  <c r="R39" i="5"/>
  <c r="D74" i="13"/>
  <c r="D73" i="13"/>
  <c r="R33" i="5"/>
  <c r="S33" i="5"/>
  <c r="O33" i="5"/>
  <c r="X80" i="9"/>
  <c r="D80" i="9"/>
  <c r="P657" i="2"/>
  <c r="P656" i="2"/>
  <c r="M235" i="2"/>
  <c r="P74" i="4"/>
  <c r="M103" i="5"/>
  <c r="M101" i="5"/>
  <c r="M112" i="3"/>
  <c r="O70" i="4"/>
  <c r="O72" i="4"/>
  <c r="O75" i="4"/>
  <c r="O77" i="4"/>
  <c r="P105" i="4"/>
  <c r="P109" i="4"/>
  <c r="P112" i="4"/>
  <c r="O108" i="4"/>
  <c r="O113" i="4"/>
  <c r="P104" i="4"/>
  <c r="W578" i="2"/>
  <c r="W577" i="2"/>
  <c r="V578" i="2"/>
  <c r="U578" i="2"/>
  <c r="U577" i="2"/>
  <c r="V577" i="2"/>
  <c r="W575" i="2"/>
  <c r="V575" i="2"/>
  <c r="U575" i="2"/>
  <c r="W573" i="2"/>
  <c r="V573" i="2"/>
  <c r="U573" i="2"/>
  <c r="V572" i="2"/>
  <c r="V10" i="2"/>
  <c r="U572" i="2"/>
  <c r="U10" i="2"/>
  <c r="W572" i="2"/>
  <c r="W10" i="2"/>
  <c r="O35" i="6"/>
  <c r="M35" i="6"/>
  <c r="O26" i="6"/>
  <c r="O32" i="6"/>
  <c r="M32" i="6"/>
  <c r="U594" i="2"/>
  <c r="V594" i="2"/>
  <c r="W594" i="2"/>
  <c r="U593" i="2"/>
  <c r="V593" i="2"/>
  <c r="W593" i="2"/>
  <c r="U588" i="2"/>
  <c r="V588" i="2"/>
  <c r="W588" i="2"/>
  <c r="U585" i="2"/>
  <c r="U584" i="2"/>
  <c r="W585" i="2"/>
  <c r="W584" i="2"/>
  <c r="V585" i="2"/>
  <c r="V584" i="2"/>
  <c r="W250" i="6"/>
  <c r="W249" i="6"/>
  <c r="V250" i="6"/>
  <c r="V249" i="6"/>
  <c r="U250" i="6"/>
  <c r="U249" i="6"/>
  <c r="W258" i="6"/>
  <c r="W257" i="6" s="1"/>
  <c r="T102" i="1" s="1"/>
  <c r="W214" i="9"/>
  <c r="T79" i="1"/>
  <c r="V258" i="6"/>
  <c r="U258" i="6"/>
  <c r="U257" i="6" s="1"/>
  <c r="R102" i="1" s="1"/>
  <c r="U214" i="9"/>
  <c r="R79" i="1"/>
  <c r="V257" i="6"/>
  <c r="S102" i="1"/>
  <c r="W254" i="6"/>
  <c r="W253" i="6"/>
  <c r="V254" i="6"/>
  <c r="U254" i="6"/>
  <c r="U253" i="6"/>
  <c r="V253" i="6"/>
  <c r="O247" i="6"/>
  <c r="O11" i="4"/>
  <c r="O15" i="4"/>
  <c r="W101" i="4"/>
  <c r="W100" i="4" s="1"/>
  <c r="V101" i="4"/>
  <c r="V100" i="4" s="1"/>
  <c r="U101" i="4"/>
  <c r="U100" i="4" s="1"/>
  <c r="W98" i="4"/>
  <c r="V98" i="4"/>
  <c r="U98" i="4"/>
  <c r="W95" i="4"/>
  <c r="V95" i="4"/>
  <c r="U95" i="4"/>
  <c r="W114" i="4"/>
  <c r="W111" i="4" s="1"/>
  <c r="V114" i="4"/>
  <c r="V111" i="4" s="1"/>
  <c r="U114" i="4"/>
  <c r="U111" i="4" s="1"/>
  <c r="W109" i="4"/>
  <c r="V109" i="4"/>
  <c r="U109" i="4"/>
  <c r="W105" i="4"/>
  <c r="V105" i="4"/>
  <c r="V104" i="4" s="1"/>
  <c r="U105" i="4"/>
  <c r="W123" i="4"/>
  <c r="W122" i="4" s="1"/>
  <c r="V123" i="4"/>
  <c r="V122" i="4" s="1"/>
  <c r="U123" i="4"/>
  <c r="U122" i="4"/>
  <c r="U128" i="4"/>
  <c r="U127" i="4" s="1"/>
  <c r="V128" i="4"/>
  <c r="V127" i="4" s="1"/>
  <c r="W128" i="4"/>
  <c r="W127" i="4" s="1"/>
  <c r="T128" i="4"/>
  <c r="T127" i="4" s="1"/>
  <c r="S128" i="4"/>
  <c r="S127" i="4" s="1"/>
  <c r="R128" i="4"/>
  <c r="R127" i="4" s="1"/>
  <c r="Q128" i="4"/>
  <c r="Q127" i="4" s="1"/>
  <c r="P128" i="4"/>
  <c r="P127" i="4" s="1"/>
  <c r="W51" i="4"/>
  <c r="V51" i="4"/>
  <c r="U51" i="4"/>
  <c r="W49" i="4"/>
  <c r="V49" i="4"/>
  <c r="V48" i="4" s="1"/>
  <c r="U49" i="4"/>
  <c r="W48" i="4"/>
  <c r="U48" i="4"/>
  <c r="W46" i="4"/>
  <c r="V46" i="4"/>
  <c r="U46" i="4"/>
  <c r="W42" i="4"/>
  <c r="W41" i="4" s="1"/>
  <c r="V42" i="4"/>
  <c r="U42" i="4"/>
  <c r="U41" i="4" s="1"/>
  <c r="V41" i="4"/>
  <c r="W63" i="4"/>
  <c r="W62" i="4" s="1"/>
  <c r="V63" i="4"/>
  <c r="V62" i="4" s="1"/>
  <c r="U63" i="4"/>
  <c r="U62" i="4" s="1"/>
  <c r="W55" i="4"/>
  <c r="W54" i="4" s="1"/>
  <c r="V55" i="4"/>
  <c r="V54" i="4" s="1"/>
  <c r="U55" i="4"/>
  <c r="U54" i="4" s="1"/>
  <c r="W71" i="4"/>
  <c r="V71" i="4"/>
  <c r="U71" i="4"/>
  <c r="W68" i="4"/>
  <c r="V68" i="4"/>
  <c r="V67" i="4" s="1"/>
  <c r="U68" i="4"/>
  <c r="W67" i="4"/>
  <c r="U67" i="4"/>
  <c r="W76" i="4"/>
  <c r="V76" i="4"/>
  <c r="U76" i="4"/>
  <c r="W74" i="4"/>
  <c r="V74" i="4"/>
  <c r="U74" i="4"/>
  <c r="W73" i="4"/>
  <c r="V73" i="4"/>
  <c r="U73" i="4"/>
  <c r="W80" i="4"/>
  <c r="W79" i="4" s="1"/>
  <c r="V80" i="4"/>
  <c r="U80" i="4"/>
  <c r="V79" i="4"/>
  <c r="U79" i="4"/>
  <c r="N630" i="2"/>
  <c r="N629" i="2"/>
  <c r="O626" i="2"/>
  <c r="O625" i="2"/>
  <c r="D628" i="2"/>
  <c r="O630" i="2"/>
  <c r="O629" i="2"/>
  <c r="K630" i="2"/>
  <c r="K629" i="2"/>
  <c r="J630" i="2"/>
  <c r="J629" i="2"/>
  <c r="J626" i="2"/>
  <c r="J625" i="2"/>
  <c r="U104" i="4"/>
  <c r="U94" i="4"/>
  <c r="W94" i="4"/>
  <c r="V94" i="4"/>
  <c r="W591" i="2"/>
  <c r="W590" i="2"/>
  <c r="V591" i="2"/>
  <c r="V590" i="2"/>
  <c r="U591" i="2"/>
  <c r="U590" i="2"/>
  <c r="U581" i="2"/>
  <c r="V581" i="2"/>
  <c r="K626" i="2"/>
  <c r="K625" i="2"/>
  <c r="D627" i="2"/>
  <c r="N626" i="2"/>
  <c r="N625" i="2"/>
  <c r="M631" i="2"/>
  <c r="W581" i="2"/>
  <c r="M626" i="2"/>
  <c r="M625" i="2"/>
  <c r="M630" i="2"/>
  <c r="M629" i="2"/>
  <c r="D631" i="2"/>
  <c r="U34" i="5"/>
  <c r="V34" i="5"/>
  <c r="W34" i="5"/>
  <c r="W33" i="5"/>
  <c r="U36" i="5"/>
  <c r="V36" i="5"/>
  <c r="W36" i="5"/>
  <c r="U41" i="5"/>
  <c r="U38" i="5"/>
  <c r="V41" i="5"/>
  <c r="V38" i="5"/>
  <c r="W41" i="5"/>
  <c r="W38" i="5"/>
  <c r="U45" i="5"/>
  <c r="V45" i="5"/>
  <c r="W45" i="5"/>
  <c r="U48" i="5"/>
  <c r="U47" i="5"/>
  <c r="V48" i="5"/>
  <c r="V47" i="5"/>
  <c r="W48" i="5"/>
  <c r="W47" i="5"/>
  <c r="U52" i="5"/>
  <c r="U51" i="5"/>
  <c r="V52" i="5"/>
  <c r="V51" i="5"/>
  <c r="W52" i="5"/>
  <c r="W51" i="5"/>
  <c r="U55" i="5"/>
  <c r="V55" i="5"/>
  <c r="W55" i="5"/>
  <c r="U75" i="5"/>
  <c r="U73" i="5"/>
  <c r="V75" i="5"/>
  <c r="V73" i="5"/>
  <c r="W75" i="5"/>
  <c r="W73" i="5"/>
  <c r="U81" i="5"/>
  <c r="V81" i="5"/>
  <c r="W81" i="5"/>
  <c r="U77" i="5"/>
  <c r="U76" i="5"/>
  <c r="V77" i="5"/>
  <c r="W77" i="5"/>
  <c r="W76" i="5"/>
  <c r="U87" i="5"/>
  <c r="U83" i="5"/>
  <c r="V87" i="5"/>
  <c r="V83" i="5"/>
  <c r="W87" i="5"/>
  <c r="W83" i="5"/>
  <c r="U99" i="5"/>
  <c r="V99" i="5"/>
  <c r="W99" i="5"/>
  <c r="U105" i="5"/>
  <c r="V105" i="5"/>
  <c r="W105" i="5"/>
  <c r="U112" i="5"/>
  <c r="U111" i="5"/>
  <c r="V112" i="5"/>
  <c r="V111" i="5"/>
  <c r="W112" i="5"/>
  <c r="W111" i="5"/>
  <c r="U59" i="5"/>
  <c r="V59" i="5"/>
  <c r="W59" i="5"/>
  <c r="U62" i="5"/>
  <c r="U61" i="5"/>
  <c r="V62" i="5"/>
  <c r="V61" i="5"/>
  <c r="W62" i="5"/>
  <c r="W61" i="5"/>
  <c r="E63" i="5"/>
  <c r="M63" i="5"/>
  <c r="T62" i="5"/>
  <c r="S62" i="5"/>
  <c r="R62" i="5"/>
  <c r="Q62" i="5"/>
  <c r="P62" i="5"/>
  <c r="O62" i="5"/>
  <c r="N62" i="5"/>
  <c r="M62" i="5"/>
  <c r="L62" i="5"/>
  <c r="K62" i="5"/>
  <c r="J62" i="5"/>
  <c r="I62" i="5"/>
  <c r="H62" i="5"/>
  <c r="G62" i="5"/>
  <c r="F62" i="5"/>
  <c r="E62" i="5"/>
  <c r="T61" i="5"/>
  <c r="S61" i="5"/>
  <c r="R61" i="5"/>
  <c r="E60" i="5"/>
  <c r="M60" i="5"/>
  <c r="T59" i="5"/>
  <c r="S59" i="5"/>
  <c r="R59" i="5"/>
  <c r="Q59" i="5"/>
  <c r="P59" i="5"/>
  <c r="O59" i="5"/>
  <c r="N59" i="5"/>
  <c r="M59" i="5"/>
  <c r="L59" i="5"/>
  <c r="L58" i="5"/>
  <c r="K59" i="5"/>
  <c r="J59" i="5"/>
  <c r="J58" i="5"/>
  <c r="I59" i="5"/>
  <c r="H59" i="5"/>
  <c r="H58" i="5"/>
  <c r="G59" i="5"/>
  <c r="F59" i="5"/>
  <c r="F58" i="5"/>
  <c r="T58" i="5"/>
  <c r="S58" i="5"/>
  <c r="R58" i="5"/>
  <c r="Q58" i="5"/>
  <c r="P58" i="5"/>
  <c r="O58" i="5"/>
  <c r="N58" i="5"/>
  <c r="M58" i="5"/>
  <c r="K58" i="5"/>
  <c r="I58" i="5"/>
  <c r="G58" i="5"/>
  <c r="F75" i="5"/>
  <c r="F73" i="5"/>
  <c r="G75" i="5"/>
  <c r="G73" i="5"/>
  <c r="H75" i="5"/>
  <c r="H73" i="5"/>
  <c r="K75" i="5"/>
  <c r="K73" i="5"/>
  <c r="P75" i="5"/>
  <c r="P73" i="5"/>
  <c r="Q75" i="5"/>
  <c r="Q73" i="5"/>
  <c r="R75" i="5"/>
  <c r="R73" i="5"/>
  <c r="S75" i="5"/>
  <c r="S73" i="5"/>
  <c r="T75" i="5"/>
  <c r="T73" i="5"/>
  <c r="D60" i="5"/>
  <c r="D59" i="5"/>
  <c r="D58" i="5"/>
  <c r="M17" i="5"/>
  <c r="D63" i="5"/>
  <c r="D62" i="5"/>
  <c r="D61" i="5"/>
  <c r="U58" i="5"/>
  <c r="V44" i="5"/>
  <c r="U33" i="5"/>
  <c r="E59" i="5"/>
  <c r="E58" i="5"/>
  <c r="V33" i="5"/>
  <c r="V58" i="5"/>
  <c r="W44" i="5"/>
  <c r="U44" i="5"/>
  <c r="W58" i="5"/>
  <c r="V76" i="5"/>
  <c r="X125" i="9"/>
  <c r="T214" i="9"/>
  <c r="V214" i="9"/>
  <c r="S214" i="9"/>
  <c r="P79" i="1"/>
  <c r="U216" i="9"/>
  <c r="U205" i="9"/>
  <c r="V216" i="9"/>
  <c r="V205" i="9"/>
  <c r="W216" i="9"/>
  <c r="W205" i="9"/>
  <c r="V130" i="9"/>
  <c r="W130" i="9"/>
  <c r="U94" i="9"/>
  <c r="U93" i="9" s="1"/>
  <c r="V94" i="9"/>
  <c r="V93" i="9" s="1"/>
  <c r="W94" i="9"/>
  <c r="W93" i="9" s="1"/>
  <c r="U85" i="9"/>
  <c r="U84" i="9" s="1"/>
  <c r="V85" i="9"/>
  <c r="V84" i="9" s="1"/>
  <c r="W85" i="9"/>
  <c r="W84" i="9" s="1"/>
  <c r="U76" i="9"/>
  <c r="U75" i="9" s="1"/>
  <c r="V76" i="9"/>
  <c r="V75" i="9" s="1"/>
  <c r="W76" i="9"/>
  <c r="W75" i="9" s="1"/>
  <c r="U69" i="9"/>
  <c r="U68" i="9" s="1"/>
  <c r="V69" i="9"/>
  <c r="V68" i="9" s="1"/>
  <c r="W69" i="9"/>
  <c r="W68" i="9" s="1"/>
  <c r="U62" i="9"/>
  <c r="U61" i="9" s="1"/>
  <c r="V62" i="9"/>
  <c r="V61" i="9"/>
  <c r="W62" i="9"/>
  <c r="W61" i="9"/>
  <c r="U53" i="9"/>
  <c r="U52" i="9" s="1"/>
  <c r="U129" i="9"/>
  <c r="V53" i="9"/>
  <c r="V52" i="9" s="1"/>
  <c r="W53" i="9"/>
  <c r="W52" i="9" s="1"/>
  <c r="W129" i="9"/>
  <c r="U46" i="9"/>
  <c r="U45" i="9" s="1"/>
  <c r="V46" i="9"/>
  <c r="V45" i="9" s="1"/>
  <c r="W46" i="9"/>
  <c r="W45" i="9" s="1"/>
  <c r="U37" i="9"/>
  <c r="U36" i="9" s="1"/>
  <c r="V37" i="9"/>
  <c r="V36" i="9"/>
  <c r="W37" i="9"/>
  <c r="W36" i="9"/>
  <c r="U28" i="9"/>
  <c r="U27" i="9" s="1"/>
  <c r="V28" i="9"/>
  <c r="V27" i="9"/>
  <c r="W28" i="9"/>
  <c r="W27" i="9"/>
  <c r="V213" i="9"/>
  <c r="V212" i="9"/>
  <c r="S79" i="1"/>
  <c r="W213" i="9"/>
  <c r="W212" i="9"/>
  <c r="U213" i="9"/>
  <c r="U212" i="9"/>
  <c r="T213" i="9"/>
  <c r="T212" i="9"/>
  <c r="Q79" i="1"/>
  <c r="L70" i="7"/>
  <c r="D198" i="3"/>
  <c r="O197" i="3"/>
  <c r="N197" i="3"/>
  <c r="L197" i="3"/>
  <c r="K197" i="3"/>
  <c r="J197" i="3"/>
  <c r="I197" i="3"/>
  <c r="H197" i="3"/>
  <c r="G197" i="3"/>
  <c r="F197" i="3"/>
  <c r="E197" i="3"/>
  <c r="E196" i="3"/>
  <c r="D196" i="3"/>
  <c r="D195" i="3"/>
  <c r="O195" i="3"/>
  <c r="N195" i="3"/>
  <c r="M195" i="3"/>
  <c r="L195" i="3"/>
  <c r="L194" i="3"/>
  <c r="K195" i="3"/>
  <c r="J195" i="3"/>
  <c r="J194" i="3"/>
  <c r="I195" i="3"/>
  <c r="H195" i="3"/>
  <c r="G195" i="3"/>
  <c r="F195" i="3"/>
  <c r="K194" i="3"/>
  <c r="I194" i="3"/>
  <c r="H194" i="3"/>
  <c r="G194" i="3"/>
  <c r="F194" i="3"/>
  <c r="E193" i="3"/>
  <c r="O192" i="3"/>
  <c r="N192" i="3"/>
  <c r="L192" i="3"/>
  <c r="K192" i="3"/>
  <c r="J192" i="3"/>
  <c r="I192" i="3"/>
  <c r="H192" i="3"/>
  <c r="G192" i="3"/>
  <c r="F192" i="3"/>
  <c r="E192" i="3"/>
  <c r="E191" i="3"/>
  <c r="D191" i="3"/>
  <c r="E190" i="3"/>
  <c r="D190" i="3"/>
  <c r="O189" i="3"/>
  <c r="N189" i="3"/>
  <c r="M189" i="3"/>
  <c r="L189" i="3"/>
  <c r="L188" i="3"/>
  <c r="K189" i="3"/>
  <c r="J189" i="3"/>
  <c r="I189" i="3"/>
  <c r="H189" i="3"/>
  <c r="H188" i="3"/>
  <c r="G189" i="3"/>
  <c r="F189" i="3"/>
  <c r="N188" i="3"/>
  <c r="J188" i="3"/>
  <c r="F188" i="3"/>
  <c r="J185" i="3"/>
  <c r="E186" i="3"/>
  <c r="E185" i="3"/>
  <c r="O185" i="3"/>
  <c r="N185" i="3"/>
  <c r="L185" i="3"/>
  <c r="K185" i="3"/>
  <c r="I185" i="3"/>
  <c r="H185" i="3"/>
  <c r="H182" i="3"/>
  <c r="G185" i="3"/>
  <c r="F185" i="3"/>
  <c r="N183" i="3"/>
  <c r="K183" i="3"/>
  <c r="K182" i="3"/>
  <c r="J183" i="3"/>
  <c r="E184" i="3"/>
  <c r="O183" i="3"/>
  <c r="I183" i="3"/>
  <c r="H183" i="3"/>
  <c r="G183" i="3"/>
  <c r="F183" i="3"/>
  <c r="E183" i="3"/>
  <c r="E181" i="3"/>
  <c r="O180" i="3"/>
  <c r="N180" i="3"/>
  <c r="L180" i="3"/>
  <c r="K180" i="3"/>
  <c r="J180" i="3"/>
  <c r="I180" i="3"/>
  <c r="H180" i="3"/>
  <c r="G180" i="3"/>
  <c r="F180" i="3"/>
  <c r="E180" i="3"/>
  <c r="E179" i="3"/>
  <c r="E178" i="3"/>
  <c r="O177" i="3"/>
  <c r="N177" i="3"/>
  <c r="L177" i="3"/>
  <c r="K177" i="3"/>
  <c r="J177" i="3"/>
  <c r="I177" i="3"/>
  <c r="H177" i="3"/>
  <c r="G177" i="3"/>
  <c r="F177" i="3"/>
  <c r="E177" i="3"/>
  <c r="O176" i="3"/>
  <c r="N176" i="3"/>
  <c r="L176" i="3"/>
  <c r="K176" i="3"/>
  <c r="J176" i="3"/>
  <c r="I176" i="3"/>
  <c r="H176" i="3"/>
  <c r="G176" i="3"/>
  <c r="F176" i="3"/>
  <c r="E176" i="3"/>
  <c r="U21" i="3"/>
  <c r="V21" i="3"/>
  <c r="W21" i="3"/>
  <c r="V15" i="3"/>
  <c r="T21" i="3"/>
  <c r="S21" i="3"/>
  <c r="R21" i="3"/>
  <c r="Q21" i="3"/>
  <c r="I23" i="3"/>
  <c r="I21" i="3"/>
  <c r="T19" i="3"/>
  <c r="R19" i="3"/>
  <c r="Q19" i="3"/>
  <c r="K20" i="3"/>
  <c r="K19" i="3" s="1"/>
  <c r="K18" i="3" s="1"/>
  <c r="I10" i="10" s="1"/>
  <c r="H20" i="3"/>
  <c r="H19" i="3" s="1"/>
  <c r="H18" i="3" s="1"/>
  <c r="G20" i="3"/>
  <c r="G19" i="3" s="1"/>
  <c r="G18" i="3" s="1"/>
  <c r="F20" i="3"/>
  <c r="F19" i="3" s="1"/>
  <c r="F18" i="3" s="1"/>
  <c r="S19" i="3"/>
  <c r="S18" i="3" s="1"/>
  <c r="I17" i="3"/>
  <c r="I15" i="3" s="1"/>
  <c r="K14" i="3"/>
  <c r="H14" i="3"/>
  <c r="G14" i="3"/>
  <c r="D19" i="1" s="1"/>
  <c r="F14" i="3"/>
  <c r="O113" i="3"/>
  <c r="D114" i="3"/>
  <c r="D113" i="3"/>
  <c r="P113" i="3"/>
  <c r="N113" i="3"/>
  <c r="L113" i="3"/>
  <c r="D112" i="3"/>
  <c r="P111" i="3"/>
  <c r="O111" i="3"/>
  <c r="N111" i="3"/>
  <c r="M111" i="3"/>
  <c r="L111" i="3"/>
  <c r="D111" i="3"/>
  <c r="P108" i="3"/>
  <c r="O108" i="3"/>
  <c r="L108" i="3"/>
  <c r="D107" i="3"/>
  <c r="O105" i="3"/>
  <c r="D106" i="3"/>
  <c r="D105" i="3"/>
  <c r="P105" i="3"/>
  <c r="P104" i="3"/>
  <c r="L105" i="3"/>
  <c r="L104" i="3"/>
  <c r="P21" i="3"/>
  <c r="O161" i="3"/>
  <c r="N161" i="3"/>
  <c r="M161" i="3"/>
  <c r="L161" i="3"/>
  <c r="K161" i="3"/>
  <c r="J161" i="3"/>
  <c r="I161" i="3"/>
  <c r="H161" i="3"/>
  <c r="G161" i="3"/>
  <c r="F161" i="3"/>
  <c r="E161" i="3"/>
  <c r="R159" i="3"/>
  <c r="Q159" i="3"/>
  <c r="P159" i="3"/>
  <c r="O159" i="3"/>
  <c r="N159" i="3"/>
  <c r="M159" i="3"/>
  <c r="M158" i="3"/>
  <c r="L159" i="3"/>
  <c r="K159" i="3"/>
  <c r="K158" i="3"/>
  <c r="J159" i="3"/>
  <c r="I159" i="3"/>
  <c r="I158" i="3"/>
  <c r="H159" i="3"/>
  <c r="G159" i="3"/>
  <c r="G158" i="3"/>
  <c r="F159" i="3"/>
  <c r="E159" i="3"/>
  <c r="E158" i="3"/>
  <c r="D159" i="3"/>
  <c r="N158" i="3"/>
  <c r="L158" i="3"/>
  <c r="J158" i="3"/>
  <c r="H158" i="3"/>
  <c r="F158" i="3"/>
  <c r="D156" i="3"/>
  <c r="O156" i="3"/>
  <c r="N156" i="3"/>
  <c r="M156" i="3"/>
  <c r="L156" i="3"/>
  <c r="K156" i="3"/>
  <c r="J156" i="3"/>
  <c r="I156" i="3"/>
  <c r="H156" i="3"/>
  <c r="G156" i="3"/>
  <c r="F156" i="3"/>
  <c r="E156" i="3"/>
  <c r="O153" i="3"/>
  <c r="N153" i="3"/>
  <c r="L153" i="3"/>
  <c r="L152" i="3"/>
  <c r="K153" i="3"/>
  <c r="K152" i="3"/>
  <c r="J153" i="3"/>
  <c r="J152" i="3"/>
  <c r="I153" i="3"/>
  <c r="H153" i="3"/>
  <c r="H152" i="3"/>
  <c r="G153" i="3"/>
  <c r="G152" i="3"/>
  <c r="F153" i="3"/>
  <c r="F152" i="3"/>
  <c r="E153" i="3"/>
  <c r="N152" i="3"/>
  <c r="I152" i="3"/>
  <c r="E152" i="3"/>
  <c r="O173" i="3"/>
  <c r="N173" i="3"/>
  <c r="L173" i="3"/>
  <c r="K173" i="3"/>
  <c r="J173" i="3"/>
  <c r="I173" i="3"/>
  <c r="H173" i="3"/>
  <c r="G173" i="3"/>
  <c r="F173" i="3"/>
  <c r="E173" i="3"/>
  <c r="P171" i="3"/>
  <c r="O171" i="3"/>
  <c r="N171" i="3"/>
  <c r="M171" i="3"/>
  <c r="L171" i="3"/>
  <c r="L170" i="3"/>
  <c r="K171" i="3"/>
  <c r="K170" i="3"/>
  <c r="J171" i="3"/>
  <c r="J170" i="3"/>
  <c r="I171" i="3"/>
  <c r="I170" i="3"/>
  <c r="H171" i="3"/>
  <c r="G171" i="3"/>
  <c r="G170" i="3"/>
  <c r="F171" i="3"/>
  <c r="F170" i="3"/>
  <c r="E171" i="3"/>
  <c r="E170" i="3"/>
  <c r="D171" i="3"/>
  <c r="H170" i="3"/>
  <c r="D168" i="3"/>
  <c r="O168" i="3"/>
  <c r="N168" i="3"/>
  <c r="L168" i="3"/>
  <c r="K168" i="3"/>
  <c r="K164" i="3"/>
  <c r="J168" i="3"/>
  <c r="I168" i="3"/>
  <c r="H168" i="3"/>
  <c r="G168" i="3"/>
  <c r="F168" i="3"/>
  <c r="E168" i="3"/>
  <c r="O165" i="3"/>
  <c r="N165" i="3"/>
  <c r="L165" i="3"/>
  <c r="K165" i="3"/>
  <c r="J165" i="3"/>
  <c r="I165" i="3"/>
  <c r="H165" i="3"/>
  <c r="G165" i="3"/>
  <c r="F165" i="3"/>
  <c r="E165" i="3"/>
  <c r="X168" i="3"/>
  <c r="X167" i="3"/>
  <c r="E164" i="3"/>
  <c r="G164" i="3"/>
  <c r="I164" i="3"/>
  <c r="N170" i="3"/>
  <c r="F182" i="3"/>
  <c r="E189" i="3"/>
  <c r="E188" i="3"/>
  <c r="G188" i="3"/>
  <c r="I188" i="3"/>
  <c r="K188" i="3"/>
  <c r="E195" i="3"/>
  <c r="E194" i="3"/>
  <c r="O194" i="3"/>
  <c r="N164" i="3"/>
  <c r="O152" i="3"/>
  <c r="F164" i="3"/>
  <c r="H164" i="3"/>
  <c r="J164" i="3"/>
  <c r="L164" i="3"/>
  <c r="T18" i="3"/>
  <c r="X165" i="3"/>
  <c r="X164" i="3"/>
  <c r="G182" i="3"/>
  <c r="I182" i="3"/>
  <c r="D189" i="3"/>
  <c r="N194" i="3"/>
  <c r="M168" i="3"/>
  <c r="O158" i="3"/>
  <c r="E182" i="3"/>
  <c r="N182" i="3"/>
  <c r="D178" i="3"/>
  <c r="O188" i="3"/>
  <c r="O182" i="3"/>
  <c r="R18" i="3"/>
  <c r="O104" i="3"/>
  <c r="Q18" i="3"/>
  <c r="D153" i="3"/>
  <c r="D152" i="3"/>
  <c r="N105" i="3"/>
  <c r="D179" i="3"/>
  <c r="D177" i="3"/>
  <c r="D181" i="3"/>
  <c r="D186" i="3"/>
  <c r="D193" i="3"/>
  <c r="O164" i="3"/>
  <c r="D165" i="3"/>
  <c r="D164" i="3"/>
  <c r="D173" i="3"/>
  <c r="D170" i="3"/>
  <c r="N108" i="3"/>
  <c r="N104" i="3"/>
  <c r="N110" i="3"/>
  <c r="J182" i="3"/>
  <c r="D184" i="3"/>
  <c r="O110" i="3"/>
  <c r="L110" i="3"/>
  <c r="P110" i="3"/>
  <c r="D110" i="3"/>
  <c r="M197" i="3"/>
  <c r="M194" i="3"/>
  <c r="D197" i="3"/>
  <c r="D194" i="3"/>
  <c r="D192" i="3"/>
  <c r="D188" i="3"/>
  <c r="M192" i="3"/>
  <c r="M188" i="3"/>
  <c r="M177" i="3"/>
  <c r="M180" i="3"/>
  <c r="M183" i="3"/>
  <c r="M185" i="3"/>
  <c r="L183" i="3"/>
  <c r="L182" i="3"/>
  <c r="M105" i="3"/>
  <c r="M113" i="3"/>
  <c r="M110" i="3"/>
  <c r="M153" i="3"/>
  <c r="O170" i="3"/>
  <c r="M24" i="10"/>
  <c r="M165" i="3"/>
  <c r="M173" i="3"/>
  <c r="D161" i="3"/>
  <c r="D158" i="3"/>
  <c r="M164" i="3"/>
  <c r="M23" i="10"/>
  <c r="M170" i="3"/>
  <c r="M152" i="3"/>
  <c r="D109" i="3"/>
  <c r="D108" i="3"/>
  <c r="D104" i="3"/>
  <c r="M108" i="3"/>
  <c r="M104" i="3"/>
  <c r="M182" i="3"/>
  <c r="D185" i="3"/>
  <c r="D183" i="3"/>
  <c r="D180" i="3"/>
  <c r="D176" i="3"/>
  <c r="M176" i="3"/>
  <c r="M10" i="3"/>
  <c r="D182" i="3"/>
  <c r="O100" i="8"/>
  <c r="O98" i="8"/>
  <c r="O94" i="8"/>
  <c r="O92" i="8"/>
  <c r="P196" i="2"/>
  <c r="P195" i="2"/>
  <c r="O196" i="2"/>
  <c r="O195" i="2"/>
  <c r="P193" i="2"/>
  <c r="O193" i="2"/>
  <c r="P191" i="2"/>
  <c r="O191" i="2"/>
  <c r="O97" i="8"/>
  <c r="O91" i="8"/>
  <c r="P190" i="2"/>
  <c r="O190" i="2"/>
  <c r="S39" i="10"/>
  <c r="T39" i="10"/>
  <c r="U39" i="10"/>
  <c r="S38" i="10"/>
  <c r="T38" i="10"/>
  <c r="U38" i="10"/>
  <c r="V27" i="10"/>
  <c r="R14" i="10"/>
  <c r="S14" i="10"/>
  <c r="T14" i="10"/>
  <c r="U14" i="10"/>
  <c r="R13" i="10"/>
  <c r="S13" i="10"/>
  <c r="T13" i="10"/>
  <c r="U13" i="10"/>
  <c r="W427" i="2"/>
  <c r="W430" i="2"/>
  <c r="W426" i="2"/>
  <c r="V435" i="2"/>
  <c r="V432" i="2"/>
  <c r="S23" i="10"/>
  <c r="T23" i="10"/>
  <c r="U23" i="10"/>
  <c r="S24" i="10"/>
  <c r="T24" i="10"/>
  <c r="U24" i="10"/>
  <c r="R180" i="1"/>
  <c r="S180" i="1"/>
  <c r="T180" i="1"/>
  <c r="R164" i="1"/>
  <c r="S164" i="1"/>
  <c r="T164" i="1"/>
  <c r="R167" i="1"/>
  <c r="S167" i="1"/>
  <c r="T167" i="1"/>
  <c r="R152" i="1"/>
  <c r="S152" i="1"/>
  <c r="T152" i="1"/>
  <c r="R140" i="1"/>
  <c r="R202" i="1"/>
  <c r="S140" i="1"/>
  <c r="S202" i="1"/>
  <c r="T140" i="1"/>
  <c r="T202" i="1"/>
  <c r="K152" i="1"/>
  <c r="K164" i="1"/>
  <c r="K167" i="1"/>
  <c r="K180" i="1"/>
  <c r="O71" i="1"/>
  <c r="P71" i="1"/>
  <c r="Q71" i="1"/>
  <c r="R71" i="1"/>
  <c r="S71" i="1"/>
  <c r="T71" i="1"/>
  <c r="M81" i="1"/>
  <c r="N81" i="1"/>
  <c r="O81" i="1"/>
  <c r="P81" i="1"/>
  <c r="Q81" i="1"/>
  <c r="B102" i="1"/>
  <c r="F102" i="1"/>
  <c r="G102" i="1"/>
  <c r="H102" i="1"/>
  <c r="B152" i="1"/>
  <c r="C152" i="1"/>
  <c r="D152" i="1"/>
  <c r="E152" i="1"/>
  <c r="F152" i="1"/>
  <c r="G152" i="1"/>
  <c r="H152" i="1"/>
  <c r="I152" i="1"/>
  <c r="L152" i="1"/>
  <c r="M152" i="1"/>
  <c r="N152" i="1"/>
  <c r="O152" i="1"/>
  <c r="P152" i="1"/>
  <c r="Q152" i="1"/>
  <c r="B164" i="1"/>
  <c r="C164" i="1"/>
  <c r="D164" i="1"/>
  <c r="E164" i="1"/>
  <c r="F164" i="1"/>
  <c r="G164" i="1"/>
  <c r="H164" i="1"/>
  <c r="I164" i="1"/>
  <c r="J164" i="1"/>
  <c r="L164" i="1"/>
  <c r="M164" i="1"/>
  <c r="N164" i="1"/>
  <c r="O164" i="1"/>
  <c r="P164" i="1"/>
  <c r="Q164" i="1"/>
  <c r="U164" i="1"/>
  <c r="C165" i="1"/>
  <c r="E165" i="1"/>
  <c r="G165" i="1"/>
  <c r="I165" i="1"/>
  <c r="B167" i="1"/>
  <c r="C167" i="1"/>
  <c r="D167" i="1"/>
  <c r="E167" i="1"/>
  <c r="F167" i="1"/>
  <c r="G167" i="1"/>
  <c r="H167" i="1"/>
  <c r="I167" i="1"/>
  <c r="L167" i="1"/>
  <c r="M167" i="1"/>
  <c r="N167" i="1"/>
  <c r="O167" i="1"/>
  <c r="P167" i="1"/>
  <c r="Q167" i="1"/>
  <c r="B180" i="1"/>
  <c r="C180" i="1"/>
  <c r="D180" i="1"/>
  <c r="E180" i="1"/>
  <c r="F180" i="1"/>
  <c r="G180" i="1"/>
  <c r="H180" i="1"/>
  <c r="I180" i="1"/>
  <c r="J180" i="1"/>
  <c r="L180" i="1"/>
  <c r="M180" i="1"/>
  <c r="N180" i="1"/>
  <c r="O180" i="1"/>
  <c r="P180" i="1"/>
  <c r="Q180" i="1"/>
  <c r="U180" i="1"/>
  <c r="U11" i="5"/>
  <c r="V11" i="5"/>
  <c r="W11" i="5"/>
  <c r="J165" i="1"/>
  <c r="H165" i="1"/>
  <c r="F165" i="1"/>
  <c r="D165" i="1"/>
  <c r="B165" i="1"/>
  <c r="Q165" i="1"/>
  <c r="O165" i="1"/>
  <c r="M165" i="1"/>
  <c r="K165" i="1"/>
  <c r="P165" i="1"/>
  <c r="N165" i="1"/>
  <c r="L165" i="1"/>
  <c r="V10" i="5"/>
  <c r="W10" i="5"/>
  <c r="U10" i="5"/>
  <c r="U152" i="1"/>
  <c r="U165" i="1" s="1"/>
  <c r="U167" i="1"/>
  <c r="W118" i="4"/>
  <c r="W117" i="4" s="1"/>
  <c r="V118" i="4"/>
  <c r="V117" i="4" s="1"/>
  <c r="S65" i="1"/>
  <c r="U118" i="4"/>
  <c r="U117" i="4" s="1"/>
  <c r="R65" i="1"/>
  <c r="T65" i="1"/>
  <c r="W131" i="6"/>
  <c r="W130" i="6" s="1"/>
  <c r="W30" i="2"/>
  <c r="W23" i="2"/>
  <c r="V131" i="6"/>
  <c r="V130" i="6" s="1"/>
  <c r="U131" i="6"/>
  <c r="U130" i="6" s="1"/>
  <c r="U30" i="2"/>
  <c r="U23" i="2"/>
  <c r="D124" i="6"/>
  <c r="D123" i="6"/>
  <c r="D119" i="6"/>
  <c r="D118" i="6"/>
  <c r="W117" i="6"/>
  <c r="W116" i="6" s="1"/>
  <c r="V117" i="6"/>
  <c r="V116" i="6"/>
  <c r="U117" i="6"/>
  <c r="U116" i="6"/>
  <c r="W26" i="6"/>
  <c r="V26" i="6"/>
  <c r="U26" i="6"/>
  <c r="D110" i="6"/>
  <c r="D109" i="6"/>
  <c r="D107" i="6"/>
  <c r="D105" i="6"/>
  <c r="W102" i="6"/>
  <c r="W20" i="6" s="1"/>
  <c r="V102" i="6"/>
  <c r="U102" i="6"/>
  <c r="U20" i="6" s="1"/>
  <c r="W98" i="6"/>
  <c r="W18" i="6" s="1"/>
  <c r="T25" i="1" s="1"/>
  <c r="V98" i="6"/>
  <c r="V18" i="6" s="1"/>
  <c r="U98" i="6"/>
  <c r="D100" i="6"/>
  <c r="D99" i="6"/>
  <c r="W92" i="6"/>
  <c r="W15" i="6" s="1"/>
  <c r="V92" i="6"/>
  <c r="V15" i="6" s="1"/>
  <c r="U92" i="6"/>
  <c r="U15" i="6" s="1"/>
  <c r="U18" i="6"/>
  <c r="V20" i="6"/>
  <c r="V19" i="6" s="1"/>
  <c r="U112" i="6"/>
  <c r="U111" i="6"/>
  <c r="W112" i="6"/>
  <c r="W111" i="6"/>
  <c r="V101" i="6"/>
  <c r="W101" i="6"/>
  <c r="V112" i="6"/>
  <c r="V111" i="6"/>
  <c r="U120" i="6"/>
  <c r="U276" i="6"/>
  <c r="W120" i="6"/>
  <c r="W276" i="6"/>
  <c r="V120" i="6"/>
  <c r="V276" i="6"/>
  <c r="W275" i="6"/>
  <c r="U11" i="13"/>
  <c r="V11" i="13"/>
  <c r="W11" i="13"/>
  <c r="U16" i="13"/>
  <c r="V16" i="13"/>
  <c r="L98" i="9"/>
  <c r="W16" i="13"/>
  <c r="W12" i="13"/>
  <c r="W22" i="13"/>
  <c r="W19" i="13"/>
  <c r="U22" i="13"/>
  <c r="U19" i="13"/>
  <c r="V22" i="13"/>
  <c r="V19" i="13"/>
  <c r="V9" i="13"/>
  <c r="W9" i="13"/>
  <c r="U9" i="13"/>
  <c r="V12" i="13"/>
  <c r="U12" i="13"/>
  <c r="D103" i="9"/>
  <c r="D102" i="9"/>
  <c r="R60" i="1"/>
  <c r="S60" i="1"/>
  <c r="T60" i="1"/>
  <c r="U206" i="9"/>
  <c r="V206" i="9"/>
  <c r="W206" i="9"/>
  <c r="U210" i="9"/>
  <c r="R66" i="1"/>
  <c r="V210" i="9"/>
  <c r="S66" i="1"/>
  <c r="W210" i="9"/>
  <c r="T66" i="1"/>
  <c r="U211" i="9"/>
  <c r="U208" i="9"/>
  <c r="V211" i="9"/>
  <c r="V208" i="9"/>
  <c r="W211" i="9"/>
  <c r="W208" i="9"/>
  <c r="U12" i="9"/>
  <c r="W12" i="9"/>
  <c r="W11" i="9" s="1"/>
  <c r="V14" i="9"/>
  <c r="V18" i="9"/>
  <c r="V17" i="9" s="1"/>
  <c r="W18" i="9"/>
  <c r="W17" i="9" s="1"/>
  <c r="U18" i="9"/>
  <c r="U17" i="9" s="1"/>
  <c r="V207" i="9"/>
  <c r="V204" i="9"/>
  <c r="W207" i="9"/>
  <c r="U207" i="9"/>
  <c r="W204" i="9"/>
  <c r="U204" i="9"/>
  <c r="U8" i="7"/>
  <c r="V8" i="7"/>
  <c r="W8" i="7"/>
  <c r="U13" i="7"/>
  <c r="V13" i="7"/>
  <c r="W13" i="7"/>
  <c r="U15" i="7"/>
  <c r="V15" i="7"/>
  <c r="W15" i="7"/>
  <c r="U18" i="7"/>
  <c r="V18" i="7"/>
  <c r="W18" i="7"/>
  <c r="U20" i="7"/>
  <c r="V20" i="7"/>
  <c r="W20" i="7"/>
  <c r="D70" i="7"/>
  <c r="D59" i="7"/>
  <c r="D97" i="6"/>
  <c r="D95" i="6"/>
  <c r="D94" i="6"/>
  <c r="D93" i="6"/>
  <c r="R25" i="1"/>
  <c r="U22" i="6"/>
  <c r="W22" i="6"/>
  <c r="U12" i="4"/>
  <c r="R61" i="1" s="1"/>
  <c r="V12" i="4"/>
  <c r="S61" i="1" s="1"/>
  <c r="W12" i="4"/>
  <c r="T61" i="1" s="1"/>
  <c r="R67" i="1"/>
  <c r="S67" i="1"/>
  <c r="W16" i="4"/>
  <c r="T67" i="1" s="1"/>
  <c r="U17" i="4"/>
  <c r="R68" i="1" s="1"/>
  <c r="R123" i="1" s="1"/>
  <c r="R185" i="1" s="1"/>
  <c r="V17" i="4"/>
  <c r="S68" i="1" s="1"/>
  <c r="S123" i="1" s="1"/>
  <c r="S185" i="1" s="1"/>
  <c r="W17" i="4"/>
  <c r="T68" i="1" s="1"/>
  <c r="T123" i="1" s="1"/>
  <c r="T185" i="1" s="1"/>
  <c r="U18" i="4"/>
  <c r="R70" i="1" s="1"/>
  <c r="V18" i="4"/>
  <c r="S70" i="1" s="1"/>
  <c r="W18" i="4"/>
  <c r="T70" i="1" s="1"/>
  <c r="U20" i="4"/>
  <c r="R69" i="1" s="1"/>
  <c r="R126" i="1" s="1"/>
  <c r="R187" i="1" s="1"/>
  <c r="V20" i="4"/>
  <c r="S69" i="1" s="1"/>
  <c r="S126" i="1" s="1"/>
  <c r="S187" i="1" s="1"/>
  <c r="W20" i="4"/>
  <c r="T69" i="1" s="1"/>
  <c r="T126" i="1" s="1"/>
  <c r="T187" i="1" s="1"/>
  <c r="U22" i="4"/>
  <c r="V22" i="4"/>
  <c r="W22" i="4"/>
  <c r="U25" i="4"/>
  <c r="R77" i="1" s="1"/>
  <c r="V25" i="4"/>
  <c r="S77" i="1"/>
  <c r="W25" i="4"/>
  <c r="T77" i="1"/>
  <c r="U26" i="4"/>
  <c r="R78" i="1" s="1"/>
  <c r="R138" i="1" s="1"/>
  <c r="R200" i="1" s="1"/>
  <c r="V26" i="4"/>
  <c r="S78" i="1" s="1"/>
  <c r="S138" i="1" s="1"/>
  <c r="S200" i="1" s="1"/>
  <c r="W26" i="4"/>
  <c r="T78" i="1" s="1"/>
  <c r="T138" i="1" s="1"/>
  <c r="T200" i="1" s="1"/>
  <c r="U28" i="4"/>
  <c r="V28" i="4"/>
  <c r="W28" i="4"/>
  <c r="U90" i="4"/>
  <c r="U89" i="4" s="1"/>
  <c r="V90" i="4"/>
  <c r="V89" i="4" s="1"/>
  <c r="W90" i="4"/>
  <c r="W89" i="4" s="1"/>
  <c r="D49" i="5"/>
  <c r="U15" i="5"/>
  <c r="V15" i="5"/>
  <c r="W15" i="5"/>
  <c r="U27" i="4"/>
  <c r="R83" i="1"/>
  <c r="R82" i="1" s="1"/>
  <c r="W27" i="4"/>
  <c r="T83" i="1"/>
  <c r="T82" i="1" s="1"/>
  <c r="V27" i="4"/>
  <c r="S83" i="1"/>
  <c r="S82" i="1" s="1"/>
  <c r="V12" i="7"/>
  <c r="V17" i="7"/>
  <c r="W12" i="7"/>
  <c r="U12" i="7"/>
  <c r="W21" i="4"/>
  <c r="T74" i="1"/>
  <c r="T73" i="1" s="1"/>
  <c r="U21" i="4"/>
  <c r="R74" i="1"/>
  <c r="R73" i="1" s="1"/>
  <c r="W24" i="4"/>
  <c r="T103" i="1"/>
  <c r="V21" i="4"/>
  <c r="S74" i="1"/>
  <c r="S73" i="1" s="1"/>
  <c r="W16" i="5"/>
  <c r="U16" i="5"/>
  <c r="V14" i="5"/>
  <c r="V16" i="5"/>
  <c r="W14" i="5"/>
  <c r="W13" i="5"/>
  <c r="U14" i="5"/>
  <c r="U19" i="5"/>
  <c r="U18" i="5"/>
  <c r="V19" i="5"/>
  <c r="V18" i="5"/>
  <c r="W19" i="5"/>
  <c r="W18" i="5"/>
  <c r="U24" i="4"/>
  <c r="R103" i="1" s="1"/>
  <c r="W14" i="4"/>
  <c r="U14" i="4"/>
  <c r="U13" i="4" s="1"/>
  <c r="W10" i="4"/>
  <c r="U10" i="4"/>
  <c r="V24" i="4"/>
  <c r="S103" i="1"/>
  <c r="V14" i="4"/>
  <c r="V10" i="4"/>
  <c r="W11" i="7"/>
  <c r="U11" i="7"/>
  <c r="W17" i="7"/>
  <c r="U17" i="7"/>
  <c r="V11" i="7"/>
  <c r="W23" i="4"/>
  <c r="U13" i="5"/>
  <c r="E76" i="4"/>
  <c r="F76" i="4"/>
  <c r="G76" i="4"/>
  <c r="H76" i="4"/>
  <c r="I76" i="4"/>
  <c r="J76" i="4"/>
  <c r="K76" i="4"/>
  <c r="L76" i="4"/>
  <c r="E73" i="4"/>
  <c r="F73" i="4"/>
  <c r="G73" i="4"/>
  <c r="H73" i="4"/>
  <c r="I73" i="4"/>
  <c r="J73" i="4"/>
  <c r="K73" i="4"/>
  <c r="L73" i="4"/>
  <c r="E74" i="4"/>
  <c r="F74" i="4"/>
  <c r="G74" i="4"/>
  <c r="H74" i="4"/>
  <c r="I74" i="4"/>
  <c r="J74" i="4"/>
  <c r="K74" i="4"/>
  <c r="L74" i="4"/>
  <c r="E71" i="4"/>
  <c r="F71" i="4"/>
  <c r="G71" i="4"/>
  <c r="H71" i="4"/>
  <c r="I71" i="4"/>
  <c r="J71" i="4"/>
  <c r="K71" i="4"/>
  <c r="L71" i="4"/>
  <c r="E68" i="4"/>
  <c r="E67" i="4"/>
  <c r="F68" i="4"/>
  <c r="F67" i="4"/>
  <c r="G68" i="4"/>
  <c r="G67" i="4"/>
  <c r="H68" i="4"/>
  <c r="H67" i="4"/>
  <c r="I68" i="4"/>
  <c r="I67" i="4"/>
  <c r="J68" i="4"/>
  <c r="J67" i="4"/>
  <c r="K68" i="4"/>
  <c r="K67" i="4"/>
  <c r="L68" i="4"/>
  <c r="L67" i="4"/>
  <c r="M81" i="4"/>
  <c r="M16" i="4"/>
  <c r="D81" i="4"/>
  <c r="U19" i="3"/>
  <c r="W19" i="3"/>
  <c r="W18" i="3" s="1"/>
  <c r="U221" i="3"/>
  <c r="V221" i="3"/>
  <c r="W221" i="3"/>
  <c r="U219" i="3"/>
  <c r="V219" i="3"/>
  <c r="W219" i="3"/>
  <c r="V218" i="3"/>
  <c r="U216" i="3"/>
  <c r="V216" i="3"/>
  <c r="W216" i="3"/>
  <c r="U213" i="3"/>
  <c r="V213" i="3"/>
  <c r="W213" i="3"/>
  <c r="W10" i="8"/>
  <c r="W11" i="8"/>
  <c r="W14" i="8"/>
  <c r="W15" i="8"/>
  <c r="W16" i="8"/>
  <c r="T20" i="1"/>
  <c r="W17" i="8"/>
  <c r="W19" i="8"/>
  <c r="T27" i="1"/>
  <c r="W20" i="8"/>
  <c r="W21" i="8"/>
  <c r="T30" i="1"/>
  <c r="W22" i="8"/>
  <c r="W25" i="8"/>
  <c r="W26" i="8"/>
  <c r="T36" i="1"/>
  <c r="W27" i="8"/>
  <c r="W28" i="8"/>
  <c r="T35" i="1"/>
  <c r="T136" i="1"/>
  <c r="T198" i="1"/>
  <c r="W31" i="8"/>
  <c r="W32" i="8"/>
  <c r="T44" i="1"/>
  <c r="T142" i="1"/>
  <c r="T204" i="1"/>
  <c r="W33" i="8"/>
  <c r="U10" i="8"/>
  <c r="V10" i="8"/>
  <c r="U11" i="8"/>
  <c r="V11" i="8"/>
  <c r="U14" i="8"/>
  <c r="V14" i="8"/>
  <c r="U15" i="8"/>
  <c r="V15" i="8"/>
  <c r="U16" i="8"/>
  <c r="R20" i="1"/>
  <c r="R125" i="1"/>
  <c r="R191" i="1" s="1"/>
  <c r="V16" i="8"/>
  <c r="S20" i="1"/>
  <c r="S125" i="1"/>
  <c r="S191" i="1" s="1"/>
  <c r="U17" i="8"/>
  <c r="V17" i="8"/>
  <c r="U19" i="8"/>
  <c r="R27" i="1"/>
  <c r="V19" i="8"/>
  <c r="S27" i="1"/>
  <c r="U20" i="8"/>
  <c r="V20" i="8"/>
  <c r="U21" i="8"/>
  <c r="R30" i="1"/>
  <c r="R130" i="1"/>
  <c r="R192" i="1"/>
  <c r="V21" i="8"/>
  <c r="S30" i="1"/>
  <c r="S130" i="1"/>
  <c r="S192" i="1"/>
  <c r="U22" i="8"/>
  <c r="V22" i="8"/>
  <c r="U25" i="8"/>
  <c r="V25" i="8"/>
  <c r="U26" i="8"/>
  <c r="R36" i="1"/>
  <c r="R141" i="1"/>
  <c r="R203" i="1"/>
  <c r="V26" i="8"/>
  <c r="S36" i="1"/>
  <c r="S141" i="1"/>
  <c r="S203" i="1"/>
  <c r="U27" i="8"/>
  <c r="V27" i="8"/>
  <c r="U28" i="8"/>
  <c r="R136" i="1"/>
  <c r="R198" i="1"/>
  <c r="V28" i="8"/>
  <c r="S35" i="1"/>
  <c r="S136" i="1"/>
  <c r="S198" i="1"/>
  <c r="U31" i="8"/>
  <c r="V31" i="8"/>
  <c r="U32" i="8"/>
  <c r="R44" i="1"/>
  <c r="R142" i="1"/>
  <c r="R204" i="1"/>
  <c r="V32" i="8"/>
  <c r="S44" i="1"/>
  <c r="S142" i="1"/>
  <c r="S204" i="1"/>
  <c r="U33" i="8"/>
  <c r="V33" i="8"/>
  <c r="M140" i="8"/>
  <c r="M121" i="8"/>
  <c r="D121" i="8"/>
  <c r="M67" i="8"/>
  <c r="D67" i="8"/>
  <c r="M64" i="8"/>
  <c r="D64" i="8"/>
  <c r="M60" i="8"/>
  <c r="D60" i="8"/>
  <c r="M57" i="8"/>
  <c r="D57" i="8"/>
  <c r="M52" i="8"/>
  <c r="D52" i="8"/>
  <c r="M48" i="8"/>
  <c r="D48" i="8"/>
  <c r="M41" i="8"/>
  <c r="D41" i="8"/>
  <c r="V427" i="2"/>
  <c r="U430" i="2"/>
  <c r="V430" i="2"/>
  <c r="U435" i="2"/>
  <c r="W435" i="2"/>
  <c r="U522" i="2"/>
  <c r="V522" i="2"/>
  <c r="W522" i="2"/>
  <c r="U523" i="2"/>
  <c r="U15" i="2"/>
  <c r="V523" i="2"/>
  <c r="V15" i="2"/>
  <c r="W523" i="2"/>
  <c r="W15" i="2"/>
  <c r="U524" i="2"/>
  <c r="U17" i="2"/>
  <c r="V524" i="2"/>
  <c r="V17" i="2"/>
  <c r="W524" i="2"/>
  <c r="W17" i="2"/>
  <c r="U526" i="2"/>
  <c r="V526" i="2"/>
  <c r="W526" i="2"/>
  <c r="U527" i="2"/>
  <c r="U22" i="2"/>
  <c r="R28" i="1"/>
  <c r="R131" i="1"/>
  <c r="R193" i="1"/>
  <c r="V527" i="2"/>
  <c r="V22" i="2"/>
  <c r="S28" i="1"/>
  <c r="S131" i="1"/>
  <c r="S193" i="1"/>
  <c r="W527" i="2"/>
  <c r="W22" i="2"/>
  <c r="T28" i="1"/>
  <c r="U530" i="2"/>
  <c r="U25" i="2"/>
  <c r="V530" i="2"/>
  <c r="V25" i="2"/>
  <c r="W530" i="2"/>
  <c r="W25" i="2"/>
  <c r="U531" i="2"/>
  <c r="U27" i="2"/>
  <c r="R38" i="1"/>
  <c r="R139" i="1" s="1"/>
  <c r="R201" i="1" s="1"/>
  <c r="V531" i="2"/>
  <c r="V27" i="2"/>
  <c r="W531" i="2"/>
  <c r="W27" i="2"/>
  <c r="U533" i="2"/>
  <c r="V533" i="2"/>
  <c r="W533" i="2"/>
  <c r="U534" i="2"/>
  <c r="U34" i="2"/>
  <c r="R43" i="1"/>
  <c r="R146" i="1"/>
  <c r="R208" i="1"/>
  <c r="V534" i="2"/>
  <c r="W534" i="2"/>
  <c r="W34" i="2"/>
  <c r="T43" i="1"/>
  <c r="T146" i="1"/>
  <c r="T208" i="1"/>
  <c r="U565" i="2"/>
  <c r="U564" i="2"/>
  <c r="V565" i="2"/>
  <c r="V564" i="2"/>
  <c r="W565" i="2"/>
  <c r="W564" i="2"/>
  <c r="U567" i="2"/>
  <c r="U566" i="2"/>
  <c r="V567" i="2"/>
  <c r="V566" i="2"/>
  <c r="W567" i="2"/>
  <c r="W566" i="2"/>
  <c r="U570" i="2"/>
  <c r="U569" i="2"/>
  <c r="U568" i="2"/>
  <c r="S41" i="10"/>
  <c r="V570" i="2"/>
  <c r="V569" i="2"/>
  <c r="V568" i="2"/>
  <c r="T41" i="10"/>
  <c r="W570" i="2"/>
  <c r="W569" i="2"/>
  <c r="W568" i="2"/>
  <c r="U41" i="10"/>
  <c r="W40" i="2"/>
  <c r="W18" i="2"/>
  <c r="T24" i="1"/>
  <c r="W42" i="2"/>
  <c r="W47" i="2"/>
  <c r="W28" i="2"/>
  <c r="T39" i="1"/>
  <c r="T143" i="1"/>
  <c r="T205" i="1"/>
  <c r="W48" i="2"/>
  <c r="W51" i="2"/>
  <c r="W31" i="2"/>
  <c r="U40" i="2"/>
  <c r="U18" i="2"/>
  <c r="R24" i="1"/>
  <c r="R129" i="1"/>
  <c r="R190" i="1"/>
  <c r="V40" i="2"/>
  <c r="V18" i="2"/>
  <c r="S24" i="1"/>
  <c r="S129" i="1"/>
  <c r="S190" i="1"/>
  <c r="U42" i="2"/>
  <c r="V42" i="2"/>
  <c r="U26" i="2"/>
  <c r="V26" i="2"/>
  <c r="U47" i="2"/>
  <c r="V47" i="2"/>
  <c r="V28" i="2"/>
  <c r="S39" i="1"/>
  <c r="S143" i="1"/>
  <c r="S205" i="1"/>
  <c r="U48" i="2"/>
  <c r="U29" i="2"/>
  <c r="R40" i="1"/>
  <c r="R144" i="1"/>
  <c r="R206" i="1"/>
  <c r="V48" i="2"/>
  <c r="V29" i="2"/>
  <c r="S40" i="1"/>
  <c r="S144" i="1"/>
  <c r="S206" i="1"/>
  <c r="U51" i="2"/>
  <c r="U31" i="2"/>
  <c r="V51" i="2"/>
  <c r="V31" i="2"/>
  <c r="U33" i="2"/>
  <c r="V33" i="2"/>
  <c r="U28" i="2"/>
  <c r="R39" i="1"/>
  <c r="R143" i="1"/>
  <c r="R205" i="1"/>
  <c r="W29" i="2"/>
  <c r="T40" i="1"/>
  <c r="T144" i="1"/>
  <c r="T206" i="1"/>
  <c r="V34" i="2"/>
  <c r="S43" i="1"/>
  <c r="S146" i="1"/>
  <c r="S208" i="1"/>
  <c r="D643" i="2"/>
  <c r="M640" i="2"/>
  <c r="D640" i="2"/>
  <c r="D576" i="2"/>
  <c r="D567" i="2"/>
  <c r="M546" i="2"/>
  <c r="M539" i="2"/>
  <c r="N121" i="2"/>
  <c r="E116" i="2"/>
  <c r="M234" i="2"/>
  <c r="D234" i="2"/>
  <c r="D235" i="2"/>
  <c r="T38" i="1"/>
  <c r="W13" i="4"/>
  <c r="M587" i="2"/>
  <c r="M253" i="2"/>
  <c r="U16" i="2"/>
  <c r="R21" i="1"/>
  <c r="W26" i="2"/>
  <c r="T37" i="1"/>
  <c r="W432" i="2"/>
  <c r="U432" i="2"/>
  <c r="V16" i="2"/>
  <c r="S21" i="1"/>
  <c r="W16" i="2"/>
  <c r="T21" i="1"/>
  <c r="S38" i="1"/>
  <c r="S22" i="1"/>
  <c r="S127" i="1" s="1"/>
  <c r="S188" i="1" s="1"/>
  <c r="T22" i="1"/>
  <c r="R22" i="1"/>
  <c r="R127" i="1" s="1"/>
  <c r="R188" i="1" s="1"/>
  <c r="T129" i="1"/>
  <c r="T190" i="1"/>
  <c r="T131" i="1"/>
  <c r="T193" i="1"/>
  <c r="T130" i="1"/>
  <c r="T192" i="1"/>
  <c r="T125" i="1"/>
  <c r="T191" i="1"/>
  <c r="W33" i="2"/>
  <c r="V21" i="2"/>
  <c r="V14" i="2"/>
  <c r="W14" i="2"/>
  <c r="W13" i="2" s="1"/>
  <c r="W12" i="2" s="1"/>
  <c r="W21" i="2"/>
  <c r="U21" i="2"/>
  <c r="W50" i="2"/>
  <c r="S37" i="1"/>
  <c r="V45" i="2"/>
  <c r="V37" i="2"/>
  <c r="V36" i="2"/>
  <c r="W45" i="2"/>
  <c r="W37" i="2"/>
  <c r="W36" i="2"/>
  <c r="R37" i="1"/>
  <c r="U45" i="2"/>
  <c r="U37" i="2"/>
  <c r="U36" i="2"/>
  <c r="W218" i="3"/>
  <c r="U218" i="3"/>
  <c r="V13" i="4"/>
  <c r="V23" i="4"/>
  <c r="V13" i="5"/>
  <c r="V9" i="2"/>
  <c r="V563" i="2"/>
  <c r="T40" i="10"/>
  <c r="V532" i="2"/>
  <c r="V529" i="2"/>
  <c r="V525" i="2"/>
  <c r="W521" i="2"/>
  <c r="U521" i="2"/>
  <c r="V426" i="2"/>
  <c r="W9" i="2"/>
  <c r="U9" i="2"/>
  <c r="W532" i="2"/>
  <c r="U532" i="2"/>
  <c r="W529" i="2"/>
  <c r="W528" i="2"/>
  <c r="U529" i="2"/>
  <c r="U528" i="2"/>
  <c r="W525" i="2"/>
  <c r="U525" i="2"/>
  <c r="V521" i="2"/>
  <c r="W9" i="8"/>
  <c r="T141" i="1"/>
  <c r="T203" i="1"/>
  <c r="W212" i="3"/>
  <c r="V212" i="3"/>
  <c r="U212" i="3"/>
  <c r="U18" i="3"/>
  <c r="U30" i="8"/>
  <c r="U24" i="8"/>
  <c r="U18" i="8"/>
  <c r="U13" i="8"/>
  <c r="U9" i="8"/>
  <c r="W18" i="8"/>
  <c r="V30" i="8"/>
  <c r="V24" i="8"/>
  <c r="V18" i="8"/>
  <c r="V13" i="8"/>
  <c r="V9" i="8"/>
  <c r="W30" i="8"/>
  <c r="W24" i="8"/>
  <c r="W13" i="8"/>
  <c r="W12" i="8"/>
  <c r="W563" i="2"/>
  <c r="U40" i="10"/>
  <c r="U563" i="2"/>
  <c r="S40" i="10"/>
  <c r="U50" i="2"/>
  <c r="V50" i="2"/>
  <c r="V44" i="2"/>
  <c r="T127" i="1"/>
  <c r="T188" i="1" s="1"/>
  <c r="R128" i="1"/>
  <c r="R189" i="1" s="1"/>
  <c r="W24" i="2"/>
  <c r="V30" i="2"/>
  <c r="S145" i="1"/>
  <c r="S207" i="1"/>
  <c r="W44" i="2"/>
  <c r="T145" i="1"/>
  <c r="T207" i="1" s="1"/>
  <c r="V23" i="8"/>
  <c r="V12" i="8"/>
  <c r="U12" i="8"/>
  <c r="U23" i="8"/>
  <c r="V19" i="2"/>
  <c r="U24" i="2"/>
  <c r="V520" i="2"/>
  <c r="U19" i="2"/>
  <c r="U520" i="2"/>
  <c r="W19" i="2"/>
  <c r="W520" i="2"/>
  <c r="S128" i="1"/>
  <c r="S189" i="1"/>
  <c r="V528" i="2"/>
  <c r="V24" i="2"/>
  <c r="V23" i="2"/>
  <c r="U44" i="2"/>
  <c r="W9" i="3"/>
  <c r="W8" i="3" s="1"/>
  <c r="W23" i="8"/>
  <c r="T128" i="1"/>
  <c r="T189" i="1" s="1"/>
  <c r="R219" i="3"/>
  <c r="S219" i="3"/>
  <c r="T219" i="3"/>
  <c r="R221" i="3"/>
  <c r="S221" i="3"/>
  <c r="T221" i="3"/>
  <c r="R216" i="3"/>
  <c r="S216" i="3"/>
  <c r="T216" i="3"/>
  <c r="R213" i="3"/>
  <c r="S213" i="3"/>
  <c r="T213" i="3"/>
  <c r="S212" i="3"/>
  <c r="T218" i="3"/>
  <c r="R218" i="3"/>
  <c r="S218" i="3"/>
  <c r="T212" i="3"/>
  <c r="R212" i="3"/>
  <c r="X85" i="6"/>
  <c r="E102" i="6"/>
  <c r="F102" i="6"/>
  <c r="F101" i="6" s="1"/>
  <c r="G102" i="6"/>
  <c r="H102" i="6"/>
  <c r="H101" i="6" s="1"/>
  <c r="I102" i="6"/>
  <c r="J102" i="6"/>
  <c r="J101" i="6" s="1"/>
  <c r="K102" i="6"/>
  <c r="L102" i="6"/>
  <c r="L101" i="6" s="1"/>
  <c r="N102" i="6"/>
  <c r="E121" i="6"/>
  <c r="E20" i="6" s="1"/>
  <c r="F121" i="6"/>
  <c r="G121" i="6"/>
  <c r="G120" i="6" s="1"/>
  <c r="H121" i="6"/>
  <c r="H120" i="6" s="1"/>
  <c r="I121" i="6"/>
  <c r="I120" i="6" s="1"/>
  <c r="J121" i="6"/>
  <c r="K121" i="6"/>
  <c r="K120" i="6" s="1"/>
  <c r="L121" i="6"/>
  <c r="L120" i="6" s="1"/>
  <c r="N121" i="6"/>
  <c r="O121" i="6"/>
  <c r="D128" i="6"/>
  <c r="D126" i="6"/>
  <c r="D125" i="6"/>
  <c r="M126" i="6"/>
  <c r="J120" i="6"/>
  <c r="F120" i="6"/>
  <c r="X117" i="6"/>
  <c r="X116" i="6" s="1"/>
  <c r="T117" i="6"/>
  <c r="T116" i="6" s="1"/>
  <c r="S117" i="6"/>
  <c r="S116" i="6" s="1"/>
  <c r="R117" i="6"/>
  <c r="R116" i="6" s="1"/>
  <c r="Q117" i="6"/>
  <c r="Q116" i="6" s="1"/>
  <c r="P117" i="6"/>
  <c r="P116" i="6" s="1"/>
  <c r="O117" i="6"/>
  <c r="O116" i="6" s="1"/>
  <c r="N117" i="6"/>
  <c r="N116" i="6" s="1"/>
  <c r="L117" i="6"/>
  <c r="L116" i="6" s="1"/>
  <c r="K117" i="6"/>
  <c r="K116" i="6" s="1"/>
  <c r="J117" i="6"/>
  <c r="J116" i="6" s="1"/>
  <c r="J115" i="6" s="1"/>
  <c r="J12" i="6" s="1"/>
  <c r="I117" i="6"/>
  <c r="I116" i="6" s="1"/>
  <c r="H117" i="6"/>
  <c r="H116" i="6" s="1"/>
  <c r="G117" i="6"/>
  <c r="G116" i="6" s="1"/>
  <c r="F117" i="6"/>
  <c r="F116" i="6" s="1"/>
  <c r="E117" i="6"/>
  <c r="E18" i="6" s="1"/>
  <c r="E92" i="6"/>
  <c r="E15" i="6" s="1"/>
  <c r="F92" i="6"/>
  <c r="F15" i="6" s="1"/>
  <c r="G92" i="6"/>
  <c r="G15" i="6" s="1"/>
  <c r="H92" i="6"/>
  <c r="H15" i="6" s="1"/>
  <c r="I92" i="6"/>
  <c r="I15" i="6" s="1"/>
  <c r="J92" i="6"/>
  <c r="K92" i="6"/>
  <c r="K15" i="6" s="1"/>
  <c r="L92" i="6"/>
  <c r="L15" i="6" s="1"/>
  <c r="I18" i="1" s="1"/>
  <c r="N92" i="6"/>
  <c r="X98" i="6"/>
  <c r="E98" i="6"/>
  <c r="F98" i="6"/>
  <c r="G98" i="6"/>
  <c r="H98" i="6"/>
  <c r="I98" i="6"/>
  <c r="J98" i="6"/>
  <c r="K98" i="6"/>
  <c r="L98" i="6"/>
  <c r="N98" i="6"/>
  <c r="O98" i="6"/>
  <c r="O18" i="6" s="1"/>
  <c r="L25" i="1" s="1"/>
  <c r="P98" i="6"/>
  <c r="Q98" i="6"/>
  <c r="Q18" i="6"/>
  <c r="N25" i="1" s="1"/>
  <c r="R98" i="6"/>
  <c r="S98" i="6"/>
  <c r="S18" i="6" s="1"/>
  <c r="T98" i="6"/>
  <c r="M121" i="6"/>
  <c r="M276" i="6" s="1"/>
  <c r="M98" i="6"/>
  <c r="T102" i="6"/>
  <c r="T20" i="6" s="1"/>
  <c r="R102" i="6"/>
  <c r="R20" i="6" s="1"/>
  <c r="S102" i="6"/>
  <c r="S20" i="6" s="1"/>
  <c r="S276" i="6"/>
  <c r="Q276" i="6"/>
  <c r="O276" i="6"/>
  <c r="F20" i="6"/>
  <c r="F19" i="6" s="1"/>
  <c r="G20" i="6"/>
  <c r="G19" i="6" s="1"/>
  <c r="Q120" i="6"/>
  <c r="S120" i="6"/>
  <c r="X18" i="6"/>
  <c r="D96" i="6"/>
  <c r="O102" i="6"/>
  <c r="O20" i="6" s="1"/>
  <c r="D106" i="6"/>
  <c r="D104" i="6"/>
  <c r="O120" i="6"/>
  <c r="T120" i="6"/>
  <c r="T276" i="6"/>
  <c r="R120" i="6"/>
  <c r="R276" i="6"/>
  <c r="P120" i="6"/>
  <c r="P276" i="6"/>
  <c r="N120" i="6"/>
  <c r="N276" i="6"/>
  <c r="E116" i="6"/>
  <c r="E91" i="6"/>
  <c r="N18" i="6"/>
  <c r="K25" i="1" s="1"/>
  <c r="L18" i="6"/>
  <c r="J18" i="6"/>
  <c r="H18" i="6"/>
  <c r="F18" i="6"/>
  <c r="K91" i="6"/>
  <c r="K18" i="6"/>
  <c r="I91" i="6"/>
  <c r="I18" i="6"/>
  <c r="G91" i="6"/>
  <c r="G18" i="6"/>
  <c r="P102" i="6"/>
  <c r="P20" i="6" s="1"/>
  <c r="Q102" i="6"/>
  <c r="Q20" i="6" s="1"/>
  <c r="T92" i="6"/>
  <c r="T15" i="6" s="1"/>
  <c r="R92" i="6"/>
  <c r="R15" i="6" s="1"/>
  <c r="P92" i="6"/>
  <c r="P15" i="6" s="1"/>
  <c r="N91" i="6"/>
  <c r="L91" i="6"/>
  <c r="J91" i="6"/>
  <c r="H91" i="6"/>
  <c r="F91" i="6"/>
  <c r="S92" i="6"/>
  <c r="S15" i="6" s="1"/>
  <c r="Q92" i="6"/>
  <c r="Q15" i="6" s="1"/>
  <c r="O92" i="6"/>
  <c r="M92" i="6"/>
  <c r="R275" i="6"/>
  <c r="S275" i="6"/>
  <c r="M120" i="6"/>
  <c r="X91" i="6"/>
  <c r="R91" i="6"/>
  <c r="T91" i="6"/>
  <c r="O131" i="6"/>
  <c r="O130" i="6"/>
  <c r="T131" i="6"/>
  <c r="T130" i="6"/>
  <c r="S131" i="6"/>
  <c r="R131" i="6"/>
  <c r="R130" i="6" s="1"/>
  <c r="Q131" i="6"/>
  <c r="Q130" i="6" s="1"/>
  <c r="P131" i="6"/>
  <c r="P130" i="6" s="1"/>
  <c r="N131" i="6"/>
  <c r="N130" i="6" s="1"/>
  <c r="L131" i="6"/>
  <c r="L130" i="6" s="1"/>
  <c r="J131" i="6"/>
  <c r="J130" i="6" s="1"/>
  <c r="I131" i="6"/>
  <c r="I130" i="6" s="1"/>
  <c r="H131" i="6"/>
  <c r="H130" i="6" s="1"/>
  <c r="G131" i="6"/>
  <c r="G130" i="6" s="1"/>
  <c r="F131" i="6"/>
  <c r="F130" i="6" s="1"/>
  <c r="E131" i="6"/>
  <c r="E130" i="6" s="1"/>
  <c r="S130" i="6"/>
  <c r="H113" i="6"/>
  <c r="H26" i="6"/>
  <c r="H25" i="6" s="1"/>
  <c r="T112" i="6"/>
  <c r="T111" i="6" s="1"/>
  <c r="S112" i="6"/>
  <c r="S111" i="6" s="1"/>
  <c r="R112" i="6"/>
  <c r="R111" i="6"/>
  <c r="Q112" i="6"/>
  <c r="Q111" i="6"/>
  <c r="P112" i="6"/>
  <c r="P111" i="6"/>
  <c r="O112" i="6"/>
  <c r="O111" i="6"/>
  <c r="O278" i="6" s="1"/>
  <c r="O289" i="6" s="1"/>
  <c r="N112" i="6"/>
  <c r="N111" i="6" s="1"/>
  <c r="L112" i="6"/>
  <c r="L111" i="6" s="1"/>
  <c r="K112" i="6"/>
  <c r="K111" i="6" s="1"/>
  <c r="J112" i="6"/>
  <c r="J111" i="6"/>
  <c r="I112" i="6"/>
  <c r="I111" i="6"/>
  <c r="H112" i="6"/>
  <c r="H111" i="6"/>
  <c r="G112" i="6"/>
  <c r="G111" i="6"/>
  <c r="F112" i="6"/>
  <c r="F111" i="6"/>
  <c r="E112" i="6"/>
  <c r="E111" i="6"/>
  <c r="M107" i="6"/>
  <c r="K101" i="6"/>
  <c r="K90" i="6" s="1"/>
  <c r="K11" i="6" s="1"/>
  <c r="I101" i="6"/>
  <c r="G101" i="6"/>
  <c r="G90" i="6" s="1"/>
  <c r="G11" i="6" s="1"/>
  <c r="E101" i="6"/>
  <c r="T101" i="6"/>
  <c r="T90" i="6" s="1"/>
  <c r="S101" i="6"/>
  <c r="R101" i="6"/>
  <c r="Q101" i="6"/>
  <c r="N101" i="6"/>
  <c r="N90" i="6" s="1"/>
  <c r="M112" i="6"/>
  <c r="M111" i="6" s="1"/>
  <c r="M131" i="6"/>
  <c r="M130" i="6" s="1"/>
  <c r="K131" i="6"/>
  <c r="K130" i="6" s="1"/>
  <c r="T12" i="4"/>
  <c r="F12" i="4"/>
  <c r="G12" i="4"/>
  <c r="H12" i="4"/>
  <c r="I12" i="4"/>
  <c r="L12" i="4"/>
  <c r="R12" i="4"/>
  <c r="S12" i="4"/>
  <c r="X46" i="13"/>
  <c r="X45" i="13"/>
  <c r="X48" i="13"/>
  <c r="X47" i="13"/>
  <c r="X38" i="13"/>
  <c r="X36" i="13"/>
  <c r="X29" i="13"/>
  <c r="X27" i="13"/>
  <c r="X96" i="8"/>
  <c r="X121" i="8"/>
  <c r="X124" i="8"/>
  <c r="X123" i="8"/>
  <c r="X122" i="8"/>
  <c r="X180" i="8"/>
  <c r="X199" i="8"/>
  <c r="X188" i="8"/>
  <c r="X133" i="8"/>
  <c r="X132" i="8"/>
  <c r="X131" i="8"/>
  <c r="X110" i="8"/>
  <c r="X108" i="8"/>
  <c r="X109" i="8"/>
  <c r="X19" i="8"/>
  <c r="X107" i="8"/>
  <c r="X106" i="8"/>
  <c r="X95" i="8"/>
  <c r="X93" i="8"/>
  <c r="X92" i="8"/>
  <c r="X43" i="8"/>
  <c r="X42" i="8"/>
  <c r="X41" i="8"/>
  <c r="X39" i="8"/>
  <c r="X38" i="8"/>
  <c r="X37" i="8"/>
  <c r="X36" i="7"/>
  <c r="X48" i="7"/>
  <c r="X60" i="7"/>
  <c r="X72" i="7"/>
  <c r="X84" i="7"/>
  <c r="X83" i="7"/>
  <c r="X81" i="7"/>
  <c r="X80" i="7"/>
  <c r="X71" i="7"/>
  <c r="X69" i="7"/>
  <c r="X68" i="7"/>
  <c r="X58" i="7"/>
  <c r="X57" i="7"/>
  <c r="X56" i="7"/>
  <c r="X46" i="7"/>
  <c r="X45" i="7"/>
  <c r="X44" i="7"/>
  <c r="X33" i="7"/>
  <c r="X32" i="7"/>
  <c r="X15" i="7"/>
  <c r="X84" i="6"/>
  <c r="X83" i="6"/>
  <c r="X73" i="6"/>
  <c r="X71" i="6"/>
  <c r="X62" i="6"/>
  <c r="X60" i="6"/>
  <c r="X49" i="6"/>
  <c r="X41" i="6"/>
  <c r="X39" i="6"/>
  <c r="X38" i="6"/>
  <c r="X37" i="6"/>
  <c r="X123" i="4"/>
  <c r="X122" i="4" s="1"/>
  <c r="X109" i="4"/>
  <c r="X98" i="4"/>
  <c r="X95" i="4"/>
  <c r="X94" i="4" s="1"/>
  <c r="X90" i="4"/>
  <c r="X89" i="4" s="1"/>
  <c r="X85" i="4"/>
  <c r="X84" i="4" s="1"/>
  <c r="X80" i="4"/>
  <c r="X79" i="4" s="1"/>
  <c r="X46" i="4"/>
  <c r="X20" i="4"/>
  <c r="X543" i="2"/>
  <c r="X694" i="2"/>
  <c r="X693" i="2"/>
  <c r="X587" i="2"/>
  <c r="X653" i="2"/>
  <c r="X652" i="2"/>
  <c r="X646" i="2"/>
  <c r="X645" i="2"/>
  <c r="X640" i="2"/>
  <c r="X639" i="2"/>
  <c r="X638" i="2"/>
  <c r="X637" i="2"/>
  <c r="X634" i="2"/>
  <c r="X633" i="2"/>
  <c r="X628" i="2"/>
  <c r="X627" i="2"/>
  <c r="X618" i="2"/>
  <c r="X617" i="2"/>
  <c r="X606" i="2"/>
  <c r="X605" i="2"/>
  <c r="X576" i="2"/>
  <c r="X575" i="2"/>
  <c r="X574" i="2"/>
  <c r="X573" i="2"/>
  <c r="X558" i="2"/>
  <c r="X557" i="2"/>
  <c r="X556" i="2"/>
  <c r="X555" i="2"/>
  <c r="X542" i="2"/>
  <c r="X538" i="2"/>
  <c r="X540" i="2"/>
  <c r="X539" i="2"/>
  <c r="X451" i="2"/>
  <c r="X449" i="2"/>
  <c r="X442" i="2"/>
  <c r="X441" i="2"/>
  <c r="X440" i="2"/>
  <c r="X439" i="2"/>
  <c r="X380" i="2"/>
  <c r="X377" i="2"/>
  <c r="X272" i="2"/>
  <c r="X269" i="2"/>
  <c r="X257" i="2"/>
  <c r="X253" i="2"/>
  <c r="X244" i="2"/>
  <c r="X230" i="2"/>
  <c r="X226" i="2"/>
  <c r="X219" i="2"/>
  <c r="X218" i="2"/>
  <c r="X203" i="2"/>
  <c r="X202" i="2"/>
  <c r="X201" i="2"/>
  <c r="X200" i="2"/>
  <c r="X193" i="2"/>
  <c r="X191" i="2"/>
  <c r="X182" i="2"/>
  <c r="X172" i="2"/>
  <c r="X170" i="2"/>
  <c r="X161" i="2"/>
  <c r="X159" i="2"/>
  <c r="X150" i="2"/>
  <c r="X129" i="2"/>
  <c r="X128" i="2"/>
  <c r="X127" i="2"/>
  <c r="X126" i="2"/>
  <c r="X117" i="2"/>
  <c r="X103" i="2"/>
  <c r="X60" i="2"/>
  <c r="X58" i="2"/>
  <c r="X57" i="2"/>
  <c r="X56" i="2"/>
  <c r="V136" i="1"/>
  <c r="V137" i="1"/>
  <c r="V138" i="1"/>
  <c r="V139" i="1"/>
  <c r="V140" i="1"/>
  <c r="V141" i="1"/>
  <c r="V142" i="1"/>
  <c r="V143" i="1"/>
  <c r="V144" i="1"/>
  <c r="V145" i="1"/>
  <c r="V146" i="1"/>
  <c r="V147" i="1"/>
  <c r="X120" i="8"/>
  <c r="X119" i="8"/>
  <c r="X197" i="8"/>
  <c r="X196" i="8"/>
  <c r="X94" i="8"/>
  <c r="X91" i="8"/>
  <c r="X241" i="2"/>
  <c r="X240" i="2"/>
  <c r="X51" i="6"/>
  <c r="X48" i="6"/>
  <c r="X252" i="2"/>
  <c r="X105" i="4"/>
  <c r="X104" i="4" s="1"/>
  <c r="X55" i="2"/>
  <c r="X376" i="2"/>
  <c r="X83" i="2"/>
  <c r="X40" i="8"/>
  <c r="X105" i="8"/>
  <c r="X104" i="8"/>
  <c r="V148" i="1"/>
  <c r="V164" i="1"/>
  <c r="X42" i="4"/>
  <c r="X41" i="4" s="1"/>
  <c r="X55" i="4"/>
  <c r="X54" i="4" s="1"/>
  <c r="X35" i="13"/>
  <c r="X26" i="13"/>
  <c r="X44" i="13"/>
  <c r="X183" i="8"/>
  <c r="X182" i="8"/>
  <c r="X36" i="8"/>
  <c r="X114" i="2"/>
  <c r="X113" i="2"/>
  <c r="X179" i="2"/>
  <c r="X178" i="2"/>
  <c r="X225" i="2"/>
  <c r="X438" i="2"/>
  <c r="X448" i="2"/>
  <c r="X537" i="2"/>
  <c r="X572" i="2"/>
  <c r="X541" i="2"/>
  <c r="X31" i="6"/>
  <c r="X28" i="6"/>
  <c r="X82" i="6"/>
  <c r="X81" i="6" s="1"/>
  <c r="X254" i="6"/>
  <c r="X253" i="6"/>
  <c r="X70" i="6"/>
  <c r="X626" i="2"/>
  <c r="X625" i="2"/>
  <c r="X59" i="6"/>
  <c r="X68" i="4"/>
  <c r="X67" i="4"/>
  <c r="X158" i="2"/>
  <c r="X169" i="2"/>
  <c r="X554" i="2"/>
  <c r="X125" i="2"/>
  <c r="X190" i="2"/>
  <c r="X100" i="2"/>
  <c r="X99" i="2"/>
  <c r="X268" i="2"/>
  <c r="X199" i="2"/>
  <c r="X54" i="2"/>
  <c r="V152" i="1"/>
  <c r="X35" i="8"/>
  <c r="V165" i="1"/>
  <c r="X536" i="2"/>
  <c r="X74" i="9"/>
  <c r="X67" i="9"/>
  <c r="X60" i="9"/>
  <c r="X42" i="9"/>
  <c r="X41" i="9"/>
  <c r="X226" i="9"/>
  <c r="X225" i="9"/>
  <c r="X224" i="9"/>
  <c r="X127" i="9"/>
  <c r="X124" i="9"/>
  <c r="X100" i="9"/>
  <c r="X98" i="9"/>
  <c r="X91" i="9"/>
  <c r="X82" i="9"/>
  <c r="X79" i="9"/>
  <c r="X73" i="9"/>
  <c r="X72" i="9" s="1"/>
  <c r="X66" i="9"/>
  <c r="X65" i="9" s="1"/>
  <c r="X51" i="9"/>
  <c r="X50" i="9"/>
  <c r="X49" i="9"/>
  <c r="X44" i="9"/>
  <c r="X43" i="9"/>
  <c r="X35" i="9"/>
  <c r="X34" i="9"/>
  <c r="X33" i="9"/>
  <c r="X32" i="9"/>
  <c r="X26" i="9"/>
  <c r="X25" i="9"/>
  <c r="X24" i="9"/>
  <c r="X23" i="9"/>
  <c r="X113" i="5"/>
  <c r="X112" i="5"/>
  <c r="X111" i="5"/>
  <c r="X52" i="5"/>
  <c r="X51" i="5"/>
  <c r="X46" i="5"/>
  <c r="X45" i="5"/>
  <c r="X44" i="5"/>
  <c r="X36" i="5"/>
  <c r="X102" i="5"/>
  <c r="X101" i="5"/>
  <c r="X99" i="5"/>
  <c r="X98" i="5"/>
  <c r="X92" i="5"/>
  <c r="X91" i="5"/>
  <c r="X90" i="5"/>
  <c r="X74" i="5"/>
  <c r="X34" i="5"/>
  <c r="X97" i="9"/>
  <c r="X22" i="9"/>
  <c r="X31" i="9"/>
  <c r="X40" i="9"/>
  <c r="X210" i="9"/>
  <c r="X33" i="5"/>
  <c r="D102" i="3"/>
  <c r="X205" i="3"/>
  <c r="X204" i="3"/>
  <c r="X193" i="3"/>
  <c r="X181" i="3"/>
  <c r="X179" i="3"/>
  <c r="X156" i="3"/>
  <c r="X133" i="3"/>
  <c r="X130" i="3"/>
  <c r="X109" i="3"/>
  <c r="X106" i="3"/>
  <c r="X97" i="3"/>
  <c r="X95" i="3"/>
  <c r="X94" i="3"/>
  <c r="X85" i="3"/>
  <c r="X83" i="3"/>
  <c r="X82" i="3"/>
  <c r="X44" i="3"/>
  <c r="X39" i="3" s="1"/>
  <c r="X38" i="3"/>
  <c r="X27" i="3"/>
  <c r="X26" i="3"/>
  <c r="X25" i="3"/>
  <c r="X215" i="3"/>
  <c r="X203" i="3"/>
  <c r="X202" i="3"/>
  <c r="X192" i="3"/>
  <c r="X191" i="3"/>
  <c r="X180" i="3"/>
  <c r="X155" i="3"/>
  <c r="X145" i="3"/>
  <c r="X144" i="3"/>
  <c r="X143" i="3"/>
  <c r="X142" i="3"/>
  <c r="X132" i="3"/>
  <c r="X131" i="3"/>
  <c r="X129" i="3"/>
  <c r="X121" i="3"/>
  <c r="X120" i="3"/>
  <c r="X119" i="3"/>
  <c r="X117" i="3"/>
  <c r="X108" i="3"/>
  <c r="X107" i="3"/>
  <c r="X96" i="3"/>
  <c r="X84" i="3"/>
  <c r="X81" i="3"/>
  <c r="X80" i="3"/>
  <c r="X93" i="3"/>
  <c r="X153" i="3"/>
  <c r="X152" i="3"/>
  <c r="X141" i="3"/>
  <c r="X140" i="3"/>
  <c r="X201" i="3"/>
  <c r="X200" i="3"/>
  <c r="X116" i="3"/>
  <c r="X105" i="3"/>
  <c r="X104" i="3"/>
  <c r="X213" i="3"/>
  <c r="X128" i="3"/>
  <c r="X92" i="3"/>
  <c r="O635" i="2"/>
  <c r="P18" i="4"/>
  <c r="M70" i="1" s="1"/>
  <c r="Q18" i="4"/>
  <c r="N70" i="1" s="1"/>
  <c r="P25" i="4"/>
  <c r="O105" i="4"/>
  <c r="O112" i="4"/>
  <c r="D112" i="4"/>
  <c r="O586" i="2"/>
  <c r="O180" i="2"/>
  <c r="O171" i="2"/>
  <c r="P218" i="9"/>
  <c r="X211" i="9"/>
  <c r="X208" i="9"/>
  <c r="X207" i="9"/>
  <c r="X217" i="9"/>
  <c r="X216" i="9"/>
  <c r="O25" i="7"/>
  <c r="X24" i="7"/>
  <c r="X23" i="7"/>
  <c r="X8" i="7"/>
  <c r="L227" i="2"/>
  <c r="M227" i="2"/>
  <c r="D227" i="2"/>
  <c r="D38" i="2"/>
  <c r="M38" i="2"/>
  <c r="O163" i="8"/>
  <c r="O160" i="8"/>
  <c r="O157" i="8"/>
  <c r="O155" i="8"/>
  <c r="X83" i="8"/>
  <c r="R88" i="8"/>
  <c r="O89" i="8"/>
  <c r="R86" i="8"/>
  <c r="R85" i="8"/>
  <c r="X81" i="8"/>
  <c r="X80" i="8"/>
  <c r="O85" i="4"/>
  <c r="P16" i="4"/>
  <c r="Q16" i="4"/>
  <c r="Q120" i="4"/>
  <c r="Q11" i="4"/>
  <c r="P65" i="1"/>
  <c r="P143" i="4"/>
  <c r="P15" i="4"/>
  <c r="P11" i="4"/>
  <c r="L543" i="2"/>
  <c r="M543" i="2"/>
  <c r="D543" i="2"/>
  <c r="D527" i="2"/>
  <c r="L552" i="2"/>
  <c r="T130" i="9"/>
  <c r="S130" i="9"/>
  <c r="R130" i="9"/>
  <c r="Q130" i="9"/>
  <c r="P130" i="9"/>
  <c r="O130" i="9"/>
  <c r="N130" i="9"/>
  <c r="M130" i="9"/>
  <c r="L130" i="9"/>
  <c r="L129" i="9" s="1"/>
  <c r="K130" i="9"/>
  <c r="J130" i="9"/>
  <c r="I130" i="9"/>
  <c r="I129" i="9" s="1"/>
  <c r="H130" i="9"/>
  <c r="H129" i="9" s="1"/>
  <c r="G130" i="9"/>
  <c r="F130" i="9"/>
  <c r="F129" i="9" s="1"/>
  <c r="E130" i="9"/>
  <c r="E129" i="9" s="1"/>
  <c r="T129" i="9"/>
  <c r="Q129" i="9"/>
  <c r="K129" i="9"/>
  <c r="G129" i="9"/>
  <c r="P129" i="9"/>
  <c r="R129" i="9"/>
  <c r="T94" i="9"/>
  <c r="T93" i="9" s="1"/>
  <c r="S94" i="9"/>
  <c r="S93" i="9" s="1"/>
  <c r="R94" i="9"/>
  <c r="R93" i="9" s="1"/>
  <c r="Q94" i="9"/>
  <c r="P94" i="9"/>
  <c r="P93" i="9" s="1"/>
  <c r="O94" i="9"/>
  <c r="O93" i="9" s="1"/>
  <c r="N94" i="9"/>
  <c r="N93" i="9" s="1"/>
  <c r="M94" i="9"/>
  <c r="M93" i="9" s="1"/>
  <c r="L94" i="9"/>
  <c r="L93" i="9" s="1"/>
  <c r="K94" i="9"/>
  <c r="J94" i="9"/>
  <c r="J93" i="9" s="1"/>
  <c r="I94" i="9"/>
  <c r="H94" i="9"/>
  <c r="H93" i="9" s="1"/>
  <c r="G94" i="9"/>
  <c r="G93" i="9" s="1"/>
  <c r="F94" i="9"/>
  <c r="F93" i="9" s="1"/>
  <c r="E94" i="9"/>
  <c r="Q93" i="9"/>
  <c r="K93" i="9"/>
  <c r="E93" i="9"/>
  <c r="P586" i="2"/>
  <c r="T31" i="8"/>
  <c r="S31" i="8"/>
  <c r="T25" i="8"/>
  <c r="S25" i="8"/>
  <c r="N25" i="8"/>
  <c r="T22" i="8"/>
  <c r="T20" i="8"/>
  <c r="S20" i="8"/>
  <c r="T15" i="8"/>
  <c r="S15" i="8"/>
  <c r="N15" i="8"/>
  <c r="R586" i="2"/>
  <c r="Q586" i="2"/>
  <c r="X586" i="2" s="1"/>
  <c r="X585" i="2" s="1"/>
  <c r="X584" i="2" s="1"/>
  <c r="O538" i="2"/>
  <c r="N538" i="2"/>
  <c r="M538" i="2"/>
  <c r="P549" i="2"/>
  <c r="I548" i="2"/>
  <c r="M548" i="2"/>
  <c r="O549" i="2"/>
  <c r="O657" i="2"/>
  <c r="O656" i="2"/>
  <c r="O118" i="2"/>
  <c r="O116" i="2"/>
  <c r="M116" i="2"/>
  <c r="D116" i="2"/>
  <c r="L173" i="2"/>
  <c r="N188" i="2"/>
  <c r="N183" i="2"/>
  <c r="N180" i="2"/>
  <c r="O201" i="2"/>
  <c r="O148" i="2"/>
  <c r="Q454" i="2"/>
  <c r="Q453" i="2"/>
  <c r="D548" i="2"/>
  <c r="D540" i="2"/>
  <c r="D524" i="2"/>
  <c r="D17" i="2"/>
  <c r="D538" i="2"/>
  <c r="M542" i="2"/>
  <c r="D542" i="2"/>
  <c r="X598" i="2"/>
  <c r="X597" i="2"/>
  <c r="E455" i="2"/>
  <c r="M455" i="2"/>
  <c r="D455" i="2"/>
  <c r="P454" i="2"/>
  <c r="O454" i="2"/>
  <c r="N454" i="2"/>
  <c r="N453" i="2"/>
  <c r="L454" i="2"/>
  <c r="L453" i="2"/>
  <c r="K454" i="2"/>
  <c r="K453" i="2"/>
  <c r="J454" i="2"/>
  <c r="J453" i="2"/>
  <c r="I454" i="2"/>
  <c r="I453" i="2"/>
  <c r="H454" i="2"/>
  <c r="H453" i="2"/>
  <c r="G454" i="2"/>
  <c r="G453" i="2"/>
  <c r="F454" i="2"/>
  <c r="F453" i="2"/>
  <c r="P453" i="2"/>
  <c r="E452" i="2"/>
  <c r="M452" i="2"/>
  <c r="D452" i="2"/>
  <c r="P451" i="2"/>
  <c r="O451" i="2"/>
  <c r="N451" i="2"/>
  <c r="L451" i="2"/>
  <c r="K451" i="2"/>
  <c r="J451" i="2"/>
  <c r="I451" i="2"/>
  <c r="H451" i="2"/>
  <c r="G451" i="2"/>
  <c r="F451" i="2"/>
  <c r="N450" i="2"/>
  <c r="N449" i="2"/>
  <c r="N448" i="2"/>
  <c r="L450" i="2"/>
  <c r="L449" i="2"/>
  <c r="L448" i="2"/>
  <c r="E450" i="2"/>
  <c r="P449" i="2"/>
  <c r="O449" i="2"/>
  <c r="K449" i="2"/>
  <c r="J449" i="2"/>
  <c r="I449" i="2"/>
  <c r="H449" i="2"/>
  <c r="G449" i="2"/>
  <c r="F449" i="2"/>
  <c r="E449" i="2"/>
  <c r="M450" i="2"/>
  <c r="D450" i="2"/>
  <c r="O453" i="2"/>
  <c r="D451" i="2"/>
  <c r="H448" i="2"/>
  <c r="G448" i="2"/>
  <c r="I448" i="2"/>
  <c r="K448" i="2"/>
  <c r="F448" i="2"/>
  <c r="P448" i="2"/>
  <c r="E454" i="2"/>
  <c r="E453" i="2"/>
  <c r="E451" i="2"/>
  <c r="E448" i="2"/>
  <c r="O448" i="2"/>
  <c r="J448" i="2"/>
  <c r="M451" i="2"/>
  <c r="T16" i="8"/>
  <c r="Q20" i="1"/>
  <c r="T26" i="8"/>
  <c r="Q36" i="1"/>
  <c r="T32" i="8"/>
  <c r="Q44" i="1"/>
  <c r="Q142" i="1"/>
  <c r="Q204" i="1"/>
  <c r="S32" i="8"/>
  <c r="P44" i="1"/>
  <c r="P142" i="1"/>
  <c r="P204" i="1"/>
  <c r="R32" i="8"/>
  <c r="O44" i="1"/>
  <c r="O142" i="1"/>
  <c r="O204" i="1"/>
  <c r="Q32" i="8"/>
  <c r="N44" i="1"/>
  <c r="N142" i="1"/>
  <c r="N204" i="1"/>
  <c r="P32" i="8"/>
  <c r="M44" i="1"/>
  <c r="M142" i="1"/>
  <c r="M204" i="1"/>
  <c r="O32" i="8"/>
  <c r="L44" i="1"/>
  <c r="L142" i="1"/>
  <c r="L204" i="1"/>
  <c r="S26" i="8"/>
  <c r="P36" i="1"/>
  <c r="R26" i="8"/>
  <c r="O36" i="1"/>
  <c r="O141" i="1"/>
  <c r="O203" i="1"/>
  <c r="Q26" i="8"/>
  <c r="N36" i="1"/>
  <c r="N141" i="1"/>
  <c r="N203" i="1"/>
  <c r="P26" i="8"/>
  <c r="M36" i="1"/>
  <c r="M141" i="1"/>
  <c r="M203" i="1"/>
  <c r="T21" i="8"/>
  <c r="Q30" i="1"/>
  <c r="S21" i="8"/>
  <c r="P30" i="1"/>
  <c r="P130" i="1"/>
  <c r="P192" i="1"/>
  <c r="R21" i="8"/>
  <c r="O30" i="1"/>
  <c r="O130" i="1"/>
  <c r="O192" i="1"/>
  <c r="Q21" i="8"/>
  <c r="N30" i="1"/>
  <c r="N130" i="1"/>
  <c r="N192" i="1"/>
  <c r="P21" i="8"/>
  <c r="M30" i="1"/>
  <c r="M130" i="1"/>
  <c r="M192" i="1"/>
  <c r="O21" i="8"/>
  <c r="L30" i="1"/>
  <c r="S16" i="8"/>
  <c r="P20" i="1"/>
  <c r="R16" i="8"/>
  <c r="O20" i="1"/>
  <c r="Q16" i="8"/>
  <c r="N20" i="1"/>
  <c r="P16" i="8"/>
  <c r="M20" i="1"/>
  <c r="D449" i="2"/>
  <c r="D448" i="2"/>
  <c r="Q130" i="1"/>
  <c r="Q192" i="1"/>
  <c r="D454" i="2"/>
  <c r="D453" i="2"/>
  <c r="M449" i="2"/>
  <c r="M454" i="2"/>
  <c r="L130" i="1"/>
  <c r="L192" i="1"/>
  <c r="Q141" i="1"/>
  <c r="Q203" i="1"/>
  <c r="P141" i="1"/>
  <c r="P203" i="1"/>
  <c r="M77" i="1"/>
  <c r="Q593" i="2"/>
  <c r="R593" i="2"/>
  <c r="S593" i="2"/>
  <c r="T593" i="2"/>
  <c r="M448" i="2"/>
  <c r="M453" i="2"/>
  <c r="O143" i="4"/>
  <c r="N619" i="2"/>
  <c r="M57" i="9"/>
  <c r="N57" i="9"/>
  <c r="Q380" i="2"/>
  <c r="M383" i="2"/>
  <c r="Q385" i="2"/>
  <c r="Q377" i="2"/>
  <c r="P217" i="2"/>
  <c r="N378" i="2"/>
  <c r="M378" i="2"/>
  <c r="D378" i="2"/>
  <c r="X217" i="2"/>
  <c r="X216" i="2"/>
  <c r="X215" i="2"/>
  <c r="Q382" i="2"/>
  <c r="Q376" i="2"/>
  <c r="P163" i="8"/>
  <c r="P31" i="8"/>
  <c r="P160" i="8"/>
  <c r="P25" i="8"/>
  <c r="P157" i="8"/>
  <c r="P155" i="8"/>
  <c r="P154" i="8"/>
  <c r="X154" i="8"/>
  <c r="O154" i="8"/>
  <c r="S139" i="8"/>
  <c r="S142" i="8"/>
  <c r="S145" i="8"/>
  <c r="S148" i="8"/>
  <c r="O140" i="8"/>
  <c r="R140" i="8"/>
  <c r="Q140" i="8"/>
  <c r="P140" i="8"/>
  <c r="M377" i="2"/>
  <c r="R25" i="8"/>
  <c r="R15" i="8"/>
  <c r="R20" i="8"/>
  <c r="R31" i="8"/>
  <c r="S144" i="8"/>
  <c r="Q14" i="10"/>
  <c r="S138" i="8"/>
  <c r="X157" i="8"/>
  <c r="P20" i="8"/>
  <c r="D140" i="8"/>
  <c r="D139" i="8"/>
  <c r="X140" i="8"/>
  <c r="Q15" i="8"/>
  <c r="X142" i="8"/>
  <c r="Q20" i="8"/>
  <c r="Q25" i="8"/>
  <c r="Q31" i="8"/>
  <c r="X155" i="8"/>
  <c r="P15" i="8"/>
  <c r="Q277" i="2"/>
  <c r="Q272" i="2"/>
  <c r="M275" i="2"/>
  <c r="M272" i="2"/>
  <c r="M269" i="2"/>
  <c r="Q269" i="2"/>
  <c r="D276" i="2"/>
  <c r="D271" i="2"/>
  <c r="Q257" i="2"/>
  <c r="M260" i="2"/>
  <c r="Q261" i="2"/>
  <c r="Q264" i="2"/>
  <c r="D265" i="2"/>
  <c r="D262" i="2"/>
  <c r="F253" i="2"/>
  <c r="G253" i="2"/>
  <c r="J253" i="2"/>
  <c r="K253" i="2"/>
  <c r="L253" i="2"/>
  <c r="X153" i="8"/>
  <c r="X156" i="8"/>
  <c r="Q13" i="10"/>
  <c r="X139" i="8"/>
  <c r="X138" i="8"/>
  <c r="Q260" i="2"/>
  <c r="X14" i="8"/>
  <c r="Q274" i="2"/>
  <c r="Q252" i="2"/>
  <c r="Q268" i="2"/>
  <c r="M268" i="2"/>
  <c r="X152" i="8"/>
  <c r="N42" i="4"/>
  <c r="R17" i="8"/>
  <c r="S17" i="8"/>
  <c r="T17" i="8"/>
  <c r="S14" i="8"/>
  <c r="T14" i="8"/>
  <c r="O133" i="8"/>
  <c r="P118" i="4"/>
  <c r="P117" i="4" s="1"/>
  <c r="Q118" i="4"/>
  <c r="R118" i="4"/>
  <c r="R117" i="4" s="1"/>
  <c r="S118" i="4"/>
  <c r="T118" i="4"/>
  <c r="T117" i="4" s="1"/>
  <c r="O118" i="4"/>
  <c r="O117" i="4" s="1"/>
  <c r="O141" i="4"/>
  <c r="T123" i="4"/>
  <c r="S123" i="4"/>
  <c r="R123" i="4"/>
  <c r="Q123" i="4"/>
  <c r="P123" i="4"/>
  <c r="O123" i="4"/>
  <c r="O122" i="4" s="1"/>
  <c r="N123" i="4"/>
  <c r="N122" i="4" s="1"/>
  <c r="M123" i="4"/>
  <c r="L123" i="4"/>
  <c r="K123" i="4"/>
  <c r="J123" i="4"/>
  <c r="I123" i="4"/>
  <c r="H123" i="4"/>
  <c r="G123" i="4"/>
  <c r="F123" i="4"/>
  <c r="E123" i="4"/>
  <c r="T122" i="4"/>
  <c r="S122" i="4"/>
  <c r="R122" i="4"/>
  <c r="Q122" i="4"/>
  <c r="P122" i="4"/>
  <c r="M122" i="4"/>
  <c r="L122" i="4"/>
  <c r="K122" i="4"/>
  <c r="J122" i="4"/>
  <c r="I122" i="4"/>
  <c r="H122" i="4"/>
  <c r="G122" i="4"/>
  <c r="F122" i="4"/>
  <c r="E122" i="4"/>
  <c r="S117" i="4"/>
  <c r="N118" i="4"/>
  <c r="N117" i="4" s="1"/>
  <c r="M118" i="4"/>
  <c r="M117" i="4" s="1"/>
  <c r="L118" i="4"/>
  <c r="K118" i="4"/>
  <c r="J118" i="4"/>
  <c r="I118" i="4"/>
  <c r="H118" i="4"/>
  <c r="G118" i="4"/>
  <c r="F118" i="4"/>
  <c r="E118" i="4"/>
  <c r="Q117" i="4"/>
  <c r="L117" i="4"/>
  <c r="K117" i="4"/>
  <c r="J117" i="4"/>
  <c r="I117" i="4"/>
  <c r="H117" i="4"/>
  <c r="G117" i="4"/>
  <c r="F117" i="4"/>
  <c r="E117" i="4"/>
  <c r="D123" i="4"/>
  <c r="D122" i="4" s="1"/>
  <c r="N635" i="2"/>
  <c r="N615" i="2"/>
  <c r="M615" i="2"/>
  <c r="D615" i="2"/>
  <c r="N106" i="4"/>
  <c r="N110" i="4"/>
  <c r="N115" i="4"/>
  <c r="O96" i="4"/>
  <c r="O16" i="4"/>
  <c r="N96" i="4"/>
  <c r="N99" i="4"/>
  <c r="N102" i="4"/>
  <c r="N16" i="4"/>
  <c r="Q233" i="2"/>
  <c r="Q236" i="2"/>
  <c r="Q232" i="2"/>
  <c r="X16" i="5"/>
  <c r="F236" i="2"/>
  <c r="G236" i="2"/>
  <c r="H236" i="2"/>
  <c r="I236" i="2"/>
  <c r="J236" i="2"/>
  <c r="K236" i="2"/>
  <c r="L236" i="2"/>
  <c r="F230" i="2"/>
  <c r="G230" i="2"/>
  <c r="H230" i="2"/>
  <c r="I230" i="2"/>
  <c r="J230" i="2"/>
  <c r="K230" i="2"/>
  <c r="L230" i="2"/>
  <c r="N230" i="2"/>
  <c r="O230" i="2"/>
  <c r="P230" i="2"/>
  <c r="M226" i="2"/>
  <c r="D229" i="2"/>
  <c r="D228" i="2"/>
  <c r="D226" i="2"/>
  <c r="L235" i="2"/>
  <c r="M233" i="2"/>
  <c r="L234" i="2"/>
  <c r="E56" i="5"/>
  <c r="D55" i="5"/>
  <c r="D54" i="5"/>
  <c r="T55" i="5"/>
  <c r="T54" i="5"/>
  <c r="S55" i="5"/>
  <c r="S54" i="5"/>
  <c r="R55" i="5"/>
  <c r="R54" i="5"/>
  <c r="Q55" i="5"/>
  <c r="Q54" i="5"/>
  <c r="P55" i="5"/>
  <c r="P54" i="5"/>
  <c r="O55" i="5"/>
  <c r="O54" i="5"/>
  <c r="N55" i="5"/>
  <c r="N54" i="5"/>
  <c r="M55" i="5"/>
  <c r="M54" i="5"/>
  <c r="L55" i="5"/>
  <c r="L54" i="5"/>
  <c r="K55" i="5"/>
  <c r="K54" i="5"/>
  <c r="J55" i="5"/>
  <c r="J54" i="5"/>
  <c r="I55" i="5"/>
  <c r="I54" i="5"/>
  <c r="H55" i="5"/>
  <c r="H54" i="5"/>
  <c r="G55" i="5"/>
  <c r="G54" i="5"/>
  <c r="F55" i="5"/>
  <c r="F54" i="5"/>
  <c r="E55" i="5"/>
  <c r="E54" i="5"/>
  <c r="D52" i="5"/>
  <c r="D51" i="5"/>
  <c r="E53" i="5"/>
  <c r="T52" i="5"/>
  <c r="S52" i="5"/>
  <c r="R52" i="5"/>
  <c r="Q52" i="5"/>
  <c r="Q51" i="5"/>
  <c r="P52" i="5"/>
  <c r="O52" i="5"/>
  <c r="N52" i="5"/>
  <c r="M52" i="5"/>
  <c r="L52" i="5"/>
  <c r="K52" i="5"/>
  <c r="J52" i="5"/>
  <c r="I52" i="5"/>
  <c r="H52" i="5"/>
  <c r="G52" i="5"/>
  <c r="F52" i="5"/>
  <c r="P51" i="5"/>
  <c r="O51" i="5"/>
  <c r="N51" i="5"/>
  <c r="M51" i="5"/>
  <c r="L51" i="5"/>
  <c r="K51" i="5"/>
  <c r="J51" i="5"/>
  <c r="I51" i="5"/>
  <c r="H51" i="5"/>
  <c r="G51" i="5"/>
  <c r="F51" i="5"/>
  <c r="I235" i="2"/>
  <c r="K235" i="2"/>
  <c r="E52" i="5"/>
  <c r="E51" i="5"/>
  <c r="L233" i="2"/>
  <c r="L232" i="2"/>
  <c r="H235" i="2"/>
  <c r="K233" i="2"/>
  <c r="K232" i="2"/>
  <c r="O210" i="9"/>
  <c r="M210" i="9"/>
  <c r="P210" i="9"/>
  <c r="M66" i="1"/>
  <c r="Q210" i="9"/>
  <c r="N66" i="1"/>
  <c r="R210" i="9"/>
  <c r="O66" i="1"/>
  <c r="S210" i="9"/>
  <c r="P66" i="1"/>
  <c r="T210" i="9"/>
  <c r="Q66" i="1"/>
  <c r="N210" i="9"/>
  <c r="P214" i="9"/>
  <c r="M79" i="1"/>
  <c r="O214" i="9"/>
  <c r="Q216" i="9"/>
  <c r="Q205" i="9"/>
  <c r="R216" i="9"/>
  <c r="R205" i="9"/>
  <c r="S216" i="9"/>
  <c r="S205" i="9"/>
  <c r="T216" i="9"/>
  <c r="T205" i="9"/>
  <c r="E217" i="9"/>
  <c r="E216" i="9"/>
  <c r="E205" i="9"/>
  <c r="F217" i="9"/>
  <c r="F216" i="9"/>
  <c r="F205" i="9"/>
  <c r="G217" i="9"/>
  <c r="G216" i="9"/>
  <c r="G205" i="9"/>
  <c r="H217" i="9"/>
  <c r="H216" i="9"/>
  <c r="H205" i="9"/>
  <c r="I217" i="9"/>
  <c r="I216" i="9"/>
  <c r="I205" i="9"/>
  <c r="J217" i="9"/>
  <c r="J216" i="9"/>
  <c r="J205" i="9"/>
  <c r="K217" i="9"/>
  <c r="K216" i="9"/>
  <c r="K205" i="9"/>
  <c r="L217" i="9"/>
  <c r="L216" i="9"/>
  <c r="L205" i="9"/>
  <c r="P217" i="9"/>
  <c r="P216" i="9"/>
  <c r="P205" i="9"/>
  <c r="N218" i="9"/>
  <c r="O218" i="9"/>
  <c r="T225" i="9"/>
  <c r="T224" i="9"/>
  <c r="S225" i="9"/>
  <c r="S224" i="9"/>
  <c r="R225" i="9"/>
  <c r="R224" i="9"/>
  <c r="Q225" i="9"/>
  <c r="Q224" i="9"/>
  <c r="P225" i="9"/>
  <c r="P224" i="9"/>
  <c r="M229" i="9"/>
  <c r="D229" i="9"/>
  <c r="T228" i="9"/>
  <c r="S228" i="9"/>
  <c r="R228" i="9"/>
  <c r="R214" i="9"/>
  <c r="O79" i="1"/>
  <c r="O139" i="1" s="1"/>
  <c r="O201" i="1" s="1"/>
  <c r="Q228" i="9"/>
  <c r="Q214" i="9"/>
  <c r="N79" i="1"/>
  <c r="P228" i="9"/>
  <c r="O228" i="9"/>
  <c r="O213" i="9"/>
  <c r="N228" i="9"/>
  <c r="N214" i="9"/>
  <c r="M228" i="9"/>
  <c r="M214" i="9"/>
  <c r="L228" i="9"/>
  <c r="L214" i="9"/>
  <c r="L213" i="9"/>
  <c r="L212" i="9"/>
  <c r="K228" i="9"/>
  <c r="K214" i="9"/>
  <c r="K213" i="9"/>
  <c r="K212" i="9"/>
  <c r="J228" i="9"/>
  <c r="J214" i="9"/>
  <c r="J213" i="9"/>
  <c r="J212" i="9"/>
  <c r="I228" i="9"/>
  <c r="I214" i="9"/>
  <c r="I213" i="9"/>
  <c r="I212" i="9"/>
  <c r="H228" i="9"/>
  <c r="H214" i="9"/>
  <c r="H213" i="9"/>
  <c r="H212" i="9"/>
  <c r="G228" i="9"/>
  <c r="G214" i="9"/>
  <c r="G213" i="9"/>
  <c r="G212" i="9"/>
  <c r="F228" i="9"/>
  <c r="F214" i="9"/>
  <c r="F213" i="9"/>
  <c r="F212" i="9"/>
  <c r="E228" i="9"/>
  <c r="E214" i="9"/>
  <c r="E213" i="9"/>
  <c r="E212" i="9"/>
  <c r="T227" i="9"/>
  <c r="S227" i="9"/>
  <c r="P227" i="9"/>
  <c r="N227" i="9"/>
  <c r="L227" i="9"/>
  <c r="J227" i="9"/>
  <c r="H227" i="9"/>
  <c r="F227" i="9"/>
  <c r="D226" i="9"/>
  <c r="N225" i="9"/>
  <c r="N224" i="9"/>
  <c r="O225" i="9"/>
  <c r="O224" i="9"/>
  <c r="M225" i="9"/>
  <c r="M224" i="9"/>
  <c r="L225" i="9"/>
  <c r="L224" i="9"/>
  <c r="K225" i="9"/>
  <c r="K224" i="9"/>
  <c r="J225" i="9"/>
  <c r="J224" i="9"/>
  <c r="I225" i="9"/>
  <c r="H225" i="9"/>
  <c r="H224" i="9"/>
  <c r="G225" i="9"/>
  <c r="G224" i="9"/>
  <c r="F225" i="9"/>
  <c r="F224" i="9"/>
  <c r="E225" i="9"/>
  <c r="E224" i="9"/>
  <c r="I224" i="9"/>
  <c r="E227" i="9"/>
  <c r="G227" i="9"/>
  <c r="I227" i="9"/>
  <c r="K227" i="9"/>
  <c r="M227" i="9"/>
  <c r="O227" i="9"/>
  <c r="O212" i="9"/>
  <c r="Q227" i="9"/>
  <c r="M218" i="9"/>
  <c r="D218" i="9"/>
  <c r="G235" i="2"/>
  <c r="N217" i="9"/>
  <c r="N216" i="9"/>
  <c r="N205" i="9"/>
  <c r="D227" i="9"/>
  <c r="D214" i="9"/>
  <c r="Q213" i="9"/>
  <c r="Q212" i="9"/>
  <c r="S213" i="9"/>
  <c r="S212" i="9"/>
  <c r="N211" i="9"/>
  <c r="N208" i="9"/>
  <c r="D210" i="9"/>
  <c r="N213" i="9"/>
  <c r="N212" i="9"/>
  <c r="R213" i="9"/>
  <c r="R212" i="9"/>
  <c r="D228" i="9"/>
  <c r="P213" i="9"/>
  <c r="P212" i="9"/>
  <c r="J233" i="2"/>
  <c r="J232" i="2"/>
  <c r="I234" i="2"/>
  <c r="M213" i="9"/>
  <c r="O217" i="9"/>
  <c r="O216" i="9"/>
  <c r="O205" i="9"/>
  <c r="M217" i="9"/>
  <c r="D224" i="9"/>
  <c r="D225" i="9"/>
  <c r="M50" i="3"/>
  <c r="D44" i="3"/>
  <c r="X205" i="9"/>
  <c r="F235" i="2"/>
  <c r="D38" i="3"/>
  <c r="D47" i="3"/>
  <c r="M211" i="9"/>
  <c r="M208" i="9"/>
  <c r="M216" i="9"/>
  <c r="M205" i="9"/>
  <c r="M212" i="9"/>
  <c r="D212" i="9"/>
  <c r="D213" i="9"/>
  <c r="I233" i="2"/>
  <c r="I232" i="2"/>
  <c r="H234" i="2"/>
  <c r="E235" i="2"/>
  <c r="D217" i="9"/>
  <c r="D216" i="9"/>
  <c r="D205" i="9"/>
  <c r="D211" i="9"/>
  <c r="H233" i="2"/>
  <c r="H232" i="2"/>
  <c r="G234" i="2"/>
  <c r="D208" i="9"/>
  <c r="D207" i="9"/>
  <c r="G233" i="2"/>
  <c r="G232" i="2"/>
  <c r="F234" i="2"/>
  <c r="F233" i="2"/>
  <c r="F232" i="2"/>
  <c r="E234" i="2"/>
  <c r="E233" i="2"/>
  <c r="D546" i="2"/>
  <c r="D539" i="2"/>
  <c r="D523" i="2"/>
  <c r="D530" i="2"/>
  <c r="X210" i="2"/>
  <c r="X209" i="2"/>
  <c r="X208" i="2"/>
  <c r="E661" i="2"/>
  <c r="F661" i="2"/>
  <c r="G661" i="2"/>
  <c r="H661" i="2"/>
  <c r="I661" i="2"/>
  <c r="J661" i="2"/>
  <c r="K661" i="2"/>
  <c r="N661" i="2"/>
  <c r="O661" i="2"/>
  <c r="P661" i="2"/>
  <c r="Q661" i="2"/>
  <c r="R661" i="2"/>
  <c r="R660" i="2"/>
  <c r="G16" i="6"/>
  <c r="G22" i="6"/>
  <c r="F16" i="6"/>
  <c r="F22" i="6"/>
  <c r="O105" i="5"/>
  <c r="O108" i="5"/>
  <c r="O104" i="5"/>
  <c r="P22" i="4"/>
  <c r="P21" i="4" s="1"/>
  <c r="Q22" i="4"/>
  <c r="R22" i="4"/>
  <c r="R21" i="4" s="1"/>
  <c r="S22" i="4"/>
  <c r="T22" i="4"/>
  <c r="T21" i="4" s="1"/>
  <c r="X60" i="8"/>
  <c r="X21" i="8"/>
  <c r="X59" i="8"/>
  <c r="X20" i="8"/>
  <c r="X57" i="8"/>
  <c r="X16" i="8"/>
  <c r="X56" i="8"/>
  <c r="X15" i="8"/>
  <c r="S21" i="4"/>
  <c r="Q21" i="4"/>
  <c r="X55" i="8"/>
  <c r="X58" i="8"/>
  <c r="T53" i="7"/>
  <c r="T51" i="7"/>
  <c r="T50" i="7"/>
  <c r="T48" i="7"/>
  <c r="T45" i="7"/>
  <c r="T44" i="7"/>
  <c r="S53" i="7"/>
  <c r="S51" i="7"/>
  <c r="S50" i="7"/>
  <c r="S48" i="7"/>
  <c r="S45" i="7"/>
  <c r="S44" i="7"/>
  <c r="T65" i="7"/>
  <c r="T63" i="7"/>
  <c r="T62" i="7"/>
  <c r="T60" i="7"/>
  <c r="T57" i="7"/>
  <c r="S65" i="7"/>
  <c r="S63" i="7"/>
  <c r="S62" i="7"/>
  <c r="S60" i="7"/>
  <c r="S57" i="7"/>
  <c r="S56" i="7"/>
  <c r="T89" i="7"/>
  <c r="T87" i="7"/>
  <c r="T86" i="7"/>
  <c r="T84" i="7"/>
  <c r="T81" i="7"/>
  <c r="S89" i="7"/>
  <c r="S87" i="7"/>
  <c r="S86" i="7"/>
  <c r="S84" i="7"/>
  <c r="S81" i="7"/>
  <c r="T77" i="7"/>
  <c r="T75" i="7"/>
  <c r="T72" i="7"/>
  <c r="T69" i="7"/>
  <c r="S77" i="7"/>
  <c r="S75" i="7"/>
  <c r="S72" i="7"/>
  <c r="S69" i="7"/>
  <c r="T36" i="7"/>
  <c r="T33" i="7"/>
  <c r="S36" i="7"/>
  <c r="S33" i="7"/>
  <c r="S32" i="7"/>
  <c r="T41" i="7"/>
  <c r="T39" i="7"/>
  <c r="S41" i="7"/>
  <c r="S39" i="7"/>
  <c r="S24" i="7"/>
  <c r="S23" i="7"/>
  <c r="T24" i="7"/>
  <c r="T23" i="7"/>
  <c r="P8" i="7"/>
  <c r="Q8" i="7"/>
  <c r="R8" i="7"/>
  <c r="S8" i="7"/>
  <c r="T8" i="7"/>
  <c r="P13" i="7"/>
  <c r="M67" i="1"/>
  <c r="Q13" i="7"/>
  <c r="N67" i="1"/>
  <c r="R13" i="7"/>
  <c r="O67" i="1"/>
  <c r="S13" i="7"/>
  <c r="P67" i="1"/>
  <c r="T13" i="7"/>
  <c r="Q67" i="1"/>
  <c r="P15" i="7"/>
  <c r="Q15" i="7"/>
  <c r="R15" i="7"/>
  <c r="S15" i="7"/>
  <c r="T15" i="7"/>
  <c r="O80" i="1"/>
  <c r="O140" i="1"/>
  <c r="O202" i="1"/>
  <c r="P20" i="7"/>
  <c r="Q20" i="7"/>
  <c r="R20" i="7"/>
  <c r="S20" i="7"/>
  <c r="T20" i="7"/>
  <c r="S10" i="8"/>
  <c r="T10" i="8"/>
  <c r="S11" i="8"/>
  <c r="T11" i="8"/>
  <c r="S13" i="8"/>
  <c r="T13" i="8"/>
  <c r="S19" i="8"/>
  <c r="P27" i="1"/>
  <c r="T19" i="8"/>
  <c r="Q27" i="1"/>
  <c r="S22" i="8"/>
  <c r="S27" i="8"/>
  <c r="T27" i="8"/>
  <c r="S28" i="8"/>
  <c r="P136" i="1"/>
  <c r="P198" i="1"/>
  <c r="T28" i="8"/>
  <c r="Q136" i="1"/>
  <c r="Q198" i="1"/>
  <c r="S33" i="8"/>
  <c r="T33" i="8"/>
  <c r="S38" i="7"/>
  <c r="S68" i="7"/>
  <c r="S74" i="7"/>
  <c r="T68" i="7"/>
  <c r="T74" i="7"/>
  <c r="S80" i="7"/>
  <c r="S18" i="7"/>
  <c r="P140" i="1"/>
  <c r="P202" i="1"/>
  <c r="Q18" i="7"/>
  <c r="Q74" i="1"/>
  <c r="T18" i="7"/>
  <c r="Q140" i="1"/>
  <c r="Q202" i="1"/>
  <c r="P18" i="7"/>
  <c r="P17" i="7"/>
  <c r="N74" i="1"/>
  <c r="N73" i="1" s="1"/>
  <c r="P74" i="1"/>
  <c r="P73" i="1" s="1"/>
  <c r="O74" i="1"/>
  <c r="O73" i="1" s="1"/>
  <c r="T30" i="8"/>
  <c r="S18" i="8"/>
  <c r="S12" i="8"/>
  <c r="T9" i="8"/>
  <c r="T32" i="7"/>
  <c r="Q12" i="7"/>
  <c r="T38" i="7"/>
  <c r="X12" i="7"/>
  <c r="X11" i="7"/>
  <c r="R12" i="7"/>
  <c r="T80" i="7"/>
  <c r="T56" i="7"/>
  <c r="R18" i="7"/>
  <c r="R17" i="7"/>
  <c r="T24" i="8"/>
  <c r="X54" i="8"/>
  <c r="S9" i="8"/>
  <c r="P12" i="7"/>
  <c r="P11" i="7"/>
  <c r="T18" i="8"/>
  <c r="T12" i="8"/>
  <c r="S30" i="8"/>
  <c r="S24" i="8"/>
  <c r="T12" i="7"/>
  <c r="S12" i="7"/>
  <c r="S11" i="7"/>
  <c r="S17" i="7"/>
  <c r="Q17" i="7"/>
  <c r="T11" i="7"/>
  <c r="R11" i="7"/>
  <c r="T17" i="7"/>
  <c r="Q11" i="7"/>
  <c r="T23" i="8"/>
  <c r="Q73" i="1"/>
  <c r="S23" i="8"/>
  <c r="T11" i="13"/>
  <c r="S11" i="13"/>
  <c r="R11" i="13"/>
  <c r="S16" i="13"/>
  <c r="R16" i="13"/>
  <c r="Q16" i="13"/>
  <c r="Q12" i="13"/>
  <c r="P16" i="13"/>
  <c r="M45" i="13"/>
  <c r="T16" i="13"/>
  <c r="P22" i="13"/>
  <c r="P19" i="13"/>
  <c r="R22" i="13"/>
  <c r="R19" i="13"/>
  <c r="T22" i="13"/>
  <c r="T19" i="13"/>
  <c r="Q22" i="13"/>
  <c r="Q19" i="13"/>
  <c r="S22" i="13"/>
  <c r="S19" i="13"/>
  <c r="R9" i="13"/>
  <c r="S9" i="13"/>
  <c r="T9" i="13"/>
  <c r="R12" i="13"/>
  <c r="T12" i="13"/>
  <c r="M52" i="13"/>
  <c r="M49" i="13"/>
  <c r="S12" i="13"/>
  <c r="P12" i="13"/>
  <c r="G20" i="8"/>
  <c r="H20" i="8"/>
  <c r="E31" i="8"/>
  <c r="F31" i="8"/>
  <c r="G31" i="8"/>
  <c r="H31" i="8"/>
  <c r="F20" i="8"/>
  <c r="G14" i="8"/>
  <c r="M163" i="8"/>
  <c r="D163" i="8"/>
  <c r="M160" i="8"/>
  <c r="M157" i="8"/>
  <c r="M156" i="8"/>
  <c r="M155" i="8"/>
  <c r="M154" i="8"/>
  <c r="D160" i="8"/>
  <c r="D157" i="8"/>
  <c r="D155" i="8"/>
  <c r="D154" i="8"/>
  <c r="M145" i="8"/>
  <c r="M139" i="8"/>
  <c r="M148" i="8"/>
  <c r="M142" i="8"/>
  <c r="M133" i="8"/>
  <c r="M132" i="8"/>
  <c r="M131" i="8"/>
  <c r="F100" i="8"/>
  <c r="G100" i="8"/>
  <c r="H100" i="8"/>
  <c r="F94" i="8"/>
  <c r="G94" i="8"/>
  <c r="H94" i="8"/>
  <c r="E94" i="8"/>
  <c r="M153" i="8"/>
  <c r="M152" i="8"/>
  <c r="M162" i="8"/>
  <c r="M159" i="8"/>
  <c r="M158" i="8"/>
  <c r="M144" i="8"/>
  <c r="M138" i="8"/>
  <c r="M80" i="5"/>
  <c r="M48" i="5"/>
  <c r="M47" i="5"/>
  <c r="D31" i="5"/>
  <c r="D24" i="5"/>
  <c r="D26" i="5"/>
  <c r="M23" i="5"/>
  <c r="X24" i="5"/>
  <c r="X23" i="5"/>
  <c r="X26" i="5"/>
  <c r="X25" i="5"/>
  <c r="S51" i="5"/>
  <c r="T51" i="5"/>
  <c r="S15" i="5"/>
  <c r="T15" i="5"/>
  <c r="S16" i="5"/>
  <c r="T16" i="5"/>
  <c r="S19" i="5"/>
  <c r="S18" i="5"/>
  <c r="T19" i="5"/>
  <c r="T18" i="5"/>
  <c r="T30" i="5"/>
  <c r="S30" i="5"/>
  <c r="T28" i="5"/>
  <c r="S28" i="5"/>
  <c r="T27" i="5"/>
  <c r="S27" i="5"/>
  <c r="T25" i="5"/>
  <c r="S25" i="5"/>
  <c r="T23" i="5"/>
  <c r="S23" i="5"/>
  <c r="T22" i="5"/>
  <c r="S22" i="5"/>
  <c r="T34" i="5"/>
  <c r="T36" i="5"/>
  <c r="S41" i="5"/>
  <c r="S38" i="5"/>
  <c r="T41" i="5"/>
  <c r="T38" i="5"/>
  <c r="S45" i="5"/>
  <c r="T45" i="5"/>
  <c r="S48" i="5"/>
  <c r="S47" i="5"/>
  <c r="T48" i="5"/>
  <c r="T47" i="5"/>
  <c r="S79" i="5"/>
  <c r="S77" i="5"/>
  <c r="T79" i="5"/>
  <c r="T77" i="5"/>
  <c r="S81" i="5"/>
  <c r="T81" i="5"/>
  <c r="S87" i="5"/>
  <c r="T87" i="5"/>
  <c r="S84" i="5"/>
  <c r="T84" i="5"/>
  <c r="S83" i="5"/>
  <c r="T83" i="5"/>
  <c r="T105" i="5"/>
  <c r="S105" i="5"/>
  <c r="T99" i="5"/>
  <c r="S99" i="5"/>
  <c r="T112" i="5"/>
  <c r="S112" i="5"/>
  <c r="T111" i="5"/>
  <c r="S111" i="5"/>
  <c r="S18" i="9"/>
  <c r="T18" i="9"/>
  <c r="S17" i="9"/>
  <c r="T17" i="9"/>
  <c r="S14" i="9"/>
  <c r="T14" i="9"/>
  <c r="S12" i="9"/>
  <c r="T12" i="9"/>
  <c r="S11" i="9"/>
  <c r="T11" i="9"/>
  <c r="T28" i="9"/>
  <c r="S28" i="9"/>
  <c r="S27" i="9" s="1"/>
  <c r="R28" i="9"/>
  <c r="Q28" i="9"/>
  <c r="Q27" i="9" s="1"/>
  <c r="P28" i="9"/>
  <c r="P27" i="9" s="1"/>
  <c r="T27" i="9"/>
  <c r="R27" i="9"/>
  <c r="T46" i="9"/>
  <c r="T45" i="9" s="1"/>
  <c r="S46" i="9"/>
  <c r="S45" i="9" s="1"/>
  <c r="R46" i="9"/>
  <c r="R45" i="9" s="1"/>
  <c r="T53" i="9"/>
  <c r="T52" i="9" s="1"/>
  <c r="S53" i="9"/>
  <c r="S52" i="9" s="1"/>
  <c r="R53" i="9"/>
  <c r="R52" i="9" s="1"/>
  <c r="Q53" i="9"/>
  <c r="Q52" i="9" s="1"/>
  <c r="P53" i="9"/>
  <c r="P52" i="9" s="1"/>
  <c r="T62" i="9"/>
  <c r="T61" i="9" s="1"/>
  <c r="S62" i="9"/>
  <c r="S61" i="9" s="1"/>
  <c r="R62" i="9"/>
  <c r="R61" i="9" s="1"/>
  <c r="T69" i="9"/>
  <c r="T68" i="9" s="1"/>
  <c r="S69" i="9"/>
  <c r="R69" i="9"/>
  <c r="R68" i="9" s="1"/>
  <c r="S68" i="9"/>
  <c r="T76" i="9"/>
  <c r="T75" i="9" s="1"/>
  <c r="S76" i="9"/>
  <c r="S75" i="9" s="1"/>
  <c r="R76" i="9"/>
  <c r="R75" i="9" s="1"/>
  <c r="S204" i="9"/>
  <c r="T211" i="9"/>
  <c r="T208" i="9"/>
  <c r="S211" i="9"/>
  <c r="S208" i="9"/>
  <c r="R211" i="9"/>
  <c r="R208" i="9"/>
  <c r="S207" i="9"/>
  <c r="T206" i="9"/>
  <c r="X206" i="9"/>
  <c r="R204" i="9"/>
  <c r="M103" i="9"/>
  <c r="S103" i="9"/>
  <c r="R103" i="9"/>
  <c r="Q103" i="9"/>
  <c r="P103" i="9"/>
  <c r="S102" i="9"/>
  <c r="T85" i="9"/>
  <c r="T84" i="9" s="1"/>
  <c r="S85" i="9"/>
  <c r="R85" i="9"/>
  <c r="M76" i="9"/>
  <c r="M75" i="9" s="1"/>
  <c r="M69" i="9"/>
  <c r="M68" i="9" s="1"/>
  <c r="T37" i="9"/>
  <c r="T36" i="9" s="1"/>
  <c r="S37" i="9"/>
  <c r="S36" i="9" s="1"/>
  <c r="R37" i="9"/>
  <c r="R36" i="9" s="1"/>
  <c r="Q37" i="9"/>
  <c r="Q36" i="9" s="1"/>
  <c r="P37" i="9"/>
  <c r="P36" i="9" s="1"/>
  <c r="M37" i="9"/>
  <c r="M36" i="9" s="1"/>
  <c r="T204" i="9"/>
  <c r="Q102" i="9"/>
  <c r="P102" i="9"/>
  <c r="M102" i="9"/>
  <c r="R84" i="9"/>
  <c r="S84" i="9"/>
  <c r="T76" i="5"/>
  <c r="S76" i="5"/>
  <c r="R39" i="10"/>
  <c r="Q39" i="10"/>
  <c r="S14" i="5"/>
  <c r="S13" i="5"/>
  <c r="X22" i="5"/>
  <c r="R207" i="9"/>
  <c r="T207" i="9"/>
  <c r="T33" i="5"/>
  <c r="M30" i="5"/>
  <c r="M27" i="5"/>
  <c r="T44" i="5"/>
  <c r="R38" i="10"/>
  <c r="T14" i="5"/>
  <c r="T13" i="5"/>
  <c r="S44" i="5"/>
  <c r="Q38" i="10"/>
  <c r="M25" i="5"/>
  <c r="M22" i="5"/>
  <c r="M85" i="9"/>
  <c r="M204" i="9"/>
  <c r="P76" i="4"/>
  <c r="P73" i="4" s="1"/>
  <c r="Q76" i="4"/>
  <c r="R76" i="4"/>
  <c r="S76" i="4"/>
  <c r="T76" i="4"/>
  <c r="Q74" i="4"/>
  <c r="R74" i="4"/>
  <c r="S74" i="4"/>
  <c r="T74" i="4"/>
  <c r="Q73" i="4"/>
  <c r="R73" i="4"/>
  <c r="S73" i="4"/>
  <c r="T73" i="4"/>
  <c r="P71" i="4"/>
  <c r="Q71" i="4"/>
  <c r="R71" i="4"/>
  <c r="S71" i="4"/>
  <c r="T71" i="4"/>
  <c r="P68" i="4"/>
  <c r="Q68" i="4"/>
  <c r="R68" i="4"/>
  <c r="S68" i="4"/>
  <c r="T68" i="4"/>
  <c r="T67" i="4" s="1"/>
  <c r="Q63" i="4"/>
  <c r="R63" i="4"/>
  <c r="S63" i="4"/>
  <c r="T63" i="4"/>
  <c r="Q62" i="4"/>
  <c r="R62" i="4"/>
  <c r="S62" i="4"/>
  <c r="T62" i="4"/>
  <c r="Q55" i="4"/>
  <c r="R55" i="4"/>
  <c r="S55" i="4"/>
  <c r="T55" i="4"/>
  <c r="Q54" i="4"/>
  <c r="R54" i="4"/>
  <c r="S54" i="4"/>
  <c r="T54" i="4"/>
  <c r="P46" i="4"/>
  <c r="Q46" i="4"/>
  <c r="R46" i="4"/>
  <c r="S46" i="4"/>
  <c r="T46" i="4"/>
  <c r="P42" i="4"/>
  <c r="Q42" i="4"/>
  <c r="R42" i="4"/>
  <c r="R41" i="4" s="1"/>
  <c r="S42" i="4"/>
  <c r="T42" i="4"/>
  <c r="T41" i="4" s="1"/>
  <c r="P49" i="4"/>
  <c r="Q49" i="4"/>
  <c r="R49" i="4"/>
  <c r="S49" i="4"/>
  <c r="T49" i="4"/>
  <c r="P51" i="4"/>
  <c r="Q51" i="4"/>
  <c r="R51" i="4"/>
  <c r="S51" i="4"/>
  <c r="T51" i="4"/>
  <c r="F22" i="4"/>
  <c r="G22" i="4"/>
  <c r="H22" i="4"/>
  <c r="I22" i="4"/>
  <c r="J22" i="4"/>
  <c r="K22" i="4"/>
  <c r="L22" i="4"/>
  <c r="S80" i="4"/>
  <c r="T80" i="4"/>
  <c r="S79" i="4"/>
  <c r="T79" i="4"/>
  <c r="M114" i="4"/>
  <c r="M111" i="4"/>
  <c r="M105" i="4"/>
  <c r="Q95" i="4"/>
  <c r="R95" i="4"/>
  <c r="S95" i="4"/>
  <c r="T95" i="4"/>
  <c r="Q98" i="4"/>
  <c r="R98" i="4"/>
  <c r="S98" i="4"/>
  <c r="T98" i="4"/>
  <c r="Q101" i="4"/>
  <c r="Q100" i="4" s="1"/>
  <c r="R101" i="4"/>
  <c r="R100" i="4" s="1"/>
  <c r="S101" i="4"/>
  <c r="S100" i="4" s="1"/>
  <c r="T101" i="4"/>
  <c r="T100" i="4" s="1"/>
  <c r="Q114" i="4"/>
  <c r="R114" i="4"/>
  <c r="S114" i="4"/>
  <c r="T114" i="4"/>
  <c r="Q111" i="4"/>
  <c r="R111" i="4"/>
  <c r="S111" i="4"/>
  <c r="T111" i="4"/>
  <c r="Q109" i="4"/>
  <c r="R109" i="4"/>
  <c r="S109" i="4"/>
  <c r="T109" i="4"/>
  <c r="Q105" i="4"/>
  <c r="R105" i="4"/>
  <c r="S105" i="4"/>
  <c r="T105" i="4"/>
  <c r="Q104" i="4"/>
  <c r="R104" i="4"/>
  <c r="S104" i="4"/>
  <c r="T104" i="4"/>
  <c r="S90" i="4"/>
  <c r="S89" i="4" s="1"/>
  <c r="T90" i="4"/>
  <c r="T89" i="4" s="1"/>
  <c r="Q28" i="4"/>
  <c r="R28" i="4"/>
  <c r="S28" i="4"/>
  <c r="P83" i="1" s="1"/>
  <c r="P82" i="1" s="1"/>
  <c r="T28" i="4"/>
  <c r="Q83" i="1"/>
  <c r="Q82" i="1" s="1"/>
  <c r="Q26" i="4"/>
  <c r="N78" i="1" s="1"/>
  <c r="R26" i="4"/>
  <c r="S26" i="4"/>
  <c r="T26" i="4"/>
  <c r="Q25" i="4"/>
  <c r="N77" i="1" s="1"/>
  <c r="R25" i="4"/>
  <c r="O77" i="1" s="1"/>
  <c r="S25" i="4"/>
  <c r="P77" i="1" s="1"/>
  <c r="T25" i="4"/>
  <c r="Q77" i="1" s="1"/>
  <c r="Q20" i="4"/>
  <c r="R20" i="4"/>
  <c r="S20" i="4"/>
  <c r="T20" i="4"/>
  <c r="R18" i="4"/>
  <c r="O70" i="1" s="1"/>
  <c r="S18" i="4"/>
  <c r="P70" i="1" s="1"/>
  <c r="T18" i="4"/>
  <c r="Q70" i="1" s="1"/>
  <c r="T17" i="4"/>
  <c r="Q68" i="1" s="1"/>
  <c r="Q123" i="1" s="1"/>
  <c r="Q185" i="1" s="1"/>
  <c r="M90" i="4"/>
  <c r="M89" i="4" s="1"/>
  <c r="M80" i="4"/>
  <c r="M79" i="4" s="1"/>
  <c r="M84" i="9"/>
  <c r="P41" i="4"/>
  <c r="P67" i="4"/>
  <c r="S11" i="5"/>
  <c r="T11" i="5"/>
  <c r="R27" i="4"/>
  <c r="O83" i="1"/>
  <c r="O82" i="1"/>
  <c r="Q27" i="4"/>
  <c r="S41" i="4"/>
  <c r="Q41" i="4"/>
  <c r="S10" i="5"/>
  <c r="T10" i="5"/>
  <c r="S48" i="4"/>
  <c r="Q48" i="4"/>
  <c r="T48" i="4"/>
  <c r="R48" i="4"/>
  <c r="P48" i="4"/>
  <c r="D105" i="4"/>
  <c r="M95" i="4"/>
  <c r="M51" i="4"/>
  <c r="M48" i="4"/>
  <c r="M49" i="4"/>
  <c r="S24" i="4"/>
  <c r="Q24" i="4"/>
  <c r="S27" i="4"/>
  <c r="S94" i="4"/>
  <c r="Q94" i="4"/>
  <c r="Q67" i="4"/>
  <c r="T24" i="4"/>
  <c r="R24" i="4"/>
  <c r="R23" i="4"/>
  <c r="T27" i="4"/>
  <c r="T94" i="4"/>
  <c r="R94" i="4"/>
  <c r="S67" i="4"/>
  <c r="R67" i="4"/>
  <c r="S23" i="4"/>
  <c r="Q23" i="4"/>
  <c r="M85" i="4"/>
  <c r="M84" i="4" s="1"/>
  <c r="M101" i="4"/>
  <c r="M100" i="4"/>
  <c r="T14" i="4"/>
  <c r="T13" i="4" s="1"/>
  <c r="T10" i="4"/>
  <c r="X57" i="3"/>
  <c r="X71" i="3"/>
  <c r="X70" i="3"/>
  <c r="X73" i="3"/>
  <c r="X72" i="3"/>
  <c r="T194" i="3"/>
  <c r="S194" i="3"/>
  <c r="R194" i="3"/>
  <c r="T192" i="3"/>
  <c r="S192" i="3"/>
  <c r="R192" i="3"/>
  <c r="T189" i="3"/>
  <c r="S189" i="3"/>
  <c r="R189" i="3"/>
  <c r="R24" i="10"/>
  <c r="Q24" i="10"/>
  <c r="Q26" i="3"/>
  <c r="Q25" i="3"/>
  <c r="R26" i="3"/>
  <c r="R25" i="3"/>
  <c r="S26" i="3"/>
  <c r="S25" i="3"/>
  <c r="T26" i="3"/>
  <c r="T25" i="3"/>
  <c r="Q29" i="3"/>
  <c r="Q28" i="3"/>
  <c r="R29" i="3"/>
  <c r="R28" i="3"/>
  <c r="S29" i="3"/>
  <c r="S28" i="3"/>
  <c r="T29" i="3"/>
  <c r="T28" i="3"/>
  <c r="S694" i="2"/>
  <c r="S693" i="2"/>
  <c r="T694" i="2"/>
  <c r="T693" i="2"/>
  <c r="T427" i="2"/>
  <c r="T435" i="2"/>
  <c r="S435" i="2"/>
  <c r="R435" i="2"/>
  <c r="Q435" i="2"/>
  <c r="Q432" i="2"/>
  <c r="S430" i="2"/>
  <c r="R430" i="2"/>
  <c r="T657" i="2"/>
  <c r="T656" i="2"/>
  <c r="S657" i="2"/>
  <c r="S656" i="2"/>
  <c r="T618" i="2"/>
  <c r="T617" i="2"/>
  <c r="T583" i="2"/>
  <c r="S618" i="2"/>
  <c r="S617" i="2"/>
  <c r="S583" i="2"/>
  <c r="S588" i="2"/>
  <c r="P69" i="1"/>
  <c r="T588" i="2"/>
  <c r="Q69" i="1"/>
  <c r="T575" i="2"/>
  <c r="T573" i="2"/>
  <c r="S575" i="2"/>
  <c r="S573" i="2"/>
  <c r="T578" i="2"/>
  <c r="T577" i="2"/>
  <c r="S578" i="2"/>
  <c r="S577" i="2"/>
  <c r="T570" i="2"/>
  <c r="T569" i="2"/>
  <c r="T568" i="2"/>
  <c r="R41" i="10"/>
  <c r="T567" i="2"/>
  <c r="T566" i="2"/>
  <c r="T565" i="2"/>
  <c r="T564" i="2"/>
  <c r="S570" i="2"/>
  <c r="S569" i="2"/>
  <c r="S568" i="2"/>
  <c r="Q41" i="10"/>
  <c r="S567" i="2"/>
  <c r="S565" i="2"/>
  <c r="S564" i="2"/>
  <c r="R570" i="2"/>
  <c r="R569" i="2"/>
  <c r="R568" i="2"/>
  <c r="P41" i="10"/>
  <c r="R567" i="2"/>
  <c r="R566" i="2"/>
  <c r="R565" i="2"/>
  <c r="R564" i="2"/>
  <c r="T549" i="2"/>
  <c r="T545" i="2"/>
  <c r="T541" i="2"/>
  <c r="T537" i="2"/>
  <c r="S549" i="2"/>
  <c r="S545" i="2"/>
  <c r="S541" i="2"/>
  <c r="S537" i="2"/>
  <c r="R549" i="2"/>
  <c r="R545" i="2"/>
  <c r="R541" i="2"/>
  <c r="R537" i="2"/>
  <c r="Q549" i="2"/>
  <c r="Q545" i="2"/>
  <c r="Q541" i="2"/>
  <c r="Q537" i="2"/>
  <c r="T527" i="2"/>
  <c r="T22" i="2"/>
  <c r="Q28" i="1"/>
  <c r="T526" i="2"/>
  <c r="T524" i="2"/>
  <c r="T523" i="2"/>
  <c r="T15" i="2"/>
  <c r="T522" i="2"/>
  <c r="S527" i="2"/>
  <c r="S22" i="2"/>
  <c r="P28" i="1"/>
  <c r="S526" i="2"/>
  <c r="S524" i="2"/>
  <c r="S523" i="2"/>
  <c r="S15" i="2"/>
  <c r="S522" i="2"/>
  <c r="T534" i="2"/>
  <c r="T34" i="2"/>
  <c r="Q43" i="1"/>
  <c r="T533" i="2"/>
  <c r="T531" i="2"/>
  <c r="T530" i="2"/>
  <c r="T25" i="2"/>
  <c r="S534" i="2"/>
  <c r="S34" i="2"/>
  <c r="P43" i="1"/>
  <c r="S533" i="2"/>
  <c r="S531" i="2"/>
  <c r="S530" i="2"/>
  <c r="S25" i="2"/>
  <c r="N430" i="2"/>
  <c r="T430" i="2"/>
  <c r="Q430" i="2"/>
  <c r="X88" i="2"/>
  <c r="X87" i="2"/>
  <c r="X82" i="2"/>
  <c r="S40" i="2"/>
  <c r="S18" i="2"/>
  <c r="P24" i="1"/>
  <c r="P129" i="1"/>
  <c r="P190" i="1"/>
  <c r="T40" i="2"/>
  <c r="T18" i="2"/>
  <c r="Q24" i="1"/>
  <c r="S26" i="2"/>
  <c r="T26" i="2"/>
  <c r="S47" i="2"/>
  <c r="S28" i="2"/>
  <c r="P39" i="1"/>
  <c r="P143" i="1"/>
  <c r="P205" i="1"/>
  <c r="T47" i="2"/>
  <c r="T28" i="2"/>
  <c r="Q39" i="1"/>
  <c r="Q143" i="1"/>
  <c r="Q205" i="1"/>
  <c r="S48" i="2"/>
  <c r="S29" i="2"/>
  <c r="P40" i="1"/>
  <c r="P144" i="1"/>
  <c r="P206" i="1"/>
  <c r="T48" i="2"/>
  <c r="T29" i="2"/>
  <c r="Q40" i="1"/>
  <c r="Q144" i="1"/>
  <c r="Q206" i="1"/>
  <c r="S51" i="2"/>
  <c r="S31" i="2"/>
  <c r="T51" i="2"/>
  <c r="T31" i="2"/>
  <c r="M552" i="2"/>
  <c r="D552" i="2"/>
  <c r="D534" i="2"/>
  <c r="M547" i="2"/>
  <c r="D547" i="2"/>
  <c r="M530" i="2"/>
  <c r="M193" i="2"/>
  <c r="M79" i="2"/>
  <c r="D79" i="2"/>
  <c r="S582" i="2"/>
  <c r="T582" i="2"/>
  <c r="R188" i="3"/>
  <c r="T188" i="3"/>
  <c r="X69" i="3"/>
  <c r="T16" i="2"/>
  <c r="Q21" i="1"/>
  <c r="P78" i="1"/>
  <c r="P76" i="1" s="1"/>
  <c r="P75" i="1" s="1"/>
  <c r="P86" i="1" s="1"/>
  <c r="S591" i="2"/>
  <c r="S590" i="2"/>
  <c r="P103" i="1"/>
  <c r="R432" i="2"/>
  <c r="T432" i="2"/>
  <c r="S16" i="2"/>
  <c r="P21" i="1"/>
  <c r="P126" i="1"/>
  <c r="P187" i="1" s="1"/>
  <c r="Q78" i="1"/>
  <c r="Q76" i="1" s="1"/>
  <c r="Q75" i="1" s="1"/>
  <c r="Q86" i="1" s="1"/>
  <c r="T591" i="2"/>
  <c r="T590" i="2"/>
  <c r="Q103" i="1"/>
  <c r="S432" i="2"/>
  <c r="S566" i="2"/>
  <c r="S563" i="2"/>
  <c r="Q40" i="10"/>
  <c r="Q129" i="1"/>
  <c r="Q190" i="1"/>
  <c r="Q37" i="1"/>
  <c r="T45" i="2"/>
  <c r="T37" i="2"/>
  <c r="S17" i="2"/>
  <c r="P22" i="1"/>
  <c r="P37" i="1"/>
  <c r="S45" i="2"/>
  <c r="S37" i="2"/>
  <c r="S27" i="2"/>
  <c r="T27" i="2"/>
  <c r="T17" i="2"/>
  <c r="Q22" i="1"/>
  <c r="Q138" i="1"/>
  <c r="Q200" i="1" s="1"/>
  <c r="S188" i="3"/>
  <c r="T23" i="4"/>
  <c r="P146" i="1"/>
  <c r="P208" i="1"/>
  <c r="Q146" i="1"/>
  <c r="Q208" i="1"/>
  <c r="Q131" i="1"/>
  <c r="Q193" i="1"/>
  <c r="P131" i="1"/>
  <c r="P193" i="1"/>
  <c r="X68" i="3"/>
  <c r="M25" i="2"/>
  <c r="M523" i="2"/>
  <c r="M15" i="2"/>
  <c r="M527" i="2"/>
  <c r="M22" i="2"/>
  <c r="J28" i="1"/>
  <c r="J131" i="1"/>
  <c r="J193" i="1"/>
  <c r="T33" i="2"/>
  <c r="M191" i="2"/>
  <c r="M190" i="2"/>
  <c r="S21" i="2"/>
  <c r="S42" i="2"/>
  <c r="T21" i="2"/>
  <c r="T42" i="2"/>
  <c r="M207" i="9"/>
  <c r="T14" i="2"/>
  <c r="Q544" i="2"/>
  <c r="R536" i="2"/>
  <c r="R544" i="2"/>
  <c r="S536" i="2"/>
  <c r="S544" i="2"/>
  <c r="T536" i="2"/>
  <c r="T544" i="2"/>
  <c r="S572" i="2"/>
  <c r="T572" i="2"/>
  <c r="T10" i="2"/>
  <c r="S33" i="2"/>
  <c r="S525" i="2"/>
  <c r="T521" i="2"/>
  <c r="T563" i="2"/>
  <c r="R40" i="10"/>
  <c r="T525" i="2"/>
  <c r="Q536" i="2"/>
  <c r="M51" i="2"/>
  <c r="M31" i="2"/>
  <c r="M534" i="2"/>
  <c r="M34" i="2"/>
  <c r="J43" i="1"/>
  <c r="J146" i="1"/>
  <c r="J208" i="1"/>
  <c r="M614" i="2"/>
  <c r="M613" i="2"/>
  <c r="M567" i="2"/>
  <c r="M566" i="2"/>
  <c r="M598" i="2"/>
  <c r="M597" i="2"/>
  <c r="M642" i="2"/>
  <c r="M641" i="2"/>
  <c r="M694" i="2"/>
  <c r="M693" i="2"/>
  <c r="S529" i="2"/>
  <c r="S532" i="2"/>
  <c r="T529" i="2"/>
  <c r="T532" i="2"/>
  <c r="S521" i="2"/>
  <c r="T585" i="2"/>
  <c r="T584" i="2"/>
  <c r="S585" i="2"/>
  <c r="S584" i="2"/>
  <c r="R563" i="2"/>
  <c r="P40" i="10"/>
  <c r="T426" i="2"/>
  <c r="T50" i="2"/>
  <c r="S50" i="2"/>
  <c r="M575" i="2"/>
  <c r="Q126" i="1"/>
  <c r="Q187" i="1" s="1"/>
  <c r="Q145" i="1"/>
  <c r="Q207" i="1" s="1"/>
  <c r="P145" i="1"/>
  <c r="P207" i="1"/>
  <c r="T24" i="2"/>
  <c r="Q38" i="1"/>
  <c r="P38" i="1"/>
  <c r="P139" i="1"/>
  <c r="P201" i="1" s="1"/>
  <c r="P127" i="1"/>
  <c r="P188" i="1" s="1"/>
  <c r="S24" i="2"/>
  <c r="T13" i="2"/>
  <c r="T12" i="2" s="1"/>
  <c r="P138" i="1"/>
  <c r="P200" i="1"/>
  <c r="X58" i="3"/>
  <c r="T19" i="2"/>
  <c r="S528" i="2"/>
  <c r="S19" i="2"/>
  <c r="S30" i="2"/>
  <c r="T520" i="2"/>
  <c r="T9" i="2"/>
  <c r="T30" i="2"/>
  <c r="S520" i="2"/>
  <c r="T528" i="2"/>
  <c r="T36" i="2"/>
  <c r="T581" i="2"/>
  <c r="S581" i="2"/>
  <c r="S36" i="2"/>
  <c r="S44" i="2"/>
  <c r="T44" i="2"/>
  <c r="T23" i="2"/>
  <c r="S23" i="2"/>
  <c r="M201" i="3"/>
  <c r="M147" i="3"/>
  <c r="K24" i="10"/>
  <c r="K23" i="10"/>
  <c r="M48" i="3"/>
  <c r="M39" i="3"/>
  <c r="M46" i="3"/>
  <c r="M45" i="3" s="1"/>
  <c r="M101" i="3"/>
  <c r="M56" i="6"/>
  <c r="M51" i="6"/>
  <c r="M54" i="6"/>
  <c r="E16" i="6"/>
  <c r="E243" i="6"/>
  <c r="E242" i="6"/>
  <c r="E241" i="6" s="1"/>
  <c r="P243" i="6"/>
  <c r="P242" i="6" s="1"/>
  <c r="P241" i="6" s="1"/>
  <c r="Q243" i="6"/>
  <c r="Q242" i="6"/>
  <c r="Q241" i="6" s="1"/>
  <c r="R243" i="6"/>
  <c r="R242" i="6" s="1"/>
  <c r="R241" i="6" s="1"/>
  <c r="S243" i="6"/>
  <c r="S242" i="6" s="1"/>
  <c r="S241" i="6" s="1"/>
  <c r="T243" i="6"/>
  <c r="T242" i="6" s="1"/>
  <c r="T241" i="6" s="1"/>
  <c r="G243" i="6"/>
  <c r="G242" i="6" s="1"/>
  <c r="G241" i="6" s="1"/>
  <c r="H243" i="6"/>
  <c r="H242" i="6" s="1"/>
  <c r="H241" i="6" s="1"/>
  <c r="I243" i="6"/>
  <c r="I242" i="6"/>
  <c r="I241" i="6" s="1"/>
  <c r="K243" i="6"/>
  <c r="K242" i="6" s="1"/>
  <c r="K241" i="6" s="1"/>
  <c r="L243" i="6"/>
  <c r="L242" i="6"/>
  <c r="L241" i="6" s="1"/>
  <c r="N243" i="6"/>
  <c r="N242" i="6" s="1"/>
  <c r="N241" i="6" s="1"/>
  <c r="O243" i="6"/>
  <c r="O242" i="6"/>
  <c r="O241" i="6" s="1"/>
  <c r="F243" i="6"/>
  <c r="F242" i="6" s="1"/>
  <c r="F241" i="6" s="1"/>
  <c r="E240" i="6"/>
  <c r="E239" i="6"/>
  <c r="K240" i="6"/>
  <c r="L240" i="6"/>
  <c r="F240" i="6"/>
  <c r="G240" i="6"/>
  <c r="H240" i="6"/>
  <c r="I240" i="6"/>
  <c r="T258" i="6"/>
  <c r="T257" i="6"/>
  <c r="Q102" i="1" s="1"/>
  <c r="Q101" i="1" s="1"/>
  <c r="S258" i="6"/>
  <c r="S257" i="6" s="1"/>
  <c r="P102" i="1" s="1"/>
  <c r="P101" i="1" s="1"/>
  <c r="R258" i="6"/>
  <c r="R257" i="6" s="1"/>
  <c r="O102" i="1" s="1"/>
  <c r="Q258" i="6"/>
  <c r="Q257" i="6" s="1"/>
  <c r="N102" i="1" s="1"/>
  <c r="P258" i="6"/>
  <c r="P257" i="6" s="1"/>
  <c r="M102" i="1" s="1"/>
  <c r="T254" i="6"/>
  <c r="T253" i="6"/>
  <c r="S254" i="6"/>
  <c r="S253" i="6"/>
  <c r="R254" i="6"/>
  <c r="R253" i="6"/>
  <c r="Q254" i="6"/>
  <c r="Q253" i="6"/>
  <c r="P254" i="6"/>
  <c r="P253" i="6"/>
  <c r="Q240" i="6"/>
  <c r="R240" i="6"/>
  <c r="O125" i="1"/>
  <c r="O191" i="1" s="1"/>
  <c r="S240" i="6"/>
  <c r="P125" i="1"/>
  <c r="P191" i="1" s="1"/>
  <c r="T240" i="6"/>
  <c r="Q125" i="1"/>
  <c r="Q191" i="1" s="1"/>
  <c r="T239" i="6"/>
  <c r="Q65" i="1"/>
  <c r="S238" i="6"/>
  <c r="S237" i="6"/>
  <c r="S236" i="6"/>
  <c r="P61" i="1"/>
  <c r="T236" i="6"/>
  <c r="Q61" i="1"/>
  <c r="R78" i="6"/>
  <c r="R71" i="6"/>
  <c r="S71" i="6"/>
  <c r="T71" i="6"/>
  <c r="R73" i="6"/>
  <c r="S73" i="6"/>
  <c r="T73" i="6"/>
  <c r="R76" i="6"/>
  <c r="R75" i="6" s="1"/>
  <c r="S76" i="6"/>
  <c r="T76" i="6"/>
  <c r="S78" i="6"/>
  <c r="T78" i="6"/>
  <c r="S67" i="6"/>
  <c r="T67" i="6"/>
  <c r="S65" i="6"/>
  <c r="T65" i="6"/>
  <c r="S64" i="6"/>
  <c r="T64" i="6"/>
  <c r="S62" i="6"/>
  <c r="T62" i="6"/>
  <c r="S60" i="6"/>
  <c r="S59" i="6"/>
  <c r="T60" i="6"/>
  <c r="T59" i="6"/>
  <c r="T56" i="6"/>
  <c r="S56" i="6"/>
  <c r="T54" i="6"/>
  <c r="S54" i="6"/>
  <c r="T53" i="6"/>
  <c r="S53" i="6"/>
  <c r="T51" i="6"/>
  <c r="S51" i="6"/>
  <c r="T49" i="6"/>
  <c r="S49" i="6"/>
  <c r="T48" i="6"/>
  <c r="S48" i="6"/>
  <c r="T38" i="6"/>
  <c r="T45" i="6"/>
  <c r="S45" i="6"/>
  <c r="R45" i="6"/>
  <c r="Q45" i="6"/>
  <c r="T43" i="6"/>
  <c r="S43" i="6"/>
  <c r="R43" i="6"/>
  <c r="Q43" i="6"/>
  <c r="T42" i="6"/>
  <c r="S42" i="6"/>
  <c r="R42" i="6"/>
  <c r="Q42" i="6"/>
  <c r="T40" i="6"/>
  <c r="S40" i="6"/>
  <c r="R40" i="6"/>
  <c r="Q40" i="6"/>
  <c r="S38" i="6"/>
  <c r="R38" i="6"/>
  <c r="Q38" i="6"/>
  <c r="T34" i="6"/>
  <c r="T33" i="6"/>
  <c r="S34" i="6"/>
  <c r="S33" i="6"/>
  <c r="R34" i="6"/>
  <c r="R33" i="6"/>
  <c r="Q34" i="6"/>
  <c r="Q33" i="6"/>
  <c r="T31" i="6"/>
  <c r="S31" i="6"/>
  <c r="R31" i="6"/>
  <c r="Q31" i="6"/>
  <c r="T28" i="6"/>
  <c r="S28" i="6"/>
  <c r="R28" i="6"/>
  <c r="Q28" i="6"/>
  <c r="T250" i="6"/>
  <c r="T249" i="6"/>
  <c r="T235" i="6"/>
  <c r="S250" i="6"/>
  <c r="S249" i="6"/>
  <c r="S235" i="6"/>
  <c r="R251" i="6"/>
  <c r="R239" i="6"/>
  <c r="O65" i="1"/>
  <c r="N125" i="1"/>
  <c r="N191" i="1" s="1"/>
  <c r="X240" i="6"/>
  <c r="Q20" i="10"/>
  <c r="T37" i="6"/>
  <c r="R20" i="10"/>
  <c r="S22" i="6"/>
  <c r="R238" i="6"/>
  <c r="R237" i="6"/>
  <c r="Q64" i="1"/>
  <c r="Q63" i="1" s="1"/>
  <c r="Q85" i="1" s="1"/>
  <c r="R37" i="6"/>
  <c r="Q37" i="6"/>
  <c r="S37" i="6"/>
  <c r="Q19" i="10"/>
  <c r="T75" i="6"/>
  <c r="M53" i="6"/>
  <c r="R70" i="6"/>
  <c r="S75" i="6"/>
  <c r="S70" i="6"/>
  <c r="E92" i="5"/>
  <c r="E75" i="5"/>
  <c r="E73" i="5"/>
  <c r="I92" i="5"/>
  <c r="I75" i="5"/>
  <c r="I73" i="5"/>
  <c r="J92" i="5"/>
  <c r="J75" i="5"/>
  <c r="J73" i="5"/>
  <c r="N113" i="5"/>
  <c r="N75" i="5"/>
  <c r="N73" i="5"/>
  <c r="R19" i="10"/>
  <c r="Q251" i="6"/>
  <c r="X251" i="6"/>
  <c r="X250" i="6"/>
  <c r="X249" i="6"/>
  <c r="N251" i="6"/>
  <c r="Q239" i="6"/>
  <c r="X239" i="6"/>
  <c r="N32" i="8"/>
  <c r="K44" i="1"/>
  <c r="N21" i="8"/>
  <c r="K30" i="1"/>
  <c r="K130" i="1"/>
  <c r="K192" i="1"/>
  <c r="N82" i="5"/>
  <c r="K142" i="1"/>
  <c r="K204" i="1"/>
  <c r="X614" i="2"/>
  <c r="X613" i="2"/>
  <c r="X686" i="2"/>
  <c r="X685" i="2"/>
  <c r="X678" i="2"/>
  <c r="X677" i="2"/>
  <c r="X670" i="2"/>
  <c r="X669" i="2"/>
  <c r="O37" i="9"/>
  <c r="O36" i="9" s="1"/>
  <c r="X582" i="2"/>
  <c r="X583" i="2"/>
  <c r="X581" i="2"/>
  <c r="N20" i="6"/>
  <c r="N26" i="6"/>
  <c r="R25" i="6"/>
  <c r="Q22" i="6"/>
  <c r="O22" i="6"/>
  <c r="Q67" i="6"/>
  <c r="Q112" i="9"/>
  <c r="R67" i="6"/>
  <c r="Q62" i="6"/>
  <c r="R62" i="6"/>
  <c r="Q65" i="6"/>
  <c r="Q64" i="6"/>
  <c r="R65" i="6"/>
  <c r="Q60" i="6"/>
  <c r="R60" i="6"/>
  <c r="P67" i="6"/>
  <c r="O67" i="6"/>
  <c r="N67" i="6"/>
  <c r="P65" i="6"/>
  <c r="O65" i="6"/>
  <c r="N65" i="6"/>
  <c r="P62" i="6"/>
  <c r="O62" i="6"/>
  <c r="N62" i="6"/>
  <c r="P60" i="6"/>
  <c r="O60" i="6"/>
  <c r="N60" i="6"/>
  <c r="L60" i="6"/>
  <c r="K60" i="6"/>
  <c r="J60" i="6"/>
  <c r="I60" i="6"/>
  <c r="H60" i="6"/>
  <c r="G60" i="6"/>
  <c r="F60" i="6"/>
  <c r="E60" i="6"/>
  <c r="E51" i="6"/>
  <c r="F51" i="6"/>
  <c r="G51" i="6"/>
  <c r="D56" i="6"/>
  <c r="D54" i="6"/>
  <c r="Q56" i="6"/>
  <c r="R56" i="6"/>
  <c r="Q54" i="6"/>
  <c r="Q53" i="6"/>
  <c r="R54" i="6"/>
  <c r="R53" i="6"/>
  <c r="D51" i="6"/>
  <c r="Q51" i="6"/>
  <c r="R51" i="6"/>
  <c r="Q49" i="6"/>
  <c r="R49" i="6"/>
  <c r="R59" i="6"/>
  <c r="Q48" i="6"/>
  <c r="Q59" i="6"/>
  <c r="O59" i="6"/>
  <c r="N59" i="6"/>
  <c r="P59" i="6"/>
  <c r="G64" i="6"/>
  <c r="P64" i="6"/>
  <c r="E59" i="6"/>
  <c r="G59" i="6"/>
  <c r="I59" i="6"/>
  <c r="F59" i="6"/>
  <c r="F64" i="6"/>
  <c r="J64" i="6"/>
  <c r="L64" i="6"/>
  <c r="O64" i="6"/>
  <c r="H64" i="6"/>
  <c r="H59" i="6"/>
  <c r="K64" i="6"/>
  <c r="K59" i="6"/>
  <c r="J59" i="6"/>
  <c r="L59" i="6"/>
  <c r="N64" i="6"/>
  <c r="E64" i="6"/>
  <c r="R48" i="6"/>
  <c r="P19" i="10"/>
  <c r="P56" i="6"/>
  <c r="O56" i="6"/>
  <c r="N56" i="6"/>
  <c r="L56" i="6"/>
  <c r="K56" i="6"/>
  <c r="J56" i="6"/>
  <c r="I56" i="6"/>
  <c r="H56" i="6"/>
  <c r="G56" i="6"/>
  <c r="F56" i="6"/>
  <c r="E56" i="6"/>
  <c r="P54" i="6"/>
  <c r="O54" i="6"/>
  <c r="N54" i="6"/>
  <c r="L54" i="6"/>
  <c r="K54" i="6"/>
  <c r="J54" i="6"/>
  <c r="I54" i="6"/>
  <c r="H54" i="6"/>
  <c r="G54" i="6"/>
  <c r="F54" i="6"/>
  <c r="H51" i="6"/>
  <c r="P51" i="6"/>
  <c r="O51" i="6"/>
  <c r="N51" i="6"/>
  <c r="L51" i="6"/>
  <c r="K51" i="6"/>
  <c r="J51" i="6"/>
  <c r="I51" i="6"/>
  <c r="P49" i="6"/>
  <c r="O49" i="6"/>
  <c r="N49" i="6"/>
  <c r="L49" i="6"/>
  <c r="K49" i="6"/>
  <c r="J49" i="6"/>
  <c r="I49" i="6"/>
  <c r="H49" i="6"/>
  <c r="G49" i="6"/>
  <c r="G48" i="6"/>
  <c r="F49" i="6"/>
  <c r="F48" i="6"/>
  <c r="E49" i="6"/>
  <c r="E48" i="6"/>
  <c r="O19" i="10"/>
  <c r="F53" i="6"/>
  <c r="J53" i="6"/>
  <c r="L53" i="6"/>
  <c r="O53" i="6"/>
  <c r="I53" i="6"/>
  <c r="P53" i="6"/>
  <c r="G53" i="6"/>
  <c r="K53" i="6"/>
  <c r="N53" i="6"/>
  <c r="P48" i="6"/>
  <c r="H53" i="6"/>
  <c r="I48" i="6"/>
  <c r="H48" i="6"/>
  <c r="K48" i="6"/>
  <c r="L48" i="6"/>
  <c r="N48" i="6"/>
  <c r="O48" i="6"/>
  <c r="J48" i="6"/>
  <c r="E54" i="6"/>
  <c r="E53" i="6"/>
  <c r="O12" i="9"/>
  <c r="N85" i="4"/>
  <c r="O46" i="4"/>
  <c r="O42" i="4"/>
  <c r="O41" i="4" s="1"/>
  <c r="O49" i="4"/>
  <c r="O51" i="4"/>
  <c r="O48" i="4" s="1"/>
  <c r="Q77" i="8"/>
  <c r="Q75" i="8"/>
  <c r="Q74" i="8"/>
  <c r="O78" i="8"/>
  <c r="L23" i="10"/>
  <c r="O20" i="3"/>
  <c r="O19" i="3" s="1"/>
  <c r="O14" i="3"/>
  <c r="N14" i="3"/>
  <c r="N20" i="3"/>
  <c r="N19" i="3" s="1"/>
  <c r="N18" i="3" s="1"/>
  <c r="L24" i="10"/>
  <c r="N46" i="5"/>
  <c r="O75" i="5"/>
  <c r="O73" i="5"/>
  <c r="O398" i="2"/>
  <c r="O70" i="2"/>
  <c r="D46" i="5"/>
  <c r="D17" i="5"/>
  <c r="M45" i="5"/>
  <c r="M44" i="5"/>
  <c r="N26" i="8"/>
  <c r="K36" i="1"/>
  <c r="N16" i="8"/>
  <c r="K20" i="1"/>
  <c r="N89" i="8"/>
  <c r="M89" i="8"/>
  <c r="D89" i="8"/>
  <c r="N87" i="8"/>
  <c r="N84" i="8"/>
  <c r="N82" i="8"/>
  <c r="N76" i="8"/>
  <c r="N73" i="8"/>
  <c r="N71" i="8"/>
  <c r="X13" i="8"/>
  <c r="X70" i="8"/>
  <c r="M197" i="8"/>
  <c r="M196" i="8"/>
  <c r="M201" i="8"/>
  <c r="M200" i="8"/>
  <c r="N94" i="8"/>
  <c r="N20" i="8"/>
  <c r="X72" i="8"/>
  <c r="X22" i="8"/>
  <c r="X18" i="8"/>
  <c r="X12" i="8"/>
  <c r="M88" i="8"/>
  <c r="N100" i="8"/>
  <c r="N31" i="8"/>
  <c r="D47" i="7"/>
  <c r="X69" i="8"/>
  <c r="R57" i="7"/>
  <c r="Q57" i="7"/>
  <c r="P57" i="7"/>
  <c r="J57" i="7"/>
  <c r="I57" i="7"/>
  <c r="H57" i="7"/>
  <c r="G57" i="7"/>
  <c r="F57" i="7"/>
  <c r="E57" i="7"/>
  <c r="O57" i="7"/>
  <c r="N57" i="7"/>
  <c r="D66" i="7"/>
  <c r="M65" i="7"/>
  <c r="D61" i="7"/>
  <c r="M60" i="7"/>
  <c r="N15" i="6"/>
  <c r="O47" i="13"/>
  <c r="O45" i="13"/>
  <c r="M13" i="13"/>
  <c r="O44" i="13"/>
  <c r="D16" i="13"/>
  <c r="M38" i="13"/>
  <c r="M47" i="13"/>
  <c r="M44" i="13"/>
  <c r="M11" i="13"/>
  <c r="M36" i="13"/>
  <c r="M41" i="13"/>
  <c r="O90" i="4"/>
  <c r="P90" i="4"/>
  <c r="Q90" i="4"/>
  <c r="R90" i="4"/>
  <c r="N90" i="4"/>
  <c r="M35" i="13"/>
  <c r="D14" i="13"/>
  <c r="D13" i="13"/>
  <c r="M40" i="13"/>
  <c r="L67" i="1"/>
  <c r="K67" i="1"/>
  <c r="O64" i="4"/>
  <c r="N64" i="4"/>
  <c r="H113" i="13"/>
  <c r="L52" i="13"/>
  <c r="L49" i="13"/>
  <c r="K52" i="13"/>
  <c r="K49" i="13"/>
  <c r="J52" i="13"/>
  <c r="J49" i="13"/>
  <c r="I52" i="13"/>
  <c r="H52" i="13"/>
  <c r="G52" i="13"/>
  <c r="F52" i="13"/>
  <c r="E52" i="13"/>
  <c r="D52" i="13"/>
  <c r="D49" i="13"/>
  <c r="I49" i="13"/>
  <c r="H49" i="13"/>
  <c r="G49" i="13"/>
  <c r="F49" i="13"/>
  <c r="E49" i="13"/>
  <c r="N47" i="13"/>
  <c r="L47" i="13"/>
  <c r="K47" i="13"/>
  <c r="J47" i="13"/>
  <c r="I47" i="13"/>
  <c r="H47" i="13"/>
  <c r="G47" i="13"/>
  <c r="F47" i="13"/>
  <c r="E47" i="13"/>
  <c r="D47" i="13"/>
  <c r="D46" i="13"/>
  <c r="N45" i="13"/>
  <c r="L45" i="13"/>
  <c r="K45" i="13"/>
  <c r="K44" i="13"/>
  <c r="K11" i="13"/>
  <c r="J45" i="13"/>
  <c r="I45" i="13"/>
  <c r="I44" i="13"/>
  <c r="I11" i="13"/>
  <c r="H45" i="13"/>
  <c r="G45" i="13"/>
  <c r="G44" i="13"/>
  <c r="G11" i="13"/>
  <c r="F45" i="13"/>
  <c r="E45" i="13"/>
  <c r="E44" i="13"/>
  <c r="E11" i="13"/>
  <c r="D45" i="13"/>
  <c r="N44" i="13"/>
  <c r="N11" i="13"/>
  <c r="D41" i="13"/>
  <c r="D40" i="13"/>
  <c r="O41" i="13"/>
  <c r="N41" i="13"/>
  <c r="N40" i="13"/>
  <c r="L41" i="13"/>
  <c r="L40" i="13"/>
  <c r="K41" i="13"/>
  <c r="K40" i="13"/>
  <c r="J41" i="13"/>
  <c r="J40" i="13"/>
  <c r="I41" i="13"/>
  <c r="I40" i="13"/>
  <c r="H41" i="13"/>
  <c r="H40" i="13"/>
  <c r="G41" i="13"/>
  <c r="G40" i="13"/>
  <c r="F41" i="13"/>
  <c r="F40" i="13"/>
  <c r="E41" i="13"/>
  <c r="E40" i="13"/>
  <c r="O40" i="13"/>
  <c r="O38" i="13"/>
  <c r="N38" i="13"/>
  <c r="L38" i="13"/>
  <c r="K38" i="13"/>
  <c r="J38" i="13"/>
  <c r="I38" i="13"/>
  <c r="H38" i="13"/>
  <c r="G38" i="13"/>
  <c r="F38" i="13"/>
  <c r="E38" i="13"/>
  <c r="D38" i="13"/>
  <c r="O36" i="13"/>
  <c r="N36" i="13"/>
  <c r="L36" i="13"/>
  <c r="K36" i="13"/>
  <c r="J36" i="13"/>
  <c r="J35" i="13"/>
  <c r="I36" i="13"/>
  <c r="H36" i="13"/>
  <c r="G36" i="13"/>
  <c r="F36" i="13"/>
  <c r="E36" i="13"/>
  <c r="D36" i="13"/>
  <c r="O32" i="13"/>
  <c r="N32" i="13"/>
  <c r="N31" i="13"/>
  <c r="L32" i="13"/>
  <c r="L31" i="13"/>
  <c r="J33" i="10"/>
  <c r="K32" i="13"/>
  <c r="K31" i="13"/>
  <c r="I33" i="10"/>
  <c r="J32" i="13"/>
  <c r="J31" i="13"/>
  <c r="H33" i="10"/>
  <c r="I32" i="13"/>
  <c r="I31" i="13"/>
  <c r="G33" i="10"/>
  <c r="H32" i="13"/>
  <c r="H31" i="13"/>
  <c r="G32" i="13"/>
  <c r="G31" i="13"/>
  <c r="F32" i="13"/>
  <c r="F31" i="13"/>
  <c r="E32" i="13"/>
  <c r="E31" i="13"/>
  <c r="C33" i="10"/>
  <c r="K29" i="13"/>
  <c r="L29" i="13"/>
  <c r="J29" i="13"/>
  <c r="I29" i="13"/>
  <c r="H29" i="13"/>
  <c r="G29" i="13"/>
  <c r="F29" i="13"/>
  <c r="E29" i="13"/>
  <c r="L27" i="13"/>
  <c r="K27" i="13"/>
  <c r="J27" i="13"/>
  <c r="I27" i="13"/>
  <c r="H27" i="13"/>
  <c r="G27" i="13"/>
  <c r="F27" i="13"/>
  <c r="E27" i="13"/>
  <c r="D22" i="13"/>
  <c r="D19" i="13"/>
  <c r="L22" i="13"/>
  <c r="L19" i="13"/>
  <c r="K22" i="13"/>
  <c r="K19" i="13"/>
  <c r="J22" i="13"/>
  <c r="J19" i="13"/>
  <c r="I22" i="13"/>
  <c r="I19" i="13"/>
  <c r="H22" i="13"/>
  <c r="H19" i="13"/>
  <c r="G22" i="13"/>
  <c r="G19" i="13"/>
  <c r="F22" i="13"/>
  <c r="F19" i="13"/>
  <c r="E22" i="13"/>
  <c r="E19" i="13"/>
  <c r="J16" i="13"/>
  <c r="I16" i="13"/>
  <c r="H16" i="13"/>
  <c r="G16" i="13"/>
  <c r="F16" i="13"/>
  <c r="E16" i="13"/>
  <c r="L16" i="13"/>
  <c r="K16" i="13"/>
  <c r="N13" i="13"/>
  <c r="L13" i="13"/>
  <c r="K13" i="13"/>
  <c r="J13" i="13"/>
  <c r="I13" i="13"/>
  <c r="H13" i="13"/>
  <c r="G13" i="13"/>
  <c r="F13" i="13"/>
  <c r="E13" i="13"/>
  <c r="Q11" i="13"/>
  <c r="P11" i="13"/>
  <c r="O11" i="13"/>
  <c r="P9" i="13"/>
  <c r="Q9" i="13"/>
  <c r="X11" i="13"/>
  <c r="O31" i="13"/>
  <c r="F44" i="13"/>
  <c r="F11" i="13"/>
  <c r="H44" i="13"/>
  <c r="H11" i="13"/>
  <c r="O16" i="13"/>
  <c r="F35" i="13"/>
  <c r="O22" i="13"/>
  <c r="O19" i="13"/>
  <c r="J44" i="13"/>
  <c r="J11" i="13"/>
  <c r="H26" i="13"/>
  <c r="K12" i="13"/>
  <c r="E12" i="13"/>
  <c r="G12" i="13"/>
  <c r="I12" i="13"/>
  <c r="H35" i="13"/>
  <c r="L35" i="13"/>
  <c r="O35" i="13"/>
  <c r="E35" i="13"/>
  <c r="G35" i="13"/>
  <c r="I35" i="13"/>
  <c r="K35" i="13"/>
  <c r="N35" i="13"/>
  <c r="F26" i="13"/>
  <c r="L44" i="13"/>
  <c r="L11" i="13"/>
  <c r="D32" i="10"/>
  <c r="H12" i="13"/>
  <c r="E26" i="13"/>
  <c r="G26" i="13"/>
  <c r="F12" i="13"/>
  <c r="I26" i="13"/>
  <c r="J26" i="13"/>
  <c r="J12" i="13"/>
  <c r="L12" i="13"/>
  <c r="L26" i="13"/>
  <c r="K26" i="13"/>
  <c r="K10" i="13"/>
  <c r="O12" i="13"/>
  <c r="D27" i="13"/>
  <c r="D29" i="13"/>
  <c r="D32" i="13"/>
  <c r="D31" i="13"/>
  <c r="M32" i="13"/>
  <c r="M22" i="13"/>
  <c r="M19" i="13"/>
  <c r="D44" i="13"/>
  <c r="D11" i="13"/>
  <c r="N22" i="13"/>
  <c r="N19" i="13"/>
  <c r="N16" i="13"/>
  <c r="N12" i="13"/>
  <c r="D35" i="13"/>
  <c r="E15" i="10"/>
  <c r="D15" i="10"/>
  <c r="L206" i="9"/>
  <c r="J206" i="9"/>
  <c r="Q211" i="9"/>
  <c r="Q208" i="9"/>
  <c r="P211" i="9"/>
  <c r="P208" i="9"/>
  <c r="O211" i="9"/>
  <c r="O208" i="9"/>
  <c r="N207" i="9"/>
  <c r="L211" i="9"/>
  <c r="K211" i="9"/>
  <c r="J211" i="9"/>
  <c r="I211" i="9"/>
  <c r="H211" i="9"/>
  <c r="G211" i="9"/>
  <c r="F211" i="9"/>
  <c r="F208" i="9"/>
  <c r="F207" i="9"/>
  <c r="E211" i="9"/>
  <c r="Q207" i="9"/>
  <c r="P207" i="9"/>
  <c r="X204" i="9"/>
  <c r="K206" i="9"/>
  <c r="I206" i="9"/>
  <c r="E206" i="9"/>
  <c r="N204" i="9"/>
  <c r="G204" i="9"/>
  <c r="P204" i="9"/>
  <c r="P112" i="9"/>
  <c r="O112" i="9"/>
  <c r="N112" i="9"/>
  <c r="N111" i="9" s="1"/>
  <c r="L112" i="9"/>
  <c r="L111" i="9" s="1"/>
  <c r="K112" i="9"/>
  <c r="K111" i="9" s="1"/>
  <c r="J112" i="9"/>
  <c r="J111" i="9" s="1"/>
  <c r="I112" i="9"/>
  <c r="I111" i="9" s="1"/>
  <c r="H112" i="9"/>
  <c r="H111" i="9" s="1"/>
  <c r="G112" i="9"/>
  <c r="G111" i="9" s="1"/>
  <c r="F112" i="9"/>
  <c r="F111" i="9" s="1"/>
  <c r="E112" i="9"/>
  <c r="E111" i="9" s="1"/>
  <c r="D112" i="9"/>
  <c r="D111" i="9"/>
  <c r="O103" i="9"/>
  <c r="O102" i="9" s="1"/>
  <c r="N103" i="9"/>
  <c r="L103" i="9"/>
  <c r="L102" i="9" s="1"/>
  <c r="K103" i="9"/>
  <c r="K102" i="9" s="1"/>
  <c r="J103" i="9"/>
  <c r="J102" i="9" s="1"/>
  <c r="I103" i="9"/>
  <c r="H103" i="9"/>
  <c r="H102" i="9" s="1"/>
  <c r="G103" i="9"/>
  <c r="G102" i="9" s="1"/>
  <c r="F103" i="9"/>
  <c r="F102" i="9" s="1"/>
  <c r="E103" i="9"/>
  <c r="E102" i="9" s="1"/>
  <c r="Q85" i="9"/>
  <c r="Q84" i="9" s="1"/>
  <c r="P85" i="9"/>
  <c r="O85" i="9"/>
  <c r="O84" i="9" s="1"/>
  <c r="N85" i="9"/>
  <c r="N84" i="9" s="1"/>
  <c r="L85" i="9"/>
  <c r="L84" i="9" s="1"/>
  <c r="K85" i="9"/>
  <c r="K84" i="9" s="1"/>
  <c r="J85" i="9"/>
  <c r="J84" i="9" s="1"/>
  <c r="I85" i="9"/>
  <c r="H85" i="9"/>
  <c r="H84" i="9" s="1"/>
  <c r="G85" i="9"/>
  <c r="G84" i="9" s="1"/>
  <c r="F85" i="9"/>
  <c r="F84" i="9" s="1"/>
  <c r="E85" i="9"/>
  <c r="E84" i="9" s="1"/>
  <c r="O76" i="9"/>
  <c r="O75" i="9" s="1"/>
  <c r="D76" i="9"/>
  <c r="D75" i="9"/>
  <c r="Q76" i="9"/>
  <c r="Q75" i="9" s="1"/>
  <c r="P76" i="9"/>
  <c r="P75" i="9" s="1"/>
  <c r="N76" i="9"/>
  <c r="N75" i="9" s="1"/>
  <c r="L76" i="9"/>
  <c r="L75" i="9" s="1"/>
  <c r="K76" i="9"/>
  <c r="K75" i="9" s="1"/>
  <c r="J76" i="9"/>
  <c r="I76" i="9"/>
  <c r="I75" i="9" s="1"/>
  <c r="H76" i="9"/>
  <c r="H75" i="9" s="1"/>
  <c r="G76" i="9"/>
  <c r="G75" i="9" s="1"/>
  <c r="F76" i="9"/>
  <c r="F75" i="9" s="1"/>
  <c r="E76" i="9"/>
  <c r="E75" i="9" s="1"/>
  <c r="J75" i="9"/>
  <c r="Q69" i="9"/>
  <c r="Q68" i="9" s="1"/>
  <c r="P69" i="9"/>
  <c r="P68" i="9" s="1"/>
  <c r="N69" i="9"/>
  <c r="N68" i="9" s="1"/>
  <c r="L69" i="9"/>
  <c r="L68" i="9" s="1"/>
  <c r="K69" i="9"/>
  <c r="K68" i="9" s="1"/>
  <c r="J69" i="9"/>
  <c r="J68" i="9" s="1"/>
  <c r="I69" i="9"/>
  <c r="I68" i="9" s="1"/>
  <c r="H69" i="9"/>
  <c r="H68" i="9" s="1"/>
  <c r="G69" i="9"/>
  <c r="G68" i="9" s="1"/>
  <c r="F69" i="9"/>
  <c r="F68" i="9" s="1"/>
  <c r="E69" i="9"/>
  <c r="E68" i="9" s="1"/>
  <c r="O62" i="9"/>
  <c r="O61" i="9" s="1"/>
  <c r="Q62" i="9"/>
  <c r="Q61" i="9" s="1"/>
  <c r="P62" i="9"/>
  <c r="P61" i="9" s="1"/>
  <c r="N62" i="9"/>
  <c r="N61" i="9" s="1"/>
  <c r="J62" i="9"/>
  <c r="J61" i="9" s="1"/>
  <c r="I62" i="9"/>
  <c r="I61" i="9" s="1"/>
  <c r="H62" i="9"/>
  <c r="H61" i="9" s="1"/>
  <c r="G62" i="9"/>
  <c r="G61" i="9" s="1"/>
  <c r="F62" i="9"/>
  <c r="F61" i="9" s="1"/>
  <c r="E62" i="9"/>
  <c r="E61" i="9" s="1"/>
  <c r="L53" i="9"/>
  <c r="L52" i="9" s="1"/>
  <c r="O53" i="9"/>
  <c r="N53" i="9"/>
  <c r="N52" i="9" s="1"/>
  <c r="J53" i="9"/>
  <c r="J52" i="9" s="1"/>
  <c r="I53" i="9"/>
  <c r="I52" i="9" s="1"/>
  <c r="H53" i="9"/>
  <c r="H52" i="9" s="1"/>
  <c r="G53" i="9"/>
  <c r="G52" i="9" s="1"/>
  <c r="F53" i="9"/>
  <c r="F52" i="9" s="1"/>
  <c r="E53" i="9"/>
  <c r="E52" i="9" s="1"/>
  <c r="O52" i="9"/>
  <c r="O46" i="9"/>
  <c r="O45" i="9" s="1"/>
  <c r="Q46" i="9"/>
  <c r="P46" i="9"/>
  <c r="P45" i="9" s="1"/>
  <c r="N46" i="9"/>
  <c r="N45" i="9" s="1"/>
  <c r="K46" i="9"/>
  <c r="K45" i="9" s="1"/>
  <c r="J46" i="9"/>
  <c r="J45" i="9" s="1"/>
  <c r="I46" i="9"/>
  <c r="I45" i="9" s="1"/>
  <c r="H46" i="9"/>
  <c r="H45" i="9" s="1"/>
  <c r="G46" i="9"/>
  <c r="G45" i="9" s="1"/>
  <c r="F46" i="9"/>
  <c r="F45" i="9" s="1"/>
  <c r="E46" i="9"/>
  <c r="E45" i="9" s="1"/>
  <c r="Q45" i="9"/>
  <c r="K12" i="9"/>
  <c r="D37" i="9"/>
  <c r="D36" i="9"/>
  <c r="N37" i="9"/>
  <c r="N36" i="9" s="1"/>
  <c r="K99" i="1" s="1"/>
  <c r="L37" i="9"/>
  <c r="L36" i="9" s="1"/>
  <c r="K37" i="9"/>
  <c r="K36" i="9" s="1"/>
  <c r="H99" i="1" s="1"/>
  <c r="J37" i="9"/>
  <c r="J36" i="9" s="1"/>
  <c r="I37" i="9"/>
  <c r="I36" i="9" s="1"/>
  <c r="F99" i="1" s="1"/>
  <c r="H37" i="9"/>
  <c r="H36" i="9" s="1"/>
  <c r="G37" i="9"/>
  <c r="G36" i="9" s="1"/>
  <c r="D99" i="1" s="1"/>
  <c r="F37" i="9"/>
  <c r="F36" i="9" s="1"/>
  <c r="E37" i="9"/>
  <c r="E36" i="9" s="1"/>
  <c r="B99" i="1" s="1"/>
  <c r="O28" i="9"/>
  <c r="O27" i="9" s="1"/>
  <c r="K28" i="9"/>
  <c r="K27" i="9" s="1"/>
  <c r="J28" i="9"/>
  <c r="J27" i="9" s="1"/>
  <c r="N28" i="9"/>
  <c r="N27" i="9" s="1"/>
  <c r="I28" i="9"/>
  <c r="I27" i="9" s="1"/>
  <c r="H28" i="9"/>
  <c r="H27" i="9" s="1"/>
  <c r="G28" i="9"/>
  <c r="G27" i="9" s="1"/>
  <c r="E35" i="10" s="1"/>
  <c r="F28" i="9"/>
  <c r="F27" i="9" s="1"/>
  <c r="E28" i="9"/>
  <c r="E27" i="9" s="1"/>
  <c r="I18" i="9"/>
  <c r="I17" i="9" s="1"/>
  <c r="G18" i="9"/>
  <c r="G17" i="9" s="1"/>
  <c r="E18" i="9"/>
  <c r="E17" i="9" s="1"/>
  <c r="O14" i="9"/>
  <c r="O11" i="9" s="1"/>
  <c r="R12" i="9"/>
  <c r="Q12" i="9"/>
  <c r="I12" i="9"/>
  <c r="E12" i="9"/>
  <c r="H12" i="9"/>
  <c r="L201" i="8"/>
  <c r="L200" i="8"/>
  <c r="K201" i="8"/>
  <c r="K200" i="8"/>
  <c r="J201" i="8"/>
  <c r="J200" i="8"/>
  <c r="I201" i="8"/>
  <c r="I200" i="8"/>
  <c r="H201" i="8"/>
  <c r="H200" i="8"/>
  <c r="G201" i="8"/>
  <c r="F201" i="8"/>
  <c r="F200" i="8"/>
  <c r="E201" i="8"/>
  <c r="E200" i="8"/>
  <c r="D201" i="8"/>
  <c r="D200" i="8"/>
  <c r="G200" i="8"/>
  <c r="L197" i="8"/>
  <c r="K197" i="8"/>
  <c r="K196" i="8"/>
  <c r="J197" i="8"/>
  <c r="J196" i="8"/>
  <c r="I197" i="8"/>
  <c r="I196" i="8"/>
  <c r="H197" i="8"/>
  <c r="H196" i="8"/>
  <c r="G197" i="8"/>
  <c r="G196" i="8"/>
  <c r="F197" i="8"/>
  <c r="F196" i="8"/>
  <c r="E197" i="8"/>
  <c r="E196" i="8"/>
  <c r="L196" i="8"/>
  <c r="N213" i="8"/>
  <c r="K213" i="8"/>
  <c r="J213" i="8"/>
  <c r="I213" i="8"/>
  <c r="H213" i="8"/>
  <c r="G213" i="8"/>
  <c r="F213" i="8"/>
  <c r="E213" i="8"/>
  <c r="N212" i="8"/>
  <c r="K212" i="8"/>
  <c r="J212" i="8"/>
  <c r="I212" i="8"/>
  <c r="H212" i="8"/>
  <c r="G212" i="8"/>
  <c r="F212" i="8"/>
  <c r="E212" i="8"/>
  <c r="M211" i="8"/>
  <c r="M188" i="8"/>
  <c r="M183" i="8"/>
  <c r="K210" i="8"/>
  <c r="K209" i="8"/>
  <c r="K181" i="8"/>
  <c r="J210" i="8"/>
  <c r="J209" i="8"/>
  <c r="J181" i="8"/>
  <c r="I210" i="8"/>
  <c r="I209" i="8"/>
  <c r="I181" i="8"/>
  <c r="H210" i="8"/>
  <c r="H209" i="8"/>
  <c r="H181" i="8"/>
  <c r="G210" i="8"/>
  <c r="G209" i="8"/>
  <c r="G181" i="8"/>
  <c r="F210" i="8"/>
  <c r="F209" i="8"/>
  <c r="F181" i="8"/>
  <c r="E210" i="8"/>
  <c r="E209" i="8"/>
  <c r="E181" i="8"/>
  <c r="L79" i="1"/>
  <c r="U79" i="1" s="1"/>
  <c r="K79" i="1"/>
  <c r="H79" i="1"/>
  <c r="J194" i="8"/>
  <c r="G79" i="1"/>
  <c r="I194" i="8"/>
  <c r="F79" i="1"/>
  <c r="H194" i="8"/>
  <c r="E79" i="1"/>
  <c r="G194" i="8"/>
  <c r="D79" i="1"/>
  <c r="F194" i="8"/>
  <c r="C79" i="1"/>
  <c r="E194" i="8"/>
  <c r="B79" i="1"/>
  <c r="L81" i="1"/>
  <c r="K81" i="1"/>
  <c r="K141" i="1"/>
  <c r="K203" i="1" s="1"/>
  <c r="I81" i="1"/>
  <c r="H81" i="1"/>
  <c r="F81" i="1"/>
  <c r="D81" i="1"/>
  <c r="K66" i="1"/>
  <c r="I66" i="1"/>
  <c r="I127" i="1" s="1"/>
  <c r="H66" i="1"/>
  <c r="J188" i="8"/>
  <c r="I188" i="8"/>
  <c r="H188" i="8"/>
  <c r="G188" i="8"/>
  <c r="F188" i="8"/>
  <c r="E188" i="8"/>
  <c r="K72" i="1"/>
  <c r="K125" i="1" s="1"/>
  <c r="K191" i="1" s="1"/>
  <c r="H72" i="1"/>
  <c r="F72" i="1"/>
  <c r="D72" i="1"/>
  <c r="B72" i="1"/>
  <c r="K182" i="8"/>
  <c r="R179" i="8"/>
  <c r="Q179" i="8"/>
  <c r="D177" i="8"/>
  <c r="D176" i="8"/>
  <c r="L175" i="8"/>
  <c r="K175" i="8"/>
  <c r="J175" i="8"/>
  <c r="I175" i="8"/>
  <c r="E175" i="8"/>
  <c r="D174" i="8"/>
  <c r="D173" i="8"/>
  <c r="L172" i="8"/>
  <c r="K172" i="8"/>
  <c r="J172" i="8"/>
  <c r="I172" i="8"/>
  <c r="E172" i="8"/>
  <c r="D170" i="8"/>
  <c r="D169" i="8"/>
  <c r="L169" i="8"/>
  <c r="K169" i="8"/>
  <c r="J169" i="8"/>
  <c r="I169" i="8"/>
  <c r="H169" i="8"/>
  <c r="E169" i="8"/>
  <c r="D168" i="8"/>
  <c r="D167" i="8"/>
  <c r="L166" i="8"/>
  <c r="L165" i="8"/>
  <c r="K166" i="8"/>
  <c r="J166" i="8"/>
  <c r="J165" i="8"/>
  <c r="I166" i="8"/>
  <c r="H166" i="8"/>
  <c r="H165" i="8"/>
  <c r="G166" i="8"/>
  <c r="G165" i="8"/>
  <c r="F166" i="8"/>
  <c r="F165" i="8"/>
  <c r="E166" i="8"/>
  <c r="R162" i="8"/>
  <c r="Q162" i="8"/>
  <c r="P162" i="8"/>
  <c r="O162" i="8"/>
  <c r="N162" i="8"/>
  <c r="L162" i="8"/>
  <c r="K162" i="8"/>
  <c r="J162" i="8"/>
  <c r="I162" i="8"/>
  <c r="H162" i="8"/>
  <c r="G162" i="8"/>
  <c r="F162" i="8"/>
  <c r="E162" i="8"/>
  <c r="D162" i="8"/>
  <c r="D161" i="8"/>
  <c r="R159" i="8"/>
  <c r="Q159" i="8"/>
  <c r="P159" i="8"/>
  <c r="O159" i="8"/>
  <c r="N159" i="8"/>
  <c r="L159" i="8"/>
  <c r="K159" i="8"/>
  <c r="J159" i="8"/>
  <c r="I159" i="8"/>
  <c r="H159" i="8"/>
  <c r="G159" i="8"/>
  <c r="F159" i="8"/>
  <c r="E159" i="8"/>
  <c r="D159" i="8"/>
  <c r="R156" i="8"/>
  <c r="Q156" i="8"/>
  <c r="P156" i="8"/>
  <c r="O156" i="8"/>
  <c r="N156" i="8"/>
  <c r="L156" i="8"/>
  <c r="K156" i="8"/>
  <c r="J156" i="8"/>
  <c r="I156" i="8"/>
  <c r="H156" i="8"/>
  <c r="G156" i="8"/>
  <c r="F156" i="8"/>
  <c r="E156" i="8"/>
  <c r="D156" i="8"/>
  <c r="D153" i="8"/>
  <c r="R153" i="8"/>
  <c r="Q153" i="8"/>
  <c r="P153" i="8"/>
  <c r="O153" i="8"/>
  <c r="N153" i="8"/>
  <c r="L153" i="8"/>
  <c r="K153" i="8"/>
  <c r="J153" i="8"/>
  <c r="I153" i="8"/>
  <c r="H153" i="8"/>
  <c r="G153" i="8"/>
  <c r="F153" i="8"/>
  <c r="E153" i="8"/>
  <c r="D150" i="8"/>
  <c r="R148" i="8"/>
  <c r="Q148" i="8"/>
  <c r="P148" i="8"/>
  <c r="O148" i="8"/>
  <c r="N148" i="8"/>
  <c r="L148" i="8"/>
  <c r="K148" i="8"/>
  <c r="J148" i="8"/>
  <c r="I148" i="8"/>
  <c r="H148" i="8"/>
  <c r="G148" i="8"/>
  <c r="F148" i="8"/>
  <c r="E148" i="8"/>
  <c r="D148" i="8"/>
  <c r="D147" i="8"/>
  <c r="R145" i="8"/>
  <c r="Q145" i="8"/>
  <c r="P145" i="8"/>
  <c r="O145" i="8"/>
  <c r="N145" i="8"/>
  <c r="L145" i="8"/>
  <c r="K145" i="8"/>
  <c r="J145" i="8"/>
  <c r="I145" i="8"/>
  <c r="H145" i="8"/>
  <c r="G145" i="8"/>
  <c r="F145" i="8"/>
  <c r="E145" i="8"/>
  <c r="D145" i="8"/>
  <c r="R142" i="8"/>
  <c r="Q142" i="8"/>
  <c r="P142" i="8"/>
  <c r="O142" i="8"/>
  <c r="N142" i="8"/>
  <c r="L142" i="8"/>
  <c r="K142" i="8"/>
  <c r="J142" i="8"/>
  <c r="I142" i="8"/>
  <c r="H142" i="8"/>
  <c r="G142" i="8"/>
  <c r="F142" i="8"/>
  <c r="E142" i="8"/>
  <c r="D142" i="8"/>
  <c r="R139" i="8"/>
  <c r="Q139" i="8"/>
  <c r="P139" i="8"/>
  <c r="O139" i="8"/>
  <c r="N139" i="8"/>
  <c r="L139" i="8"/>
  <c r="L138" i="8"/>
  <c r="K139" i="8"/>
  <c r="J139" i="8"/>
  <c r="I139" i="8"/>
  <c r="H139" i="8"/>
  <c r="H138" i="8"/>
  <c r="G139" i="8"/>
  <c r="F139" i="8"/>
  <c r="F138" i="8"/>
  <c r="E139" i="8"/>
  <c r="J138" i="8"/>
  <c r="K136" i="8"/>
  <c r="M136" i="8"/>
  <c r="O135" i="8"/>
  <c r="O134" i="8"/>
  <c r="N135" i="8"/>
  <c r="L135" i="8"/>
  <c r="L134" i="8"/>
  <c r="J135" i="8"/>
  <c r="J134" i="8"/>
  <c r="I135" i="8"/>
  <c r="H135" i="8"/>
  <c r="H134" i="8"/>
  <c r="G135" i="8"/>
  <c r="G134" i="8"/>
  <c r="F135" i="8"/>
  <c r="F134" i="8"/>
  <c r="E135" i="8"/>
  <c r="E134" i="8"/>
  <c r="N134" i="8"/>
  <c r="I134" i="8"/>
  <c r="O132" i="8"/>
  <c r="N132" i="8"/>
  <c r="N131" i="8"/>
  <c r="L132" i="8"/>
  <c r="L131" i="8"/>
  <c r="K132" i="8"/>
  <c r="K131" i="8"/>
  <c r="J132" i="8"/>
  <c r="J131" i="8"/>
  <c r="I132" i="8"/>
  <c r="I131" i="8"/>
  <c r="H132" i="8"/>
  <c r="H131" i="8"/>
  <c r="G132" i="8"/>
  <c r="G131" i="8"/>
  <c r="F132" i="8"/>
  <c r="F131" i="8"/>
  <c r="E132" i="8"/>
  <c r="E131" i="8"/>
  <c r="O131" i="8"/>
  <c r="L129" i="8"/>
  <c r="L128" i="8"/>
  <c r="O128" i="8"/>
  <c r="N128" i="8"/>
  <c r="K128" i="8"/>
  <c r="J128" i="8"/>
  <c r="H128" i="8"/>
  <c r="G128" i="8"/>
  <c r="F128" i="8"/>
  <c r="E128" i="8"/>
  <c r="L127" i="8"/>
  <c r="M127" i="8"/>
  <c r="D127" i="8"/>
  <c r="O126" i="8"/>
  <c r="N126" i="8"/>
  <c r="K126" i="8"/>
  <c r="J126" i="8"/>
  <c r="I126" i="8"/>
  <c r="H126" i="8"/>
  <c r="G126" i="8"/>
  <c r="G125" i="8"/>
  <c r="F126" i="8"/>
  <c r="E126" i="8"/>
  <c r="E125" i="8"/>
  <c r="H125" i="8"/>
  <c r="L124" i="8"/>
  <c r="M124" i="8"/>
  <c r="D124" i="8"/>
  <c r="O123" i="8"/>
  <c r="N123" i="8"/>
  <c r="K123" i="8"/>
  <c r="J123" i="8"/>
  <c r="I123" i="8"/>
  <c r="H123" i="8"/>
  <c r="G123" i="8"/>
  <c r="F123" i="8"/>
  <c r="E123" i="8"/>
  <c r="L122" i="8"/>
  <c r="M122" i="8"/>
  <c r="D122" i="8"/>
  <c r="O120" i="8"/>
  <c r="N120" i="8"/>
  <c r="K120" i="8"/>
  <c r="K119" i="8"/>
  <c r="J120" i="8"/>
  <c r="I120" i="8"/>
  <c r="I119" i="8"/>
  <c r="H120" i="8"/>
  <c r="H119" i="8"/>
  <c r="G120" i="8"/>
  <c r="G119" i="8"/>
  <c r="F120" i="8"/>
  <c r="F119" i="8"/>
  <c r="E120" i="8"/>
  <c r="E119" i="8"/>
  <c r="J119" i="8"/>
  <c r="E117" i="8"/>
  <c r="M117" i="8"/>
  <c r="D117" i="8"/>
  <c r="L32" i="8"/>
  <c r="I44" i="1"/>
  <c r="I142" i="1"/>
  <c r="I204" i="1"/>
  <c r="E116" i="8"/>
  <c r="O115" i="8"/>
  <c r="N115" i="8"/>
  <c r="L115" i="8"/>
  <c r="H115" i="8"/>
  <c r="G115" i="8"/>
  <c r="F115" i="8"/>
  <c r="E114" i="8"/>
  <c r="M114" i="8"/>
  <c r="D114" i="8"/>
  <c r="K112" i="8"/>
  <c r="M113" i="8"/>
  <c r="D113" i="8"/>
  <c r="N112" i="8"/>
  <c r="I112" i="8"/>
  <c r="H112" i="8"/>
  <c r="G112" i="8"/>
  <c r="G111" i="8"/>
  <c r="F112" i="8"/>
  <c r="E112" i="8"/>
  <c r="L108" i="8"/>
  <c r="K21" i="8"/>
  <c r="H30" i="1"/>
  <c r="H130" i="1"/>
  <c r="H192" i="1"/>
  <c r="J108" i="8"/>
  <c r="I108" i="8"/>
  <c r="E109" i="8"/>
  <c r="M109" i="8"/>
  <c r="D109" i="8"/>
  <c r="O108" i="8"/>
  <c r="N108" i="8"/>
  <c r="K108" i="8"/>
  <c r="H108" i="8"/>
  <c r="G108" i="8"/>
  <c r="F108" i="8"/>
  <c r="M107" i="8"/>
  <c r="D107" i="8"/>
  <c r="N105" i="8"/>
  <c r="K105" i="8"/>
  <c r="K104" i="8"/>
  <c r="I105" i="8"/>
  <c r="H14" i="8"/>
  <c r="F14" i="8"/>
  <c r="O105" i="8"/>
  <c r="L105" i="8"/>
  <c r="J105" i="8"/>
  <c r="H105" i="8"/>
  <c r="H104" i="8"/>
  <c r="G105" i="8"/>
  <c r="M102" i="8"/>
  <c r="D102" i="8"/>
  <c r="L100" i="8"/>
  <c r="K100" i="8"/>
  <c r="E100" i="8"/>
  <c r="L98" i="8"/>
  <c r="K98" i="8"/>
  <c r="J98" i="8"/>
  <c r="M99" i="8"/>
  <c r="D99" i="8"/>
  <c r="N98" i="8"/>
  <c r="N97" i="8"/>
  <c r="I98" i="8"/>
  <c r="H98" i="8"/>
  <c r="H97" i="8"/>
  <c r="E98" i="8"/>
  <c r="E97" i="8"/>
  <c r="M96" i="8"/>
  <c r="D96" i="8"/>
  <c r="L94" i="8"/>
  <c r="K94" i="8"/>
  <c r="L92" i="8"/>
  <c r="J92" i="8"/>
  <c r="N92" i="8"/>
  <c r="K92" i="8"/>
  <c r="H92" i="8"/>
  <c r="H91" i="8"/>
  <c r="E92" i="8"/>
  <c r="E91" i="8"/>
  <c r="D88" i="8"/>
  <c r="Q88" i="8"/>
  <c r="P88" i="8"/>
  <c r="O88" i="8"/>
  <c r="N88" i="8"/>
  <c r="L88" i="8"/>
  <c r="K88" i="8"/>
  <c r="J88" i="8"/>
  <c r="I88" i="8"/>
  <c r="H88" i="8"/>
  <c r="G88" i="8"/>
  <c r="F88" i="8"/>
  <c r="E88" i="8"/>
  <c r="P86" i="8"/>
  <c r="P85" i="8"/>
  <c r="L87" i="8"/>
  <c r="M87" i="8"/>
  <c r="D87" i="8"/>
  <c r="Q86" i="8"/>
  <c r="Q85" i="8"/>
  <c r="O86" i="8"/>
  <c r="O85" i="8"/>
  <c r="N86" i="8"/>
  <c r="N85" i="8"/>
  <c r="L86" i="8"/>
  <c r="L85" i="8"/>
  <c r="K86" i="8"/>
  <c r="K85" i="8"/>
  <c r="J86" i="8"/>
  <c r="J85" i="8"/>
  <c r="I86" i="8"/>
  <c r="I85" i="8"/>
  <c r="H86" i="8"/>
  <c r="H85" i="8"/>
  <c r="G86" i="8"/>
  <c r="G85" i="8"/>
  <c r="F86" i="8"/>
  <c r="F85" i="8"/>
  <c r="E86" i="8"/>
  <c r="E85" i="8"/>
  <c r="L84" i="8"/>
  <c r="L83" i="8"/>
  <c r="K84" i="8"/>
  <c r="Q83" i="8"/>
  <c r="P83" i="8"/>
  <c r="O83" i="8"/>
  <c r="J83" i="8"/>
  <c r="I83" i="8"/>
  <c r="H83" i="8"/>
  <c r="G83" i="8"/>
  <c r="F83" i="8"/>
  <c r="E83" i="8"/>
  <c r="L82" i="8"/>
  <c r="M82" i="8"/>
  <c r="D82" i="8"/>
  <c r="Q81" i="8"/>
  <c r="O81" i="8"/>
  <c r="N81" i="8"/>
  <c r="K81" i="8"/>
  <c r="J81" i="8"/>
  <c r="I81" i="8"/>
  <c r="H81" i="8"/>
  <c r="G81" i="8"/>
  <c r="F81" i="8"/>
  <c r="E81" i="8"/>
  <c r="O77" i="8"/>
  <c r="N78" i="8"/>
  <c r="J78" i="8"/>
  <c r="P77" i="8"/>
  <c r="L77" i="8"/>
  <c r="K77" i="8"/>
  <c r="J77" i="8"/>
  <c r="I77" i="8"/>
  <c r="H77" i="8"/>
  <c r="G77" i="8"/>
  <c r="F77" i="8"/>
  <c r="E77" i="8"/>
  <c r="O27" i="8"/>
  <c r="L76" i="8"/>
  <c r="K76" i="8"/>
  <c r="P75" i="8"/>
  <c r="N75" i="8"/>
  <c r="L75" i="8"/>
  <c r="L74" i="8"/>
  <c r="K75" i="8"/>
  <c r="J75" i="8"/>
  <c r="I75" i="8"/>
  <c r="I74" i="8"/>
  <c r="H75" i="8"/>
  <c r="H74" i="8"/>
  <c r="G75" i="8"/>
  <c r="G74" i="8"/>
  <c r="F75" i="8"/>
  <c r="F74" i="8"/>
  <c r="E75" i="8"/>
  <c r="E74" i="8"/>
  <c r="P74" i="8"/>
  <c r="K74" i="8"/>
  <c r="L73" i="8"/>
  <c r="L72" i="8"/>
  <c r="K73" i="8"/>
  <c r="K72" i="8"/>
  <c r="J73" i="8"/>
  <c r="N72" i="8"/>
  <c r="I72" i="8"/>
  <c r="H72" i="8"/>
  <c r="G72" i="8"/>
  <c r="F72" i="8"/>
  <c r="E72" i="8"/>
  <c r="L71" i="8"/>
  <c r="L70" i="8"/>
  <c r="K71" i="8"/>
  <c r="P70" i="8"/>
  <c r="O70" i="8"/>
  <c r="N70" i="8"/>
  <c r="K70" i="8"/>
  <c r="J70" i="8"/>
  <c r="I70" i="8"/>
  <c r="H70" i="8"/>
  <c r="G70" i="8"/>
  <c r="F70" i="8"/>
  <c r="E70" i="8"/>
  <c r="M66" i="8"/>
  <c r="O65" i="8"/>
  <c r="N65" i="8"/>
  <c r="L65" i="8"/>
  <c r="J65" i="8"/>
  <c r="I65" i="8"/>
  <c r="H65" i="8"/>
  <c r="G65" i="8"/>
  <c r="F65" i="8"/>
  <c r="E65" i="8"/>
  <c r="M63" i="8"/>
  <c r="O62" i="8"/>
  <c r="N62" i="8"/>
  <c r="L62" i="8"/>
  <c r="J62" i="8"/>
  <c r="J61" i="8"/>
  <c r="I62" i="8"/>
  <c r="H62" i="8"/>
  <c r="H61" i="8"/>
  <c r="G62" i="8"/>
  <c r="F62" i="8"/>
  <c r="F61" i="8"/>
  <c r="D16" i="10"/>
  <c r="E62" i="8"/>
  <c r="N61" i="8"/>
  <c r="G61" i="8"/>
  <c r="E16" i="10"/>
  <c r="O58" i="8"/>
  <c r="N58" i="8"/>
  <c r="L58" i="8"/>
  <c r="J58" i="8"/>
  <c r="I58" i="8"/>
  <c r="H58" i="8"/>
  <c r="G58" i="8"/>
  <c r="F58" i="8"/>
  <c r="E58" i="8"/>
  <c r="M56" i="8"/>
  <c r="O55" i="8"/>
  <c r="N55" i="8"/>
  <c r="L55" i="8"/>
  <c r="J55" i="8"/>
  <c r="J54" i="8"/>
  <c r="I55" i="8"/>
  <c r="H55" i="8"/>
  <c r="G55" i="8"/>
  <c r="F55" i="8"/>
  <c r="E55" i="8"/>
  <c r="H54" i="8"/>
  <c r="M51" i="8"/>
  <c r="L49" i="8"/>
  <c r="D50" i="8"/>
  <c r="O49" i="8"/>
  <c r="N49" i="8"/>
  <c r="K49" i="8"/>
  <c r="I49" i="8"/>
  <c r="H49" i="8"/>
  <c r="G49" i="8"/>
  <c r="F49" i="8"/>
  <c r="I45" i="8"/>
  <c r="O25" i="8"/>
  <c r="L25" i="8"/>
  <c r="K45" i="8"/>
  <c r="N45" i="8"/>
  <c r="N44" i="8"/>
  <c r="H45" i="8"/>
  <c r="H44" i="8"/>
  <c r="G45" i="8"/>
  <c r="F45" i="8"/>
  <c r="M43" i="8"/>
  <c r="O20" i="8"/>
  <c r="L40" i="8"/>
  <c r="M42" i="8"/>
  <c r="H40" i="8"/>
  <c r="G40" i="8"/>
  <c r="F40" i="8"/>
  <c r="I36" i="8"/>
  <c r="O15" i="8"/>
  <c r="K36" i="8"/>
  <c r="M37" i="8"/>
  <c r="D37" i="8"/>
  <c r="N36" i="8"/>
  <c r="L36" i="8"/>
  <c r="H36" i="8"/>
  <c r="G36" i="8"/>
  <c r="F36" i="8"/>
  <c r="R33" i="8"/>
  <c r="Q33" i="8"/>
  <c r="P33" i="8"/>
  <c r="O33" i="8"/>
  <c r="N33" i="8"/>
  <c r="L33" i="8"/>
  <c r="J33" i="8"/>
  <c r="I33" i="8"/>
  <c r="H33" i="8"/>
  <c r="G33" i="8"/>
  <c r="F33" i="8"/>
  <c r="E33" i="8"/>
  <c r="K32" i="8"/>
  <c r="H44" i="1"/>
  <c r="H32" i="8"/>
  <c r="G32" i="8"/>
  <c r="D44" i="1"/>
  <c r="F32" i="8"/>
  <c r="E32" i="8"/>
  <c r="B44" i="1"/>
  <c r="B142" i="1"/>
  <c r="B204" i="1"/>
  <c r="L31" i="8"/>
  <c r="K31" i="8"/>
  <c r="J31" i="8"/>
  <c r="I31" i="8"/>
  <c r="R28" i="8"/>
  <c r="O136" i="1"/>
  <c r="O198" i="1"/>
  <c r="Q28" i="8"/>
  <c r="N136" i="1"/>
  <c r="N198" i="1"/>
  <c r="P28" i="8"/>
  <c r="O28" i="8"/>
  <c r="L35" i="1"/>
  <c r="N28" i="8"/>
  <c r="K35" i="1"/>
  <c r="K136" i="1"/>
  <c r="K198" i="1"/>
  <c r="L28" i="8"/>
  <c r="I35" i="1"/>
  <c r="I136" i="1"/>
  <c r="I198" i="1"/>
  <c r="K28" i="8"/>
  <c r="H35" i="1"/>
  <c r="H136" i="1"/>
  <c r="H198" i="1"/>
  <c r="J28" i="8"/>
  <c r="G35" i="1"/>
  <c r="G136" i="1"/>
  <c r="G198" i="1"/>
  <c r="I28" i="8"/>
  <c r="F35" i="1"/>
  <c r="F136" i="1"/>
  <c r="F198" i="1"/>
  <c r="H28" i="8"/>
  <c r="E35" i="1"/>
  <c r="E136" i="1"/>
  <c r="E198" i="1"/>
  <c r="G28" i="8"/>
  <c r="D35" i="1"/>
  <c r="D136" i="1"/>
  <c r="D198" i="1"/>
  <c r="F28" i="8"/>
  <c r="C35" i="1"/>
  <c r="C136" i="1"/>
  <c r="C198" i="1"/>
  <c r="R27" i="8"/>
  <c r="Q27" i="8"/>
  <c r="P27" i="8"/>
  <c r="N27" i="8"/>
  <c r="K27" i="8"/>
  <c r="J27" i="8"/>
  <c r="I27" i="8"/>
  <c r="H27" i="8"/>
  <c r="G27" i="8"/>
  <c r="F27" i="8"/>
  <c r="E27" i="8"/>
  <c r="K26" i="8"/>
  <c r="H36" i="1"/>
  <c r="I26" i="8"/>
  <c r="F36" i="1"/>
  <c r="H26" i="8"/>
  <c r="E36" i="1"/>
  <c r="G26" i="8"/>
  <c r="D36" i="1"/>
  <c r="F26" i="8"/>
  <c r="E26" i="8"/>
  <c r="B36" i="1"/>
  <c r="I25" i="8"/>
  <c r="H25" i="8"/>
  <c r="G25" i="8"/>
  <c r="F25" i="8"/>
  <c r="E25" i="8"/>
  <c r="R22" i="8"/>
  <c r="Q22" i="8"/>
  <c r="P22" i="8"/>
  <c r="O22" i="8"/>
  <c r="N22" i="8"/>
  <c r="K22" i="8"/>
  <c r="J22" i="8"/>
  <c r="I22" i="8"/>
  <c r="H22" i="8"/>
  <c r="G22" i="8"/>
  <c r="F22" i="8"/>
  <c r="E22" i="8"/>
  <c r="V30" i="1"/>
  <c r="L21" i="8"/>
  <c r="I30" i="1"/>
  <c r="I130" i="1"/>
  <c r="I192" i="1"/>
  <c r="J21" i="8"/>
  <c r="G30" i="1"/>
  <c r="G130" i="1"/>
  <c r="G192" i="1"/>
  <c r="H21" i="8"/>
  <c r="E30" i="1"/>
  <c r="E130" i="1"/>
  <c r="E192" i="1"/>
  <c r="G21" i="8"/>
  <c r="D30" i="1"/>
  <c r="D130" i="1"/>
  <c r="D192" i="1"/>
  <c r="F21" i="8"/>
  <c r="C30" i="1"/>
  <c r="C130" i="1"/>
  <c r="C192" i="1"/>
  <c r="E21" i="8"/>
  <c r="B30" i="1"/>
  <c r="B130" i="1"/>
  <c r="B192" i="1"/>
  <c r="L20" i="8"/>
  <c r="J20" i="8"/>
  <c r="I20" i="8"/>
  <c r="E20" i="8"/>
  <c r="R19" i="8"/>
  <c r="O27" i="1"/>
  <c r="Q19" i="8"/>
  <c r="N27" i="1"/>
  <c r="P19" i="8"/>
  <c r="M27" i="1"/>
  <c r="O19" i="8"/>
  <c r="L27" i="1"/>
  <c r="N19" i="8"/>
  <c r="K27" i="1"/>
  <c r="L19" i="8"/>
  <c r="I27" i="1"/>
  <c r="K19" i="8"/>
  <c r="H27" i="1"/>
  <c r="J19" i="8"/>
  <c r="G27" i="1"/>
  <c r="I19" i="8"/>
  <c r="F27" i="1"/>
  <c r="H19" i="8"/>
  <c r="E27" i="1"/>
  <c r="G19" i="8"/>
  <c r="D27" i="1"/>
  <c r="F19" i="8"/>
  <c r="C27" i="1"/>
  <c r="E19" i="8"/>
  <c r="B27" i="1"/>
  <c r="Q17" i="8"/>
  <c r="O17" i="8"/>
  <c r="N17" i="8"/>
  <c r="L17" i="8"/>
  <c r="K17" i="8"/>
  <c r="J17" i="8"/>
  <c r="I17" i="8"/>
  <c r="H17" i="8"/>
  <c r="G17" i="8"/>
  <c r="F17" i="8"/>
  <c r="E17" i="8"/>
  <c r="L16" i="8"/>
  <c r="I20" i="1"/>
  <c r="J16" i="8"/>
  <c r="G20" i="1"/>
  <c r="H16" i="8"/>
  <c r="E20" i="1"/>
  <c r="G16" i="8"/>
  <c r="D20" i="1"/>
  <c r="F16" i="8"/>
  <c r="C20" i="1"/>
  <c r="L15" i="8"/>
  <c r="K15" i="8"/>
  <c r="J15" i="8"/>
  <c r="I15" i="8"/>
  <c r="H15" i="8"/>
  <c r="G15" i="8"/>
  <c r="F15" i="8"/>
  <c r="E15" i="8"/>
  <c r="R14" i="8"/>
  <c r="Q14" i="8"/>
  <c r="P14" i="8"/>
  <c r="O14" i="8"/>
  <c r="L14" i="8"/>
  <c r="I14" i="8"/>
  <c r="L90" i="7"/>
  <c r="K90" i="7"/>
  <c r="D90" i="7"/>
  <c r="H90" i="7"/>
  <c r="R89" i="7"/>
  <c r="Q89" i="7"/>
  <c r="P89" i="7"/>
  <c r="O89" i="7"/>
  <c r="L89" i="7"/>
  <c r="J89" i="7"/>
  <c r="J86" i="7"/>
  <c r="I89" i="7"/>
  <c r="E89" i="7"/>
  <c r="E86" i="7"/>
  <c r="L88" i="7"/>
  <c r="K88" i="7"/>
  <c r="D88" i="7"/>
  <c r="R87" i="7"/>
  <c r="Q87" i="7"/>
  <c r="P87" i="7"/>
  <c r="P86" i="7"/>
  <c r="O87" i="7"/>
  <c r="N87" i="7"/>
  <c r="L87" i="7"/>
  <c r="L86" i="7"/>
  <c r="J87" i="7"/>
  <c r="I87" i="7"/>
  <c r="H87" i="7"/>
  <c r="G87" i="7"/>
  <c r="F87" i="7"/>
  <c r="E87" i="7"/>
  <c r="R86" i="7"/>
  <c r="I86" i="7"/>
  <c r="N84" i="7"/>
  <c r="L85" i="7"/>
  <c r="K85" i="7"/>
  <c r="R84" i="7"/>
  <c r="Q84" i="7"/>
  <c r="P84" i="7"/>
  <c r="O84" i="7"/>
  <c r="L84" i="7"/>
  <c r="J84" i="7"/>
  <c r="J80" i="7"/>
  <c r="I84" i="7"/>
  <c r="E84" i="7"/>
  <c r="N81" i="7"/>
  <c r="L83" i="7"/>
  <c r="L81" i="7"/>
  <c r="K83" i="7"/>
  <c r="D83" i="7"/>
  <c r="D81" i="7"/>
  <c r="R81" i="7"/>
  <c r="Q81" i="7"/>
  <c r="P81" i="7"/>
  <c r="K81" i="7"/>
  <c r="I81" i="7"/>
  <c r="I80" i="7"/>
  <c r="E81" i="7"/>
  <c r="O77" i="7"/>
  <c r="N78" i="7"/>
  <c r="M78" i="7"/>
  <c r="R77" i="7"/>
  <c r="Q77" i="7"/>
  <c r="P77" i="7"/>
  <c r="L77" i="7"/>
  <c r="K77" i="7"/>
  <c r="J77" i="7"/>
  <c r="I77" i="7"/>
  <c r="E77" i="7"/>
  <c r="O75" i="7"/>
  <c r="R75" i="7"/>
  <c r="Q75" i="7"/>
  <c r="P75" i="7"/>
  <c r="L75" i="7"/>
  <c r="K75" i="7"/>
  <c r="J75" i="7"/>
  <c r="I75" i="7"/>
  <c r="E75" i="7"/>
  <c r="H74" i="7"/>
  <c r="G74" i="7"/>
  <c r="F74" i="7"/>
  <c r="O72" i="7"/>
  <c r="R72" i="7"/>
  <c r="Q72" i="7"/>
  <c r="P72" i="7"/>
  <c r="N72" i="7"/>
  <c r="L72" i="7"/>
  <c r="K72" i="7"/>
  <c r="J72" i="7"/>
  <c r="I72" i="7"/>
  <c r="E72" i="7"/>
  <c r="N71" i="7"/>
  <c r="M71" i="7"/>
  <c r="R69" i="7"/>
  <c r="Q69" i="7"/>
  <c r="Q68" i="7"/>
  <c r="P69" i="7"/>
  <c r="O69" i="7"/>
  <c r="L69" i="7"/>
  <c r="K69" i="7"/>
  <c r="J69" i="7"/>
  <c r="I69" i="7"/>
  <c r="H69" i="7"/>
  <c r="G69" i="7"/>
  <c r="F69" i="7"/>
  <c r="E69" i="7"/>
  <c r="E68" i="7"/>
  <c r="R65" i="7"/>
  <c r="Q65" i="7"/>
  <c r="P65" i="7"/>
  <c r="O65" i="7"/>
  <c r="N65" i="7"/>
  <c r="L65" i="7"/>
  <c r="K65" i="7"/>
  <c r="J65" i="7"/>
  <c r="I65" i="7"/>
  <c r="H65" i="7"/>
  <c r="H62" i="7"/>
  <c r="G65" i="7"/>
  <c r="F65" i="7"/>
  <c r="F62" i="7"/>
  <c r="E65" i="7"/>
  <c r="D65" i="7"/>
  <c r="D64" i="7"/>
  <c r="R63" i="7"/>
  <c r="Q63" i="7"/>
  <c r="P63" i="7"/>
  <c r="P62" i="7"/>
  <c r="O63" i="7"/>
  <c r="O62" i="7"/>
  <c r="N63" i="7"/>
  <c r="N62" i="7"/>
  <c r="L63" i="7"/>
  <c r="L62" i="7"/>
  <c r="K63" i="7"/>
  <c r="J63" i="7"/>
  <c r="J62" i="7"/>
  <c r="R62" i="7"/>
  <c r="K62" i="7"/>
  <c r="I62" i="7"/>
  <c r="G62" i="7"/>
  <c r="E62" i="7"/>
  <c r="D60" i="7"/>
  <c r="R60" i="7"/>
  <c r="Q60" i="7"/>
  <c r="P60" i="7"/>
  <c r="P56" i="7"/>
  <c r="O60" i="7"/>
  <c r="N60" i="7"/>
  <c r="L60" i="7"/>
  <c r="K60" i="7"/>
  <c r="J60" i="7"/>
  <c r="J56" i="7"/>
  <c r="I60" i="7"/>
  <c r="I56" i="7"/>
  <c r="H60" i="7"/>
  <c r="H56" i="7"/>
  <c r="G60" i="7"/>
  <c r="F60" i="7"/>
  <c r="F56" i="7"/>
  <c r="E60" i="7"/>
  <c r="E56" i="7"/>
  <c r="L57" i="7"/>
  <c r="L56" i="7"/>
  <c r="R56" i="7"/>
  <c r="N56" i="7"/>
  <c r="Q56" i="7"/>
  <c r="G56" i="7"/>
  <c r="O53" i="7"/>
  <c r="L54" i="7"/>
  <c r="K54" i="7"/>
  <c r="E54" i="7"/>
  <c r="R53" i="7"/>
  <c r="Q53" i="7"/>
  <c r="P53" i="7"/>
  <c r="L53" i="7"/>
  <c r="J53" i="7"/>
  <c r="I53" i="7"/>
  <c r="L52" i="7"/>
  <c r="K52" i="7"/>
  <c r="D52" i="7"/>
  <c r="R51" i="7"/>
  <c r="Q51" i="7"/>
  <c r="P51" i="7"/>
  <c r="O51" i="7"/>
  <c r="N51" i="7"/>
  <c r="L51" i="7"/>
  <c r="J51" i="7"/>
  <c r="I51" i="7"/>
  <c r="I50" i="7"/>
  <c r="H51" i="7"/>
  <c r="H50" i="7"/>
  <c r="G51" i="7"/>
  <c r="G50" i="7"/>
  <c r="F51" i="7"/>
  <c r="F50" i="7"/>
  <c r="E51" i="7"/>
  <c r="N48" i="7"/>
  <c r="L49" i="7"/>
  <c r="L48" i="7"/>
  <c r="K49" i="7"/>
  <c r="K48" i="7"/>
  <c r="E49" i="7"/>
  <c r="D49" i="7"/>
  <c r="R48" i="7"/>
  <c r="Q48" i="7"/>
  <c r="P48" i="7"/>
  <c r="O48" i="7"/>
  <c r="J48" i="7"/>
  <c r="I48" i="7"/>
  <c r="L46" i="7"/>
  <c r="L45" i="7"/>
  <c r="K46" i="7"/>
  <c r="K45" i="7"/>
  <c r="I46" i="7"/>
  <c r="I45" i="7"/>
  <c r="E46" i="7"/>
  <c r="R45" i="7"/>
  <c r="R44" i="7"/>
  <c r="Q45" i="7"/>
  <c r="P45" i="7"/>
  <c r="P44" i="7"/>
  <c r="O45" i="7"/>
  <c r="N45" i="7"/>
  <c r="J45" i="7"/>
  <c r="J44" i="7"/>
  <c r="N41" i="7"/>
  <c r="K41" i="7"/>
  <c r="J42" i="7"/>
  <c r="J41" i="7"/>
  <c r="E42" i="7"/>
  <c r="R41" i="7"/>
  <c r="Q41" i="7"/>
  <c r="P41" i="7"/>
  <c r="O41" i="7"/>
  <c r="L41" i="7"/>
  <c r="I41" i="7"/>
  <c r="L39" i="7"/>
  <c r="R39" i="7"/>
  <c r="Q39" i="7"/>
  <c r="P39" i="7"/>
  <c r="O39" i="7"/>
  <c r="N39" i="7"/>
  <c r="K39" i="7"/>
  <c r="J39" i="7"/>
  <c r="I39" i="7"/>
  <c r="H39" i="7"/>
  <c r="H38" i="7"/>
  <c r="G39" i="7"/>
  <c r="G38" i="7"/>
  <c r="F39" i="7"/>
  <c r="F38" i="7"/>
  <c r="E39" i="7"/>
  <c r="O36" i="7"/>
  <c r="L36" i="7"/>
  <c r="K36" i="7"/>
  <c r="J36" i="7"/>
  <c r="I37" i="7"/>
  <c r="I36" i="7"/>
  <c r="E37" i="7"/>
  <c r="R36" i="7"/>
  <c r="Q36" i="7"/>
  <c r="P36" i="7"/>
  <c r="E36" i="7"/>
  <c r="N33" i="7"/>
  <c r="R33" i="7"/>
  <c r="Q33" i="7"/>
  <c r="P33" i="7"/>
  <c r="K33" i="7"/>
  <c r="K32" i="7"/>
  <c r="H33" i="7"/>
  <c r="H32" i="7"/>
  <c r="G33" i="7"/>
  <c r="F33" i="7"/>
  <c r="F32" i="7"/>
  <c r="G32" i="7"/>
  <c r="L30" i="7"/>
  <c r="K30" i="7"/>
  <c r="J30" i="7"/>
  <c r="J20" i="7"/>
  <c r="K29" i="7"/>
  <c r="I29" i="7"/>
  <c r="E29" i="7"/>
  <c r="E28" i="7"/>
  <c r="P28" i="7"/>
  <c r="O28" i="7"/>
  <c r="N28" i="7"/>
  <c r="K28" i="7"/>
  <c r="I28" i="7"/>
  <c r="L27" i="7"/>
  <c r="K27" i="7"/>
  <c r="K26" i="7"/>
  <c r="J27" i="7"/>
  <c r="D27" i="7"/>
  <c r="D26" i="7"/>
  <c r="L26" i="7"/>
  <c r="I26" i="7"/>
  <c r="E26" i="7"/>
  <c r="N25" i="7"/>
  <c r="N24" i="7"/>
  <c r="N23" i="7"/>
  <c r="L25" i="7"/>
  <c r="L24" i="7"/>
  <c r="K25" i="7"/>
  <c r="J24" i="7"/>
  <c r="E25" i="7"/>
  <c r="R24" i="7"/>
  <c r="R23" i="7"/>
  <c r="Q24" i="7"/>
  <c r="Q23" i="7"/>
  <c r="P24" i="7"/>
  <c r="P23" i="7"/>
  <c r="O24" i="7"/>
  <c r="O23" i="7"/>
  <c r="K24" i="7"/>
  <c r="I24" i="7"/>
  <c r="O20" i="7"/>
  <c r="I20" i="7"/>
  <c r="H20" i="7"/>
  <c r="G20" i="7"/>
  <c r="F20" i="7"/>
  <c r="E18" i="7"/>
  <c r="G18" i="7"/>
  <c r="G74" i="1"/>
  <c r="G73" i="1" s="1"/>
  <c r="E74" i="1"/>
  <c r="E73" i="1" s="1"/>
  <c r="D74" i="1"/>
  <c r="D73" i="1" s="1"/>
  <c r="C74" i="1"/>
  <c r="C73" i="1" s="1"/>
  <c r="E15" i="7"/>
  <c r="J15" i="7"/>
  <c r="H15" i="7"/>
  <c r="G15" i="7"/>
  <c r="F15" i="7"/>
  <c r="H12" i="7"/>
  <c r="F12" i="7"/>
  <c r="F11" i="7"/>
  <c r="L8" i="7"/>
  <c r="J8" i="7"/>
  <c r="I8" i="7"/>
  <c r="H8" i="7"/>
  <c r="F8" i="7"/>
  <c r="G8" i="7"/>
  <c r="J259" i="6"/>
  <c r="O258" i="6"/>
  <c r="O257" i="6" s="1"/>
  <c r="L102" i="1" s="1"/>
  <c r="N258" i="6"/>
  <c r="L258" i="6"/>
  <c r="L257" i="6" s="1"/>
  <c r="K258" i="6"/>
  <c r="K257" i="6" s="1"/>
  <c r="I258" i="6"/>
  <c r="H258" i="6"/>
  <c r="H257" i="6"/>
  <c r="G258" i="6"/>
  <c r="G257" i="6"/>
  <c r="F258" i="6"/>
  <c r="F257" i="6"/>
  <c r="E258" i="6"/>
  <c r="E257" i="6"/>
  <c r="N257" i="6"/>
  <c r="I257" i="6"/>
  <c r="J256" i="6"/>
  <c r="O254" i="6"/>
  <c r="O253" i="6"/>
  <c r="L254" i="6"/>
  <c r="L253" i="6"/>
  <c r="K254" i="6"/>
  <c r="I254" i="6"/>
  <c r="H254" i="6"/>
  <c r="H253" i="6"/>
  <c r="H235" i="6"/>
  <c r="G254" i="6"/>
  <c r="G253" i="6"/>
  <c r="F254" i="6"/>
  <c r="F253" i="6"/>
  <c r="F235" i="6"/>
  <c r="E254" i="6"/>
  <c r="E253" i="6"/>
  <c r="E235" i="6"/>
  <c r="K253" i="6"/>
  <c r="I253" i="6"/>
  <c r="N250" i="6"/>
  <c r="N249" i="6"/>
  <c r="L251" i="6"/>
  <c r="L250" i="6"/>
  <c r="L249" i="6"/>
  <c r="L235" i="6"/>
  <c r="K251" i="6"/>
  <c r="K250" i="6"/>
  <c r="K249" i="6"/>
  <c r="K235" i="6"/>
  <c r="J251" i="6"/>
  <c r="M251" i="6"/>
  <c r="D251" i="6"/>
  <c r="R250" i="6"/>
  <c r="R249" i="6"/>
  <c r="R235" i="6"/>
  <c r="Q250" i="6"/>
  <c r="Q249" i="6"/>
  <c r="Q235" i="6"/>
  <c r="X235" i="6"/>
  <c r="P250" i="6"/>
  <c r="P249" i="6"/>
  <c r="P235" i="6"/>
  <c r="I250" i="6"/>
  <c r="I249" i="6"/>
  <c r="H250" i="6"/>
  <c r="H249" i="6"/>
  <c r="G250" i="6"/>
  <c r="G249" i="6"/>
  <c r="F250" i="6"/>
  <c r="F249" i="6"/>
  <c r="E250" i="6"/>
  <c r="E249" i="6"/>
  <c r="X246" i="6"/>
  <c r="X245" i="6"/>
  <c r="O239" i="6"/>
  <c r="L65" i="1"/>
  <c r="N247" i="6"/>
  <c r="L247" i="6"/>
  <c r="L246" i="6"/>
  <c r="L245" i="6"/>
  <c r="L236" i="6"/>
  <c r="K247" i="6"/>
  <c r="K246" i="6"/>
  <c r="K245" i="6"/>
  <c r="K236" i="6"/>
  <c r="J247" i="6"/>
  <c r="J246" i="6"/>
  <c r="J245" i="6"/>
  <c r="J236" i="6"/>
  <c r="I247" i="6"/>
  <c r="M247" i="6"/>
  <c r="D247" i="6"/>
  <c r="H246" i="6"/>
  <c r="G246" i="6"/>
  <c r="G245" i="6"/>
  <c r="G236" i="6"/>
  <c r="F246" i="6"/>
  <c r="F245" i="6"/>
  <c r="F236" i="6"/>
  <c r="E246" i="6"/>
  <c r="E245" i="6"/>
  <c r="E236" i="6"/>
  <c r="H245" i="6"/>
  <c r="H236" i="6"/>
  <c r="P240" i="6"/>
  <c r="O240" i="6"/>
  <c r="N240" i="6"/>
  <c r="Q238" i="6"/>
  <c r="Q237" i="6"/>
  <c r="K239" i="6"/>
  <c r="K238" i="6"/>
  <c r="K237" i="6"/>
  <c r="H239" i="6"/>
  <c r="H238" i="6"/>
  <c r="H237" i="6"/>
  <c r="G239" i="6"/>
  <c r="G238" i="6"/>
  <c r="G237" i="6"/>
  <c r="F239" i="6"/>
  <c r="F238" i="6"/>
  <c r="F237" i="6"/>
  <c r="R236" i="6"/>
  <c r="Q236" i="6"/>
  <c r="J20" i="6"/>
  <c r="J19" i="6" s="1"/>
  <c r="O78" i="6"/>
  <c r="L26" i="6"/>
  <c r="K26" i="6"/>
  <c r="K25" i="6" s="1"/>
  <c r="Q78" i="6"/>
  <c r="P78" i="6"/>
  <c r="N78" i="6"/>
  <c r="J78" i="6"/>
  <c r="I78" i="6"/>
  <c r="H78" i="6"/>
  <c r="G78" i="6"/>
  <c r="F78" i="6"/>
  <c r="E78" i="6"/>
  <c r="L23" i="6"/>
  <c r="K23" i="6"/>
  <c r="Q76" i="6"/>
  <c r="P76" i="6"/>
  <c r="N76" i="6"/>
  <c r="J76" i="6"/>
  <c r="I76" i="6"/>
  <c r="H76" i="6"/>
  <c r="G76" i="6"/>
  <c r="F76" i="6"/>
  <c r="E76" i="6"/>
  <c r="K20" i="6"/>
  <c r="H31" i="1" s="1"/>
  <c r="E73" i="6"/>
  <c r="Q73" i="6"/>
  <c r="P73" i="6"/>
  <c r="N73" i="6"/>
  <c r="J73" i="6"/>
  <c r="I73" i="6"/>
  <c r="H73" i="6"/>
  <c r="G73" i="6"/>
  <c r="F73" i="6"/>
  <c r="Q71" i="6"/>
  <c r="P71" i="6"/>
  <c r="O71" i="6"/>
  <c r="N71" i="6"/>
  <c r="L71" i="6"/>
  <c r="J71" i="6"/>
  <c r="J70" i="6" s="1"/>
  <c r="I71" i="6"/>
  <c r="H71" i="6"/>
  <c r="H70" i="6" s="1"/>
  <c r="G71" i="6"/>
  <c r="F71" i="6"/>
  <c r="P45" i="6"/>
  <c r="O45" i="6"/>
  <c r="N45" i="6"/>
  <c r="P43" i="6"/>
  <c r="O43" i="6"/>
  <c r="N43" i="6"/>
  <c r="P40" i="6"/>
  <c r="O40" i="6"/>
  <c r="N40" i="6"/>
  <c r="P38" i="6"/>
  <c r="O38" i="6"/>
  <c r="N38" i="6"/>
  <c r="P34" i="6"/>
  <c r="P33" i="6"/>
  <c r="O34" i="6"/>
  <c r="O33" i="6"/>
  <c r="N34" i="6"/>
  <c r="N33" i="6"/>
  <c r="J22" i="6"/>
  <c r="P31" i="6"/>
  <c r="O31" i="6"/>
  <c r="O29" i="6"/>
  <c r="N31" i="6"/>
  <c r="N29" i="6"/>
  <c r="N28" i="6"/>
  <c r="L16" i="6"/>
  <c r="J16" i="6"/>
  <c r="H16" i="6"/>
  <c r="P28" i="6"/>
  <c r="N25" i="6"/>
  <c r="R112" i="5"/>
  <c r="R111" i="5"/>
  <c r="Q112" i="5"/>
  <c r="P112" i="5"/>
  <c r="P111" i="5"/>
  <c r="O112" i="5"/>
  <c r="N112" i="5"/>
  <c r="N111" i="5"/>
  <c r="K112" i="5"/>
  <c r="J112" i="5"/>
  <c r="J111" i="5"/>
  <c r="I112" i="5"/>
  <c r="H112" i="5"/>
  <c r="H111" i="5"/>
  <c r="G112" i="5"/>
  <c r="F112" i="5"/>
  <c r="F111" i="5"/>
  <c r="E112" i="5"/>
  <c r="Q111" i="5"/>
  <c r="O111" i="5"/>
  <c r="K111" i="5"/>
  <c r="I111" i="5"/>
  <c r="G111" i="5"/>
  <c r="E111" i="5"/>
  <c r="N88" i="5"/>
  <c r="N87" i="5"/>
  <c r="D109" i="5"/>
  <c r="K109" i="5"/>
  <c r="K108" i="5"/>
  <c r="L108" i="5"/>
  <c r="J108" i="5"/>
  <c r="J104" i="5"/>
  <c r="I108" i="5"/>
  <c r="I104" i="5"/>
  <c r="E108" i="5"/>
  <c r="N107" i="5"/>
  <c r="N86" i="5"/>
  <c r="N61" i="5"/>
  <c r="L107" i="5"/>
  <c r="M107" i="5"/>
  <c r="D107" i="5"/>
  <c r="N85" i="5"/>
  <c r="M106" i="5"/>
  <c r="D106" i="5"/>
  <c r="K106" i="5"/>
  <c r="K105" i="5"/>
  <c r="R105" i="5"/>
  <c r="Q105" i="5"/>
  <c r="P105" i="5"/>
  <c r="N105" i="5"/>
  <c r="J105" i="5"/>
  <c r="I105" i="5"/>
  <c r="H105" i="5"/>
  <c r="G105" i="5"/>
  <c r="F105" i="5"/>
  <c r="E105" i="5"/>
  <c r="E104" i="5"/>
  <c r="K103" i="5"/>
  <c r="N102" i="5"/>
  <c r="K102" i="5"/>
  <c r="J102" i="5"/>
  <c r="I102" i="5"/>
  <c r="E102" i="5"/>
  <c r="N79" i="5"/>
  <c r="D101" i="5"/>
  <c r="M100" i="5"/>
  <c r="D100" i="5"/>
  <c r="K100" i="5"/>
  <c r="K99" i="5"/>
  <c r="K98" i="5"/>
  <c r="R99" i="5"/>
  <c r="Q99" i="5"/>
  <c r="P99" i="5"/>
  <c r="O99" i="5"/>
  <c r="J99" i="5"/>
  <c r="I99" i="5"/>
  <c r="I98" i="5"/>
  <c r="H99" i="5"/>
  <c r="G99" i="5"/>
  <c r="F99" i="5"/>
  <c r="E99" i="5"/>
  <c r="J98" i="5"/>
  <c r="E98" i="5"/>
  <c r="D96" i="5"/>
  <c r="K95" i="5"/>
  <c r="J95" i="5"/>
  <c r="K94" i="5"/>
  <c r="R91" i="5"/>
  <c r="Q91" i="5"/>
  <c r="Q90" i="5"/>
  <c r="P91" i="5"/>
  <c r="O91" i="5"/>
  <c r="O90" i="5"/>
  <c r="N91" i="5"/>
  <c r="L91" i="5"/>
  <c r="L90" i="5"/>
  <c r="K91" i="5"/>
  <c r="J91" i="5"/>
  <c r="J90" i="5"/>
  <c r="H91" i="5"/>
  <c r="G91" i="5"/>
  <c r="G90" i="5"/>
  <c r="F91" i="5"/>
  <c r="E91" i="5"/>
  <c r="E90" i="5"/>
  <c r="R90" i="5"/>
  <c r="P90" i="5"/>
  <c r="N90" i="5"/>
  <c r="K90" i="5"/>
  <c r="H90" i="5"/>
  <c r="F90" i="5"/>
  <c r="Q88" i="5"/>
  <c r="N83" i="1"/>
  <c r="N82" i="1" s="1"/>
  <c r="P88" i="5"/>
  <c r="P87" i="5"/>
  <c r="O88" i="5"/>
  <c r="L88" i="5"/>
  <c r="L87" i="5"/>
  <c r="J88" i="5"/>
  <c r="I88" i="5"/>
  <c r="I87" i="5"/>
  <c r="H88" i="5"/>
  <c r="G88" i="5"/>
  <c r="G87" i="5"/>
  <c r="F88" i="5"/>
  <c r="E88" i="5"/>
  <c r="E87" i="5"/>
  <c r="R87" i="5"/>
  <c r="Q87" i="5"/>
  <c r="O87" i="5"/>
  <c r="J87" i="5"/>
  <c r="H87" i="5"/>
  <c r="F87" i="5"/>
  <c r="Q86" i="5"/>
  <c r="Q61" i="5"/>
  <c r="P86" i="5"/>
  <c r="P61" i="5"/>
  <c r="O86" i="5"/>
  <c r="O61" i="5"/>
  <c r="K86" i="5"/>
  <c r="K61" i="5"/>
  <c r="J86" i="5"/>
  <c r="J61" i="5"/>
  <c r="I86" i="5"/>
  <c r="I61" i="5"/>
  <c r="H86" i="5"/>
  <c r="H61" i="5"/>
  <c r="G86" i="5"/>
  <c r="G61" i="5"/>
  <c r="F86" i="5"/>
  <c r="F61" i="5"/>
  <c r="E86" i="5"/>
  <c r="E61" i="5"/>
  <c r="Q85" i="5"/>
  <c r="P85" i="5"/>
  <c r="O85" i="5"/>
  <c r="J85" i="5"/>
  <c r="I85" i="5"/>
  <c r="H85" i="5"/>
  <c r="H84" i="5"/>
  <c r="G85" i="5"/>
  <c r="F85" i="5"/>
  <c r="E85" i="5"/>
  <c r="R84" i="5"/>
  <c r="R83" i="5"/>
  <c r="P82" i="5"/>
  <c r="M74" i="1"/>
  <c r="O82" i="5"/>
  <c r="N81" i="5"/>
  <c r="L82" i="5"/>
  <c r="L81" i="5"/>
  <c r="K82" i="5"/>
  <c r="K81" i="5"/>
  <c r="R81" i="5"/>
  <c r="Q81" i="5"/>
  <c r="O81" i="5"/>
  <c r="Q80" i="5"/>
  <c r="P80" i="5"/>
  <c r="O80" i="5"/>
  <c r="N80" i="5"/>
  <c r="L80" i="5"/>
  <c r="K80" i="5"/>
  <c r="J80" i="5"/>
  <c r="H80" i="5"/>
  <c r="G80" i="5"/>
  <c r="F80" i="5"/>
  <c r="E80" i="5"/>
  <c r="R79" i="5"/>
  <c r="R77" i="5"/>
  <c r="R76" i="5"/>
  <c r="Q79" i="5"/>
  <c r="P79" i="5"/>
  <c r="O79" i="5"/>
  <c r="K79" i="5"/>
  <c r="J79" i="5"/>
  <c r="I79" i="5"/>
  <c r="H79" i="5"/>
  <c r="G79" i="5"/>
  <c r="F79" i="5"/>
  <c r="E79" i="5"/>
  <c r="Q78" i="5"/>
  <c r="P78" i="5"/>
  <c r="O78" i="5"/>
  <c r="N78" i="5"/>
  <c r="K71" i="1"/>
  <c r="K78" i="5"/>
  <c r="J78" i="5"/>
  <c r="I78" i="5"/>
  <c r="H78" i="5"/>
  <c r="G78" i="5"/>
  <c r="F78" i="5"/>
  <c r="E78" i="5"/>
  <c r="R51" i="5"/>
  <c r="X75" i="5"/>
  <c r="X73" i="5"/>
  <c r="E49" i="5"/>
  <c r="R48" i="5"/>
  <c r="Q48" i="5"/>
  <c r="Q47" i="5"/>
  <c r="P48" i="5"/>
  <c r="P47" i="5"/>
  <c r="O48" i="5"/>
  <c r="O47" i="5"/>
  <c r="N48" i="5"/>
  <c r="N47" i="5"/>
  <c r="L48" i="5"/>
  <c r="L47" i="5"/>
  <c r="K48" i="5"/>
  <c r="K47" i="5"/>
  <c r="J48" i="5"/>
  <c r="J47" i="5"/>
  <c r="I48" i="5"/>
  <c r="I47" i="5"/>
  <c r="H48" i="5"/>
  <c r="H47" i="5"/>
  <c r="G48" i="5"/>
  <c r="G47" i="5"/>
  <c r="F48" i="5"/>
  <c r="F47" i="5"/>
  <c r="R47" i="5"/>
  <c r="E46" i="5"/>
  <c r="R45" i="5"/>
  <c r="Q45" i="5"/>
  <c r="Q44" i="5"/>
  <c r="Q11" i="5"/>
  <c r="X11" i="5"/>
  <c r="P45" i="5"/>
  <c r="P44" i="5"/>
  <c r="P11" i="5"/>
  <c r="O45" i="5"/>
  <c r="O44" i="5"/>
  <c r="N45" i="5"/>
  <c r="N44" i="5"/>
  <c r="L45" i="5"/>
  <c r="L44" i="5"/>
  <c r="K45" i="5"/>
  <c r="K44" i="5"/>
  <c r="J45" i="5"/>
  <c r="J44" i="5"/>
  <c r="I45" i="5"/>
  <c r="I44" i="5"/>
  <c r="H45" i="5"/>
  <c r="H44" i="5"/>
  <c r="G45" i="5"/>
  <c r="G44" i="5"/>
  <c r="F45" i="5"/>
  <c r="F44" i="5"/>
  <c r="N41" i="5"/>
  <c r="L42" i="5"/>
  <c r="E42" i="5"/>
  <c r="E41" i="5"/>
  <c r="R41" i="5"/>
  <c r="R38" i="5"/>
  <c r="Q41" i="5"/>
  <c r="Q38" i="5"/>
  <c r="P41" i="5"/>
  <c r="P38" i="5"/>
  <c r="O41" i="5"/>
  <c r="O38" i="5"/>
  <c r="L41" i="5"/>
  <c r="K41" i="5"/>
  <c r="J41" i="5"/>
  <c r="I41" i="5"/>
  <c r="H41" i="5"/>
  <c r="G41" i="5"/>
  <c r="F41" i="5"/>
  <c r="E40" i="5"/>
  <c r="D40" i="5"/>
  <c r="N39" i="5"/>
  <c r="L39" i="5"/>
  <c r="K39" i="5"/>
  <c r="J39" i="5"/>
  <c r="I39" i="5"/>
  <c r="H39" i="5"/>
  <c r="G39" i="5"/>
  <c r="F39" i="5"/>
  <c r="L37" i="5"/>
  <c r="E37" i="5"/>
  <c r="N36" i="5"/>
  <c r="K36" i="5"/>
  <c r="J36" i="5"/>
  <c r="I36" i="5"/>
  <c r="H36" i="5"/>
  <c r="G36" i="5"/>
  <c r="F36" i="5"/>
  <c r="L35" i="5"/>
  <c r="E35" i="5"/>
  <c r="E34" i="5"/>
  <c r="N34" i="5"/>
  <c r="K34" i="5"/>
  <c r="J34" i="5"/>
  <c r="I34" i="5"/>
  <c r="H34" i="5"/>
  <c r="G34" i="5"/>
  <c r="F34" i="5"/>
  <c r="E31" i="5"/>
  <c r="R30" i="5"/>
  <c r="Q30" i="5"/>
  <c r="P30" i="5"/>
  <c r="O30" i="5"/>
  <c r="L30" i="5"/>
  <c r="K30" i="5"/>
  <c r="J30" i="5"/>
  <c r="I30" i="5"/>
  <c r="H30" i="5"/>
  <c r="G30" i="5"/>
  <c r="F30" i="5"/>
  <c r="E29" i="5"/>
  <c r="D29" i="5"/>
  <c r="R28" i="5"/>
  <c r="Q28" i="5"/>
  <c r="P28" i="5"/>
  <c r="P27" i="5"/>
  <c r="O28" i="5"/>
  <c r="N28" i="5"/>
  <c r="L28" i="5"/>
  <c r="K28" i="5"/>
  <c r="J28" i="5"/>
  <c r="I28" i="5"/>
  <c r="H28" i="5"/>
  <c r="G28" i="5"/>
  <c r="F28" i="5"/>
  <c r="R27" i="5"/>
  <c r="E26" i="5"/>
  <c r="R25" i="5"/>
  <c r="Q25" i="5"/>
  <c r="P25" i="5"/>
  <c r="O25" i="5"/>
  <c r="N25" i="5"/>
  <c r="L25" i="5"/>
  <c r="K25" i="5"/>
  <c r="J25" i="5"/>
  <c r="I25" i="5"/>
  <c r="H25" i="5"/>
  <c r="G25" i="5"/>
  <c r="F25" i="5"/>
  <c r="E24" i="5"/>
  <c r="D23" i="5"/>
  <c r="R23" i="5"/>
  <c r="Q23" i="5"/>
  <c r="P23" i="5"/>
  <c r="O23" i="5"/>
  <c r="N23" i="5"/>
  <c r="L23" i="5"/>
  <c r="K23" i="5"/>
  <c r="J23" i="5"/>
  <c r="I23" i="5"/>
  <c r="H23" i="5"/>
  <c r="G23" i="5"/>
  <c r="F23" i="5"/>
  <c r="R19" i="5"/>
  <c r="R18" i="5"/>
  <c r="Q19" i="5"/>
  <c r="Q18" i="5"/>
  <c r="P19" i="5"/>
  <c r="P18" i="5"/>
  <c r="O19" i="5"/>
  <c r="O18" i="5"/>
  <c r="K19" i="5"/>
  <c r="K18" i="5"/>
  <c r="J19" i="5"/>
  <c r="J18" i="5"/>
  <c r="I19" i="5"/>
  <c r="I18" i="5"/>
  <c r="H19" i="5"/>
  <c r="H18" i="5"/>
  <c r="G19" i="5"/>
  <c r="G18" i="5"/>
  <c r="F19" i="5"/>
  <c r="F18" i="5"/>
  <c r="Q16" i="5"/>
  <c r="P16" i="5"/>
  <c r="K16" i="5"/>
  <c r="J16" i="5"/>
  <c r="I16" i="5"/>
  <c r="H16" i="5"/>
  <c r="G16" i="5"/>
  <c r="F16" i="5"/>
  <c r="R16" i="5"/>
  <c r="R15" i="5"/>
  <c r="P15" i="5"/>
  <c r="O15" i="5"/>
  <c r="L15" i="5"/>
  <c r="K15" i="5"/>
  <c r="J15" i="5"/>
  <c r="I15" i="5"/>
  <c r="H15" i="5"/>
  <c r="G15" i="5"/>
  <c r="F15" i="5"/>
  <c r="G145" i="4"/>
  <c r="P114" i="4"/>
  <c r="P111" i="4"/>
  <c r="O114" i="4"/>
  <c r="O111" i="4"/>
  <c r="N114" i="4"/>
  <c r="L114" i="4"/>
  <c r="L111" i="4" s="1"/>
  <c r="K114" i="4"/>
  <c r="J114" i="4"/>
  <c r="J111" i="4" s="1"/>
  <c r="I114" i="4"/>
  <c r="H114" i="4"/>
  <c r="G114" i="4"/>
  <c r="F114" i="4"/>
  <c r="E114" i="4"/>
  <c r="D114" i="4"/>
  <c r="D111" i="4" s="1"/>
  <c r="N111" i="4"/>
  <c r="K111" i="4"/>
  <c r="I111" i="4"/>
  <c r="H111" i="4"/>
  <c r="G111" i="4"/>
  <c r="F111" i="4"/>
  <c r="E111" i="4"/>
  <c r="E110" i="4"/>
  <c r="O109" i="4"/>
  <c r="N109" i="4"/>
  <c r="L109" i="4"/>
  <c r="K109" i="4"/>
  <c r="J109" i="4"/>
  <c r="I109" i="4"/>
  <c r="H109" i="4"/>
  <c r="G109" i="4"/>
  <c r="F109" i="4"/>
  <c r="E109" i="4"/>
  <c r="N105" i="4"/>
  <c r="L105" i="4"/>
  <c r="K105" i="4"/>
  <c r="J105" i="4"/>
  <c r="J104" i="4" s="1"/>
  <c r="I105" i="4"/>
  <c r="H105" i="4"/>
  <c r="H104" i="4" s="1"/>
  <c r="G105" i="4"/>
  <c r="G104" i="4" s="1"/>
  <c r="F105" i="4"/>
  <c r="F104" i="4" s="1"/>
  <c r="E105" i="4"/>
  <c r="K104" i="4"/>
  <c r="P101" i="4"/>
  <c r="O101" i="4"/>
  <c r="N101" i="4"/>
  <c r="L101" i="4"/>
  <c r="K101" i="4"/>
  <c r="J101" i="4"/>
  <c r="I101" i="4"/>
  <c r="H101" i="4"/>
  <c r="G101" i="4"/>
  <c r="F101" i="4"/>
  <c r="E101" i="4"/>
  <c r="D101" i="4"/>
  <c r="P100" i="4"/>
  <c r="O100" i="4"/>
  <c r="N100" i="4"/>
  <c r="L100" i="4"/>
  <c r="K100" i="4"/>
  <c r="J100" i="4"/>
  <c r="I100" i="4"/>
  <c r="H100" i="4"/>
  <c r="G100" i="4"/>
  <c r="F100" i="4"/>
  <c r="E100" i="4"/>
  <c r="D100" i="4"/>
  <c r="E99" i="4"/>
  <c r="P98" i="4"/>
  <c r="O98" i="4"/>
  <c r="N98" i="4"/>
  <c r="L98" i="4"/>
  <c r="K98" i="4"/>
  <c r="J98" i="4"/>
  <c r="I98" i="4"/>
  <c r="H98" i="4"/>
  <c r="G98" i="4"/>
  <c r="F98" i="4"/>
  <c r="D95" i="4"/>
  <c r="P95" i="4"/>
  <c r="O95" i="4"/>
  <c r="N95" i="4"/>
  <c r="L95" i="4"/>
  <c r="K95" i="4"/>
  <c r="J95" i="4"/>
  <c r="I95" i="4"/>
  <c r="H95" i="4"/>
  <c r="G95" i="4"/>
  <c r="F95" i="4"/>
  <c r="E95" i="4"/>
  <c r="L90" i="4"/>
  <c r="L89" i="4" s="1"/>
  <c r="K90" i="4"/>
  <c r="K89" i="4" s="1"/>
  <c r="J90" i="4"/>
  <c r="J89" i="4" s="1"/>
  <c r="I90" i="4"/>
  <c r="I89" i="4" s="1"/>
  <c r="H90" i="4"/>
  <c r="H89" i="4" s="1"/>
  <c r="G90" i="4"/>
  <c r="G89" i="4" s="1"/>
  <c r="F90" i="4"/>
  <c r="F89" i="4" s="1"/>
  <c r="E90" i="4"/>
  <c r="E89" i="4" s="1"/>
  <c r="R89" i="4"/>
  <c r="Q89" i="4"/>
  <c r="P89" i="4"/>
  <c r="O89" i="4"/>
  <c r="N89" i="4"/>
  <c r="Q85" i="4"/>
  <c r="Q84" i="4" s="1"/>
  <c r="P84" i="4"/>
  <c r="N84" i="4"/>
  <c r="L85" i="4"/>
  <c r="L84" i="4" s="1"/>
  <c r="K85" i="4"/>
  <c r="K84" i="4" s="1"/>
  <c r="J85" i="4"/>
  <c r="J84" i="4" s="1"/>
  <c r="I85" i="4"/>
  <c r="I84" i="4" s="1"/>
  <c r="H85" i="4"/>
  <c r="H84" i="4" s="1"/>
  <c r="G85" i="4"/>
  <c r="G84" i="4" s="1"/>
  <c r="F85" i="4"/>
  <c r="F84" i="4" s="1"/>
  <c r="E85" i="4"/>
  <c r="E84" i="4" s="1"/>
  <c r="O84" i="4"/>
  <c r="R80" i="4"/>
  <c r="R79" i="4" s="1"/>
  <c r="Q80" i="4"/>
  <c r="Q79" i="4" s="1"/>
  <c r="P80" i="4"/>
  <c r="P79" i="4" s="1"/>
  <c r="O80" i="4"/>
  <c r="O79" i="4" s="1"/>
  <c r="L80" i="4"/>
  <c r="L79" i="4" s="1"/>
  <c r="K80" i="4"/>
  <c r="K79" i="4" s="1"/>
  <c r="J80" i="4"/>
  <c r="J79" i="4" s="1"/>
  <c r="I80" i="4"/>
  <c r="I79" i="4" s="1"/>
  <c r="H79" i="4"/>
  <c r="G79" i="4"/>
  <c r="F79" i="4"/>
  <c r="N77" i="4"/>
  <c r="M28" i="4"/>
  <c r="O76" i="4"/>
  <c r="O25" i="4"/>
  <c r="L77" i="1" s="1"/>
  <c r="N75" i="4"/>
  <c r="M74" i="4"/>
  <c r="O22" i="4"/>
  <c r="N72" i="4"/>
  <c r="N70" i="4"/>
  <c r="N69" i="4"/>
  <c r="N65" i="4"/>
  <c r="M65" i="4" s="1"/>
  <c r="D65" i="4" s="1"/>
  <c r="J64" i="4"/>
  <c r="M64" i="4" s="1"/>
  <c r="P63" i="4"/>
  <c r="O63" i="4"/>
  <c r="N63" i="4"/>
  <c r="L63" i="4"/>
  <c r="K63" i="4"/>
  <c r="I63" i="4"/>
  <c r="H63" i="4"/>
  <c r="G63" i="4"/>
  <c r="F63" i="4"/>
  <c r="E63" i="4"/>
  <c r="P62" i="4"/>
  <c r="O62" i="4"/>
  <c r="N62" i="4"/>
  <c r="L62" i="4"/>
  <c r="K62" i="4"/>
  <c r="I62" i="4"/>
  <c r="H62" i="4"/>
  <c r="G62" i="4"/>
  <c r="F62" i="4"/>
  <c r="E62" i="4"/>
  <c r="E61" i="4"/>
  <c r="E60" i="4" s="1"/>
  <c r="N60" i="4"/>
  <c r="L60" i="4"/>
  <c r="K60" i="4"/>
  <c r="J60" i="4"/>
  <c r="I60" i="4"/>
  <c r="H60" i="4"/>
  <c r="G60" i="4"/>
  <c r="F60" i="4"/>
  <c r="D60" i="4"/>
  <c r="N59" i="4"/>
  <c r="J58" i="4"/>
  <c r="M58" i="4" s="1"/>
  <c r="D58" i="4" s="1"/>
  <c r="E57" i="4"/>
  <c r="M57" i="4" s="1"/>
  <c r="P55" i="4"/>
  <c r="P54" i="4" s="1"/>
  <c r="L55" i="4"/>
  <c r="K55" i="4"/>
  <c r="I55" i="4"/>
  <c r="H55" i="4"/>
  <c r="G55" i="4"/>
  <c r="F55" i="4"/>
  <c r="O54" i="4"/>
  <c r="N51" i="4"/>
  <c r="L51" i="4"/>
  <c r="L48" i="4" s="1"/>
  <c r="K51" i="4"/>
  <c r="K48" i="4" s="1"/>
  <c r="J51" i="4"/>
  <c r="J48" i="4" s="1"/>
  <c r="I51" i="4"/>
  <c r="I48" i="4" s="1"/>
  <c r="H51" i="4"/>
  <c r="H48" i="4" s="1"/>
  <c r="G51" i="4"/>
  <c r="G48" i="4" s="1"/>
  <c r="F51" i="4"/>
  <c r="F48" i="4" s="1"/>
  <c r="E51" i="4"/>
  <c r="E48" i="4" s="1"/>
  <c r="D51" i="4"/>
  <c r="D49" i="4"/>
  <c r="N49" i="4"/>
  <c r="L49" i="4"/>
  <c r="E47" i="4"/>
  <c r="N46" i="4"/>
  <c r="K46" i="4"/>
  <c r="J46" i="4"/>
  <c r="I46" i="4"/>
  <c r="H46" i="4"/>
  <c r="G46" i="4"/>
  <c r="F46" i="4"/>
  <c r="K44" i="4"/>
  <c r="L42" i="4"/>
  <c r="L41" i="4" s="1"/>
  <c r="J42" i="4"/>
  <c r="I42" i="4"/>
  <c r="H42" i="4"/>
  <c r="G42" i="4"/>
  <c r="F42" i="4"/>
  <c r="E42" i="4"/>
  <c r="P28" i="4"/>
  <c r="O28" i="4"/>
  <c r="L28" i="4"/>
  <c r="L27" i="4" s="1"/>
  <c r="K28" i="4"/>
  <c r="J28" i="4"/>
  <c r="G83" i="1" s="1"/>
  <c r="G82" i="1" s="1"/>
  <c r="I28" i="4"/>
  <c r="F83" i="1" s="1"/>
  <c r="F82" i="1" s="1"/>
  <c r="H28" i="4"/>
  <c r="G28" i="4"/>
  <c r="F28" i="4"/>
  <c r="E28" i="4"/>
  <c r="K27" i="4"/>
  <c r="I27" i="4"/>
  <c r="P26" i="4"/>
  <c r="O26" i="4"/>
  <c r="N26" i="4"/>
  <c r="L26" i="4"/>
  <c r="K26" i="4"/>
  <c r="J26" i="4"/>
  <c r="I26" i="4"/>
  <c r="H26" i="4"/>
  <c r="G26" i="4"/>
  <c r="F26" i="4"/>
  <c r="E26" i="4"/>
  <c r="L25" i="4"/>
  <c r="I77" i="1" s="1"/>
  <c r="K25" i="4"/>
  <c r="H77" i="1" s="1"/>
  <c r="J25" i="4"/>
  <c r="I25" i="4"/>
  <c r="F77" i="1" s="1"/>
  <c r="H25" i="4"/>
  <c r="G25" i="4"/>
  <c r="D77" i="1" s="1"/>
  <c r="F25" i="4"/>
  <c r="E25" i="4"/>
  <c r="B77" i="1" s="1"/>
  <c r="K21" i="4"/>
  <c r="J21" i="4"/>
  <c r="I21" i="4"/>
  <c r="G21" i="4"/>
  <c r="F21" i="4"/>
  <c r="L21" i="4"/>
  <c r="H21" i="4"/>
  <c r="P20" i="4"/>
  <c r="O20" i="4"/>
  <c r="L20" i="4"/>
  <c r="K20" i="4"/>
  <c r="J20" i="4"/>
  <c r="I20" i="4"/>
  <c r="H20" i="4"/>
  <c r="G20" i="4"/>
  <c r="F20" i="4"/>
  <c r="E20" i="4"/>
  <c r="N18" i="4"/>
  <c r="K70" i="1" s="1"/>
  <c r="L18" i="4"/>
  <c r="I70" i="1" s="1"/>
  <c r="K18" i="4"/>
  <c r="H70" i="1" s="1"/>
  <c r="J18" i="4"/>
  <c r="G70" i="1" s="1"/>
  <c r="I18" i="4"/>
  <c r="F70" i="1" s="1"/>
  <c r="H18" i="4"/>
  <c r="E70" i="1" s="1"/>
  <c r="G18" i="4"/>
  <c r="D70" i="1" s="1"/>
  <c r="F18" i="4"/>
  <c r="C70" i="1" s="1"/>
  <c r="E18" i="4"/>
  <c r="B70" i="1" s="1"/>
  <c r="R17" i="4"/>
  <c r="O68" i="1" s="1"/>
  <c r="O123" i="1" s="1"/>
  <c r="O185" i="1" s="1"/>
  <c r="N68" i="1"/>
  <c r="N17" i="4"/>
  <c r="L17" i="4"/>
  <c r="J17" i="4"/>
  <c r="I17" i="4"/>
  <c r="F68" i="1"/>
  <c r="F123" i="1" s="1"/>
  <c r="F185" i="1" s="1"/>
  <c r="H17" i="4"/>
  <c r="E68" i="1"/>
  <c r="E123" i="1" s="1"/>
  <c r="E185" i="1" s="1"/>
  <c r="G17" i="4"/>
  <c r="D68" i="1"/>
  <c r="D123" i="1" s="1"/>
  <c r="D185" i="1" s="1"/>
  <c r="F17" i="4"/>
  <c r="C68" i="1"/>
  <c r="C123" i="1" s="1"/>
  <c r="C185" i="1" s="1"/>
  <c r="L16" i="4"/>
  <c r="I67" i="1"/>
  <c r="K16" i="4"/>
  <c r="H67" i="1"/>
  <c r="J16" i="4"/>
  <c r="G67" i="1"/>
  <c r="I16" i="4"/>
  <c r="H16" i="4"/>
  <c r="E67" i="1" s="1"/>
  <c r="G16" i="4"/>
  <c r="D67" i="1" s="1"/>
  <c r="F16" i="4"/>
  <c r="C67" i="1" s="1"/>
  <c r="N15" i="4"/>
  <c r="L15" i="4"/>
  <c r="K15" i="4"/>
  <c r="J15" i="4"/>
  <c r="I15" i="4"/>
  <c r="H15" i="4"/>
  <c r="E65" i="1" s="1"/>
  <c r="G15" i="4"/>
  <c r="F15" i="4"/>
  <c r="C65" i="1" s="1"/>
  <c r="E15" i="4"/>
  <c r="N11" i="4"/>
  <c r="L11" i="4"/>
  <c r="K11" i="4"/>
  <c r="J11" i="4"/>
  <c r="I11" i="4"/>
  <c r="I10" i="4" s="1"/>
  <c r="H11" i="4"/>
  <c r="E60" i="1" s="1"/>
  <c r="G11" i="4"/>
  <c r="G10" i="4" s="1"/>
  <c r="F11" i="4"/>
  <c r="C60" i="1" s="1"/>
  <c r="E11" i="4"/>
  <c r="N221" i="3"/>
  <c r="K222" i="3"/>
  <c r="E222" i="3"/>
  <c r="Q221" i="3"/>
  <c r="P221" i="3"/>
  <c r="O221" i="3"/>
  <c r="L221" i="3"/>
  <c r="K221" i="3"/>
  <c r="J221" i="3"/>
  <c r="I221" i="3"/>
  <c r="H221" i="3"/>
  <c r="G221" i="3"/>
  <c r="F221" i="3"/>
  <c r="E220" i="3"/>
  <c r="Q219" i="3"/>
  <c r="P219" i="3"/>
  <c r="P218" i="3"/>
  <c r="O219" i="3"/>
  <c r="N219" i="3"/>
  <c r="L219" i="3"/>
  <c r="K219" i="3"/>
  <c r="K218" i="3"/>
  <c r="J219" i="3"/>
  <c r="I219" i="3"/>
  <c r="I218" i="3"/>
  <c r="H219" i="3"/>
  <c r="G219" i="3"/>
  <c r="G218" i="3"/>
  <c r="F219" i="3"/>
  <c r="E219" i="3"/>
  <c r="Q218" i="3"/>
  <c r="O218" i="3"/>
  <c r="E217" i="3"/>
  <c r="D17" i="3"/>
  <c r="Q216" i="3"/>
  <c r="P216" i="3"/>
  <c r="O216" i="3"/>
  <c r="N216" i="3"/>
  <c r="L216" i="3"/>
  <c r="K216" i="3"/>
  <c r="J216" i="3"/>
  <c r="I216" i="3"/>
  <c r="H216" i="3"/>
  <c r="G216" i="3"/>
  <c r="F216" i="3"/>
  <c r="E215" i="3"/>
  <c r="M215" i="3"/>
  <c r="D215" i="3"/>
  <c r="E214" i="3"/>
  <c r="Q213" i="3"/>
  <c r="Q212" i="3" s="1"/>
  <c r="P213" i="3"/>
  <c r="O213" i="3"/>
  <c r="O212" i="3"/>
  <c r="N213" i="3"/>
  <c r="N212" i="3"/>
  <c r="L213" i="3"/>
  <c r="L212" i="3"/>
  <c r="K213" i="3"/>
  <c r="K212" i="3"/>
  <c r="J213" i="3"/>
  <c r="J212" i="3"/>
  <c r="I213" i="3"/>
  <c r="I212" i="3"/>
  <c r="H213" i="3"/>
  <c r="H212" i="3"/>
  <c r="G213" i="3"/>
  <c r="G212" i="3"/>
  <c r="F213" i="3"/>
  <c r="F212" i="3"/>
  <c r="N209" i="3"/>
  <c r="L210" i="3"/>
  <c r="K210" i="3"/>
  <c r="E210" i="3"/>
  <c r="Q209" i="3"/>
  <c r="P209" i="3"/>
  <c r="O209" i="3"/>
  <c r="J209" i="3"/>
  <c r="I209" i="3"/>
  <c r="H209" i="3"/>
  <c r="G209" i="3"/>
  <c r="F209" i="3"/>
  <c r="E208" i="3"/>
  <c r="Q207" i="3"/>
  <c r="P207" i="3"/>
  <c r="O207" i="3"/>
  <c r="N207" i="3"/>
  <c r="L207" i="3"/>
  <c r="K207" i="3"/>
  <c r="J207" i="3"/>
  <c r="I207" i="3"/>
  <c r="H207" i="3"/>
  <c r="G207" i="3"/>
  <c r="F207" i="3"/>
  <c r="E205" i="3"/>
  <c r="Q204" i="3"/>
  <c r="P204" i="3"/>
  <c r="O204" i="3"/>
  <c r="J204" i="3"/>
  <c r="I204" i="3"/>
  <c r="H204" i="3"/>
  <c r="G204" i="3"/>
  <c r="F204" i="3"/>
  <c r="E203" i="3"/>
  <c r="D203" i="3"/>
  <c r="E202" i="3"/>
  <c r="D202" i="3"/>
  <c r="Q201" i="3"/>
  <c r="P201" i="3"/>
  <c r="P200" i="3"/>
  <c r="O201" i="3"/>
  <c r="N201" i="3"/>
  <c r="L201" i="3"/>
  <c r="K201" i="3"/>
  <c r="J201" i="3"/>
  <c r="I201" i="3"/>
  <c r="H201" i="3"/>
  <c r="G201" i="3"/>
  <c r="F201" i="3"/>
  <c r="P197" i="3"/>
  <c r="P195" i="3"/>
  <c r="Q194" i="3"/>
  <c r="Q192" i="3"/>
  <c r="P192" i="3"/>
  <c r="Q189" i="3"/>
  <c r="P189" i="3"/>
  <c r="Q185" i="3"/>
  <c r="P185" i="3"/>
  <c r="Q183" i="3"/>
  <c r="P183" i="3"/>
  <c r="P180" i="3"/>
  <c r="P177" i="3"/>
  <c r="H21" i="10"/>
  <c r="E21" i="10"/>
  <c r="E150" i="3"/>
  <c r="E149" i="3"/>
  <c r="P149" i="3"/>
  <c r="O149" i="3"/>
  <c r="N149" i="3"/>
  <c r="L149" i="3"/>
  <c r="K149" i="3"/>
  <c r="J149" i="3"/>
  <c r="I149" i="3"/>
  <c r="H149" i="3"/>
  <c r="G149" i="3"/>
  <c r="F149" i="3"/>
  <c r="E148" i="3"/>
  <c r="D148" i="3"/>
  <c r="D147" i="3"/>
  <c r="P147" i="3"/>
  <c r="O147" i="3"/>
  <c r="N147" i="3"/>
  <c r="L147" i="3"/>
  <c r="L146" i="3"/>
  <c r="K147" i="3"/>
  <c r="J147" i="3"/>
  <c r="I147" i="3"/>
  <c r="H147" i="3"/>
  <c r="H146" i="3"/>
  <c r="G147" i="3"/>
  <c r="F147" i="3"/>
  <c r="E145" i="3"/>
  <c r="P144" i="3"/>
  <c r="O144" i="3"/>
  <c r="N144" i="3"/>
  <c r="L144" i="3"/>
  <c r="K144" i="3"/>
  <c r="J144" i="3"/>
  <c r="I144" i="3"/>
  <c r="H144" i="3"/>
  <c r="G144" i="3"/>
  <c r="F144" i="3"/>
  <c r="E143" i="3"/>
  <c r="E142" i="3"/>
  <c r="P141" i="3"/>
  <c r="P140" i="3"/>
  <c r="O141" i="3"/>
  <c r="N141" i="3"/>
  <c r="K141" i="3"/>
  <c r="J141" i="3"/>
  <c r="I141" i="3"/>
  <c r="H141" i="3"/>
  <c r="G141" i="3"/>
  <c r="F141" i="3"/>
  <c r="L23" i="3"/>
  <c r="L21" i="3"/>
  <c r="I137" i="3"/>
  <c r="H23" i="3"/>
  <c r="H21" i="3"/>
  <c r="G23" i="3"/>
  <c r="G21" i="3"/>
  <c r="F23" i="3"/>
  <c r="F21" i="3"/>
  <c r="P137" i="3"/>
  <c r="N137" i="3"/>
  <c r="K137" i="3"/>
  <c r="H137" i="3"/>
  <c r="J20" i="3"/>
  <c r="J19" i="3" s="1"/>
  <c r="E135" i="3"/>
  <c r="P135" i="3"/>
  <c r="O135" i="3"/>
  <c r="N135" i="3"/>
  <c r="L135" i="3"/>
  <c r="K135" i="3"/>
  <c r="H135" i="3"/>
  <c r="H134" i="3"/>
  <c r="G135" i="3"/>
  <c r="F135" i="3"/>
  <c r="J17" i="3"/>
  <c r="J15" i="3" s="1"/>
  <c r="I132" i="3"/>
  <c r="H17" i="3"/>
  <c r="H15" i="3" s="1"/>
  <c r="G17" i="3"/>
  <c r="G15" i="3" s="1"/>
  <c r="F17" i="3"/>
  <c r="F15" i="3" s="1"/>
  <c r="P132" i="3"/>
  <c r="N132" i="3"/>
  <c r="K132" i="3"/>
  <c r="J132" i="3"/>
  <c r="F132" i="3"/>
  <c r="J14" i="3"/>
  <c r="J12" i="3" s="1"/>
  <c r="I14" i="3"/>
  <c r="O129" i="3"/>
  <c r="H12" i="3"/>
  <c r="G12" i="3"/>
  <c r="F12" i="3"/>
  <c r="P129" i="3"/>
  <c r="N129" i="3"/>
  <c r="K129" i="3"/>
  <c r="G129" i="3"/>
  <c r="E126" i="3"/>
  <c r="P125" i="3"/>
  <c r="O125" i="3"/>
  <c r="N125" i="3"/>
  <c r="L125" i="3"/>
  <c r="K125" i="3"/>
  <c r="J125" i="3"/>
  <c r="H125" i="3"/>
  <c r="G125" i="3"/>
  <c r="F125" i="3"/>
  <c r="E125" i="3"/>
  <c r="J123" i="3"/>
  <c r="E124" i="3"/>
  <c r="P123" i="3"/>
  <c r="O123" i="3"/>
  <c r="N123" i="3"/>
  <c r="N122" i="3"/>
  <c r="L123" i="3"/>
  <c r="K123" i="3"/>
  <c r="K122" i="3"/>
  <c r="I123" i="3"/>
  <c r="H123" i="3"/>
  <c r="G123" i="3"/>
  <c r="G122" i="3"/>
  <c r="F123" i="3"/>
  <c r="E123" i="3"/>
  <c r="E122" i="3"/>
  <c r="P122" i="3"/>
  <c r="J120" i="3"/>
  <c r="E121" i="3"/>
  <c r="P120" i="3"/>
  <c r="O120" i="3"/>
  <c r="N120" i="3"/>
  <c r="L120" i="3"/>
  <c r="K120" i="3"/>
  <c r="I120" i="3"/>
  <c r="H120" i="3"/>
  <c r="G120" i="3"/>
  <c r="F120" i="3"/>
  <c r="I117" i="3"/>
  <c r="E119" i="3"/>
  <c r="E118" i="3"/>
  <c r="D118" i="3"/>
  <c r="P117" i="3"/>
  <c r="O117" i="3"/>
  <c r="N117" i="3"/>
  <c r="K117" i="3"/>
  <c r="J117" i="3"/>
  <c r="H117" i="3"/>
  <c r="G117" i="3"/>
  <c r="F117" i="3"/>
  <c r="Q113" i="3"/>
  <c r="Q111" i="3"/>
  <c r="Q108" i="3"/>
  <c r="Q105" i="3"/>
  <c r="Q101" i="3"/>
  <c r="P101" i="3"/>
  <c r="O101" i="3"/>
  <c r="N101" i="3"/>
  <c r="L101" i="3"/>
  <c r="D101" i="3"/>
  <c r="N99" i="3"/>
  <c r="Q99" i="3"/>
  <c r="P99" i="3"/>
  <c r="O99" i="3"/>
  <c r="D97" i="3"/>
  <c r="Q96" i="3"/>
  <c r="P96" i="3"/>
  <c r="O96" i="3"/>
  <c r="D94" i="3"/>
  <c r="Q93" i="3"/>
  <c r="P93" i="3"/>
  <c r="O93" i="3"/>
  <c r="N93" i="3"/>
  <c r="O92" i="3"/>
  <c r="O89" i="3"/>
  <c r="P89" i="3"/>
  <c r="L89" i="3"/>
  <c r="K89" i="3"/>
  <c r="J89" i="3"/>
  <c r="I89" i="3"/>
  <c r="H89" i="3"/>
  <c r="G89" i="3"/>
  <c r="F89" i="3"/>
  <c r="E89" i="3"/>
  <c r="O87" i="3"/>
  <c r="N87" i="3"/>
  <c r="D88" i="3"/>
  <c r="P87" i="3"/>
  <c r="P86" i="3"/>
  <c r="L87" i="3"/>
  <c r="L86" i="3"/>
  <c r="K87" i="3"/>
  <c r="K86" i="3"/>
  <c r="J87" i="3"/>
  <c r="J86" i="3"/>
  <c r="I87" i="3"/>
  <c r="I86" i="3"/>
  <c r="H87" i="3"/>
  <c r="H86" i="3"/>
  <c r="G87" i="3"/>
  <c r="F87" i="3"/>
  <c r="F86" i="3"/>
  <c r="E87" i="3"/>
  <c r="E86" i="3"/>
  <c r="G86" i="3"/>
  <c r="N84" i="3"/>
  <c r="D85" i="3"/>
  <c r="P84" i="3"/>
  <c r="L84" i="3"/>
  <c r="K84" i="3"/>
  <c r="J84" i="3"/>
  <c r="I84" i="3"/>
  <c r="H84" i="3"/>
  <c r="G84" i="3"/>
  <c r="F84" i="3"/>
  <c r="E84" i="3"/>
  <c r="P81" i="3"/>
  <c r="O81" i="3"/>
  <c r="K81" i="3"/>
  <c r="J81" i="3"/>
  <c r="I81" i="3"/>
  <c r="H81" i="3"/>
  <c r="G81" i="3"/>
  <c r="F81" i="3"/>
  <c r="E81" i="3"/>
  <c r="N78" i="3"/>
  <c r="N23" i="3"/>
  <c r="N21" i="3"/>
  <c r="I77" i="3"/>
  <c r="E78" i="3"/>
  <c r="E77" i="3"/>
  <c r="P77" i="3"/>
  <c r="O77" i="3"/>
  <c r="L77" i="3"/>
  <c r="H77" i="3"/>
  <c r="G77" i="3"/>
  <c r="F77" i="3"/>
  <c r="N75" i="3"/>
  <c r="J75" i="3"/>
  <c r="E76" i="3"/>
  <c r="P75" i="3"/>
  <c r="O75" i="3"/>
  <c r="L75" i="3"/>
  <c r="K75" i="3"/>
  <c r="H75" i="3"/>
  <c r="H74" i="3"/>
  <c r="G75" i="3"/>
  <c r="F75" i="3"/>
  <c r="F74" i="3"/>
  <c r="N72" i="3"/>
  <c r="I72" i="3"/>
  <c r="E73" i="3"/>
  <c r="E72" i="3"/>
  <c r="P72" i="3"/>
  <c r="O72" i="3"/>
  <c r="L72" i="3"/>
  <c r="K72" i="3"/>
  <c r="J72" i="3"/>
  <c r="H72" i="3"/>
  <c r="G72" i="3"/>
  <c r="F72" i="3"/>
  <c r="E71" i="3"/>
  <c r="E70" i="3"/>
  <c r="P69" i="3"/>
  <c r="O69" i="3"/>
  <c r="L69" i="3"/>
  <c r="K69" i="3"/>
  <c r="J69" i="3"/>
  <c r="H69" i="3"/>
  <c r="G69" i="3"/>
  <c r="F69" i="3"/>
  <c r="M64" i="3"/>
  <c r="M63" i="3" s="1"/>
  <c r="M62" i="3" s="1"/>
  <c r="E54" i="3"/>
  <c r="M54" i="3"/>
  <c r="D54" i="3" s="1"/>
  <c r="H52" i="3"/>
  <c r="H9" i="3" s="1"/>
  <c r="H8" i="3" s="1"/>
  <c r="L48" i="3"/>
  <c r="K48" i="3"/>
  <c r="J48" i="3"/>
  <c r="I48" i="3"/>
  <c r="H48" i="3"/>
  <c r="G48" i="3"/>
  <c r="F48" i="3"/>
  <c r="E48" i="3"/>
  <c r="O46" i="3"/>
  <c r="N46" i="3"/>
  <c r="L46" i="3"/>
  <c r="L45" i="3" s="1"/>
  <c r="K46" i="3"/>
  <c r="K45" i="3" s="1"/>
  <c r="J46" i="3"/>
  <c r="J45" i="3" s="1"/>
  <c r="I46" i="3"/>
  <c r="I45" i="3" s="1"/>
  <c r="H46" i="3"/>
  <c r="H45" i="3" s="1"/>
  <c r="G46" i="3"/>
  <c r="G45" i="3" s="1"/>
  <c r="F46" i="3"/>
  <c r="F45" i="3" s="1"/>
  <c r="E46" i="3"/>
  <c r="E45" i="3" s="1"/>
  <c r="L39" i="3"/>
  <c r="K39" i="3"/>
  <c r="J39" i="3"/>
  <c r="I39" i="3"/>
  <c r="H39" i="3"/>
  <c r="G39" i="3"/>
  <c r="F39" i="3"/>
  <c r="E39" i="3"/>
  <c r="E34" i="3"/>
  <c r="M34" i="3"/>
  <c r="L33" i="3"/>
  <c r="L32" i="3" s="1"/>
  <c r="K33" i="3"/>
  <c r="J33" i="3"/>
  <c r="I33" i="3"/>
  <c r="H33" i="3"/>
  <c r="H32" i="3" s="1"/>
  <c r="G33" i="3"/>
  <c r="F33" i="3"/>
  <c r="O32" i="3"/>
  <c r="E30" i="3"/>
  <c r="P29" i="3"/>
  <c r="P28" i="3"/>
  <c r="O29" i="3"/>
  <c r="O28" i="3"/>
  <c r="N29" i="3"/>
  <c r="N28" i="3"/>
  <c r="L29" i="3"/>
  <c r="L28" i="3"/>
  <c r="K29" i="3"/>
  <c r="K28" i="3"/>
  <c r="J29" i="3"/>
  <c r="J28" i="3"/>
  <c r="I29" i="3"/>
  <c r="I28" i="3"/>
  <c r="H29" i="3"/>
  <c r="H28" i="3"/>
  <c r="G29" i="3"/>
  <c r="G28" i="3"/>
  <c r="F29" i="3"/>
  <c r="F28" i="3"/>
  <c r="E27" i="3"/>
  <c r="E26" i="3"/>
  <c r="E25" i="3"/>
  <c r="P26" i="3"/>
  <c r="P25" i="3"/>
  <c r="O26" i="3"/>
  <c r="O25" i="3"/>
  <c r="N26" i="3"/>
  <c r="N25" i="3"/>
  <c r="K26" i="3"/>
  <c r="K25" i="3"/>
  <c r="J26" i="3"/>
  <c r="J25" i="3"/>
  <c r="I26" i="3"/>
  <c r="I25" i="3"/>
  <c r="H26" i="3"/>
  <c r="H25" i="3"/>
  <c r="G26" i="3"/>
  <c r="G25" i="3"/>
  <c r="F26" i="3"/>
  <c r="F25" i="3"/>
  <c r="R694" i="2"/>
  <c r="R693" i="2"/>
  <c r="Q694" i="2"/>
  <c r="P694" i="2"/>
  <c r="P693" i="2"/>
  <c r="Z693" i="2"/>
  <c r="O694" i="2"/>
  <c r="O693" i="2"/>
  <c r="N694" i="2"/>
  <c r="N693" i="2"/>
  <c r="L694" i="2"/>
  <c r="L693" i="2"/>
  <c r="D694" i="2"/>
  <c r="D693" i="2"/>
  <c r="Q693" i="2"/>
  <c r="M667" i="2"/>
  <c r="Z665" i="2"/>
  <c r="L663" i="2"/>
  <c r="P660" i="2"/>
  <c r="O660" i="2"/>
  <c r="N660" i="2"/>
  <c r="H660" i="2"/>
  <c r="E102" i="1"/>
  <c r="G660" i="2"/>
  <c r="D102" i="1"/>
  <c r="F660" i="2"/>
  <c r="C102" i="1"/>
  <c r="Q660" i="2"/>
  <c r="L659" i="2"/>
  <c r="M659" i="2"/>
  <c r="L658" i="2"/>
  <c r="M658" i="2"/>
  <c r="D658" i="2"/>
  <c r="R657" i="2"/>
  <c r="R656" i="2"/>
  <c r="Q657" i="2"/>
  <c r="Q656" i="2"/>
  <c r="N657" i="2"/>
  <c r="N656" i="2"/>
  <c r="L654" i="2"/>
  <c r="L653" i="2"/>
  <c r="L652" i="2"/>
  <c r="K654" i="2"/>
  <c r="K653" i="2"/>
  <c r="K652" i="2"/>
  <c r="J654" i="2"/>
  <c r="R653" i="2"/>
  <c r="R652" i="2"/>
  <c r="Q653" i="2"/>
  <c r="Q652" i="2"/>
  <c r="P653" i="2"/>
  <c r="P652" i="2"/>
  <c r="O653" i="2"/>
  <c r="O652" i="2"/>
  <c r="D642" i="2"/>
  <c r="D641" i="2"/>
  <c r="N642" i="2"/>
  <c r="N641" i="2"/>
  <c r="L642" i="2"/>
  <c r="L641" i="2"/>
  <c r="K642" i="2"/>
  <c r="K641" i="2"/>
  <c r="J642" i="2"/>
  <c r="J641" i="2"/>
  <c r="I642" i="2"/>
  <c r="I641" i="2"/>
  <c r="H642" i="2"/>
  <c r="H641" i="2"/>
  <c r="G642" i="2"/>
  <c r="G641" i="2"/>
  <c r="F642" i="2"/>
  <c r="F641" i="2"/>
  <c r="E642" i="2"/>
  <c r="E641" i="2"/>
  <c r="L638" i="2"/>
  <c r="L637" i="2"/>
  <c r="E639" i="2"/>
  <c r="M639" i="2"/>
  <c r="D639" i="2"/>
  <c r="D638" i="2"/>
  <c r="N638" i="2"/>
  <c r="N637" i="2"/>
  <c r="K638" i="2"/>
  <c r="K637" i="2"/>
  <c r="I638" i="2"/>
  <c r="I637" i="2"/>
  <c r="H638" i="2"/>
  <c r="H637" i="2"/>
  <c r="G638" i="2"/>
  <c r="G637" i="2"/>
  <c r="F638" i="2"/>
  <c r="F637" i="2"/>
  <c r="N634" i="2"/>
  <c r="N633" i="2"/>
  <c r="L635" i="2"/>
  <c r="I635" i="2"/>
  <c r="I634" i="2"/>
  <c r="I633" i="2"/>
  <c r="E635" i="2"/>
  <c r="M635" i="2"/>
  <c r="D635" i="2"/>
  <c r="P634" i="2"/>
  <c r="P633" i="2"/>
  <c r="O634" i="2"/>
  <c r="O633" i="2"/>
  <c r="K634" i="2"/>
  <c r="K633" i="2"/>
  <c r="J634" i="2"/>
  <c r="J633" i="2"/>
  <c r="H634" i="2"/>
  <c r="H633" i="2"/>
  <c r="G634" i="2"/>
  <c r="G633" i="2"/>
  <c r="F634" i="2"/>
  <c r="F633" i="2"/>
  <c r="D630" i="2"/>
  <c r="D629" i="2"/>
  <c r="I630" i="2"/>
  <c r="I629" i="2"/>
  <c r="H630" i="2"/>
  <c r="H629" i="2"/>
  <c r="G630" i="2"/>
  <c r="G629" i="2"/>
  <c r="F630" i="2"/>
  <c r="F629" i="2"/>
  <c r="E630" i="2"/>
  <c r="E629" i="2"/>
  <c r="I627" i="2"/>
  <c r="I586" i="2"/>
  <c r="E627" i="2"/>
  <c r="H626" i="2"/>
  <c r="H625" i="2"/>
  <c r="G626" i="2"/>
  <c r="G625" i="2"/>
  <c r="F626" i="2"/>
  <c r="F625" i="2"/>
  <c r="L619" i="2"/>
  <c r="K619" i="2"/>
  <c r="K586" i="2"/>
  <c r="E619" i="2"/>
  <c r="R618" i="2"/>
  <c r="R617" i="2"/>
  <c r="Q618" i="2"/>
  <c r="Q617" i="2"/>
  <c r="P618" i="2"/>
  <c r="P617" i="2"/>
  <c r="O618" i="2"/>
  <c r="O617" i="2"/>
  <c r="J618" i="2"/>
  <c r="J617" i="2"/>
  <c r="I618" i="2"/>
  <c r="I617" i="2"/>
  <c r="H618" i="2"/>
  <c r="H617" i="2"/>
  <c r="G618" i="2"/>
  <c r="G617" i="2"/>
  <c r="F618" i="2"/>
  <c r="F617" i="2"/>
  <c r="R614" i="2"/>
  <c r="R613" i="2"/>
  <c r="Q614" i="2"/>
  <c r="O614" i="2"/>
  <c r="O613" i="2"/>
  <c r="N614" i="2"/>
  <c r="N613" i="2"/>
  <c r="L614" i="2"/>
  <c r="L613" i="2"/>
  <c r="K614" i="2"/>
  <c r="K613" i="2"/>
  <c r="J614" i="2"/>
  <c r="J613" i="2"/>
  <c r="Q613" i="2"/>
  <c r="Q583" i="2"/>
  <c r="E611" i="2"/>
  <c r="P610" i="2"/>
  <c r="P609" i="2"/>
  <c r="O610" i="2"/>
  <c r="O609" i="2"/>
  <c r="N610" i="2"/>
  <c r="N609" i="2"/>
  <c r="L610" i="2"/>
  <c r="L609" i="2"/>
  <c r="K610" i="2"/>
  <c r="K609" i="2"/>
  <c r="J610" i="2"/>
  <c r="J609" i="2"/>
  <c r="I610" i="2"/>
  <c r="I609" i="2"/>
  <c r="H610" i="2"/>
  <c r="H609" i="2"/>
  <c r="G610" i="2"/>
  <c r="G609" i="2"/>
  <c r="F610" i="2"/>
  <c r="F609" i="2"/>
  <c r="E608" i="2"/>
  <c r="M608" i="2"/>
  <c r="D608" i="2"/>
  <c r="D588" i="2"/>
  <c r="N607" i="2"/>
  <c r="N586" i="2"/>
  <c r="E607" i="2"/>
  <c r="P606" i="2"/>
  <c r="L606" i="2"/>
  <c r="L605" i="2"/>
  <c r="K606" i="2"/>
  <c r="K605" i="2"/>
  <c r="J606" i="2"/>
  <c r="J605" i="2"/>
  <c r="J583" i="2"/>
  <c r="I606" i="2"/>
  <c r="I605" i="2"/>
  <c r="I583" i="2"/>
  <c r="H606" i="2"/>
  <c r="H605" i="2"/>
  <c r="H583" i="2"/>
  <c r="G606" i="2"/>
  <c r="G605" i="2"/>
  <c r="F606" i="2"/>
  <c r="F605" i="2"/>
  <c r="F583" i="2"/>
  <c r="P605" i="2"/>
  <c r="R598" i="2"/>
  <c r="R597" i="2"/>
  <c r="R582" i="2"/>
  <c r="Q598" i="2"/>
  <c r="Q597" i="2"/>
  <c r="Q582" i="2"/>
  <c r="P598" i="2"/>
  <c r="P597" i="2"/>
  <c r="L598" i="2"/>
  <c r="L597" i="2"/>
  <c r="K598" i="2"/>
  <c r="J598" i="2"/>
  <c r="J597" i="2"/>
  <c r="I598" i="2"/>
  <c r="I597" i="2"/>
  <c r="I582" i="2"/>
  <c r="H598" i="2"/>
  <c r="H597" i="2"/>
  <c r="H582" i="2"/>
  <c r="G598" i="2"/>
  <c r="G597" i="2"/>
  <c r="G582" i="2"/>
  <c r="F598" i="2"/>
  <c r="F597" i="2"/>
  <c r="F582" i="2"/>
  <c r="E598" i="2"/>
  <c r="E597" i="2"/>
  <c r="E582" i="2"/>
  <c r="N597" i="2"/>
  <c r="K597" i="2"/>
  <c r="O78" i="1"/>
  <c r="O76" i="1" s="1"/>
  <c r="O75" i="1" s="1"/>
  <c r="O86" i="1" s="1"/>
  <c r="M78" i="1"/>
  <c r="L78" i="1"/>
  <c r="H78" i="1"/>
  <c r="G78" i="1"/>
  <c r="F78" i="1"/>
  <c r="E78" i="1"/>
  <c r="D78" i="1"/>
  <c r="C78" i="1"/>
  <c r="R588" i="2"/>
  <c r="O69" i="1"/>
  <c r="Q588" i="2"/>
  <c r="N69" i="1"/>
  <c r="P588" i="2"/>
  <c r="M69" i="1"/>
  <c r="O588" i="2"/>
  <c r="N588" i="2"/>
  <c r="K588" i="2"/>
  <c r="H69" i="1"/>
  <c r="J588" i="2"/>
  <c r="G69" i="1"/>
  <c r="I588" i="2"/>
  <c r="F69" i="1"/>
  <c r="H588" i="2"/>
  <c r="E69" i="1"/>
  <c r="G588" i="2"/>
  <c r="D69" i="1"/>
  <c r="F588" i="2"/>
  <c r="C69" i="1"/>
  <c r="R578" i="2"/>
  <c r="Q578" i="2"/>
  <c r="Q577" i="2"/>
  <c r="P578" i="2"/>
  <c r="P577" i="2"/>
  <c r="O578" i="2"/>
  <c r="O577" i="2"/>
  <c r="R577" i="2"/>
  <c r="R575" i="2"/>
  <c r="Q575" i="2"/>
  <c r="P575" i="2"/>
  <c r="O575" i="2"/>
  <c r="N575" i="2"/>
  <c r="N574" i="2"/>
  <c r="M574" i="2"/>
  <c r="R573" i="2"/>
  <c r="Q573" i="2"/>
  <c r="P573" i="2"/>
  <c r="Q570" i="2"/>
  <c r="Q569" i="2"/>
  <c r="Q568" i="2"/>
  <c r="O41" i="10"/>
  <c r="P570" i="2"/>
  <c r="P569" i="2"/>
  <c r="P568" i="2"/>
  <c r="N41" i="10"/>
  <c r="O570" i="2"/>
  <c r="O569" i="2"/>
  <c r="O568" i="2"/>
  <c r="M41" i="10"/>
  <c r="Q567" i="2"/>
  <c r="Q566" i="2"/>
  <c r="P567" i="2"/>
  <c r="O567" i="2"/>
  <c r="N567" i="2"/>
  <c r="N20" i="2"/>
  <c r="Q565" i="2"/>
  <c r="Q564" i="2"/>
  <c r="P565" i="2"/>
  <c r="O560" i="2"/>
  <c r="N560" i="2"/>
  <c r="N559" i="2"/>
  <c r="E561" i="2"/>
  <c r="P560" i="2"/>
  <c r="L560" i="2"/>
  <c r="L559" i="2"/>
  <c r="K560" i="2"/>
  <c r="K559" i="2"/>
  <c r="J560" i="2"/>
  <c r="J559" i="2"/>
  <c r="I560" i="2"/>
  <c r="I559" i="2"/>
  <c r="H560" i="2"/>
  <c r="H559" i="2"/>
  <c r="G560" i="2"/>
  <c r="G559" i="2"/>
  <c r="F560" i="2"/>
  <c r="F559" i="2"/>
  <c r="N557" i="2"/>
  <c r="I558" i="2"/>
  <c r="I526" i="2"/>
  <c r="E558" i="2"/>
  <c r="P557" i="2"/>
  <c r="L557" i="2"/>
  <c r="K557" i="2"/>
  <c r="J557" i="2"/>
  <c r="I557" i="2"/>
  <c r="H557" i="2"/>
  <c r="G557" i="2"/>
  <c r="F557" i="2"/>
  <c r="I556" i="2"/>
  <c r="E556" i="2"/>
  <c r="P555" i="2"/>
  <c r="N555" i="2"/>
  <c r="L555" i="2"/>
  <c r="K555" i="2"/>
  <c r="J555" i="2"/>
  <c r="H555" i="2"/>
  <c r="H554" i="2"/>
  <c r="G555" i="2"/>
  <c r="F555" i="2"/>
  <c r="F554" i="2"/>
  <c r="N549" i="2"/>
  <c r="D550" i="2"/>
  <c r="K549" i="2"/>
  <c r="J549" i="2"/>
  <c r="I549" i="2"/>
  <c r="H549" i="2"/>
  <c r="G549" i="2"/>
  <c r="F549" i="2"/>
  <c r="E549" i="2"/>
  <c r="N545" i="2"/>
  <c r="P545" i="2"/>
  <c r="O545" i="2"/>
  <c r="O544" i="2"/>
  <c r="K545" i="2"/>
  <c r="J545" i="2"/>
  <c r="I545" i="2"/>
  <c r="H545" i="2"/>
  <c r="G545" i="2"/>
  <c r="F545" i="2"/>
  <c r="E545" i="2"/>
  <c r="L526" i="2"/>
  <c r="P541" i="2"/>
  <c r="O541" i="2"/>
  <c r="N541" i="2"/>
  <c r="L541" i="2"/>
  <c r="K541" i="2"/>
  <c r="J541" i="2"/>
  <c r="I541" i="2"/>
  <c r="H541" i="2"/>
  <c r="G541" i="2"/>
  <c r="F541" i="2"/>
  <c r="E541" i="2"/>
  <c r="L524" i="2"/>
  <c r="O537" i="2"/>
  <c r="N522" i="2"/>
  <c r="P537" i="2"/>
  <c r="L537" i="2"/>
  <c r="K537" i="2"/>
  <c r="J537" i="2"/>
  <c r="I537" i="2"/>
  <c r="H537" i="2"/>
  <c r="G537" i="2"/>
  <c r="F537" i="2"/>
  <c r="E537" i="2"/>
  <c r="R534" i="2"/>
  <c r="R34" i="2"/>
  <c r="O43" i="1"/>
  <c r="O146" i="1"/>
  <c r="O208" i="1"/>
  <c r="Q534" i="2"/>
  <c r="Q34" i="2"/>
  <c r="N43" i="1"/>
  <c r="N146" i="1"/>
  <c r="N208" i="1"/>
  <c r="P534" i="2"/>
  <c r="P34" i="2"/>
  <c r="M43" i="1"/>
  <c r="M146" i="1"/>
  <c r="M208" i="1"/>
  <c r="O534" i="2"/>
  <c r="O34" i="2"/>
  <c r="L43" i="1"/>
  <c r="N534" i="2"/>
  <c r="N34" i="2"/>
  <c r="K43" i="1"/>
  <c r="K146" i="1"/>
  <c r="K208" i="1"/>
  <c r="L534" i="2"/>
  <c r="L34" i="2"/>
  <c r="I43" i="1"/>
  <c r="I146" i="1"/>
  <c r="I208" i="1"/>
  <c r="K534" i="2"/>
  <c r="K34" i="2"/>
  <c r="H43" i="1"/>
  <c r="H146" i="1"/>
  <c r="H208" i="1"/>
  <c r="J534" i="2"/>
  <c r="J34" i="2"/>
  <c r="G43" i="1"/>
  <c r="G146" i="1"/>
  <c r="G208" i="1"/>
  <c r="I534" i="2"/>
  <c r="I34" i="2"/>
  <c r="F43" i="1"/>
  <c r="F146" i="1"/>
  <c r="F208" i="1"/>
  <c r="H534" i="2"/>
  <c r="H34" i="2"/>
  <c r="E43" i="1"/>
  <c r="E146" i="1"/>
  <c r="E208" i="1"/>
  <c r="G534" i="2"/>
  <c r="G34" i="2"/>
  <c r="D43" i="1"/>
  <c r="D146" i="1"/>
  <c r="D208" i="1"/>
  <c r="F534" i="2"/>
  <c r="F34" i="2"/>
  <c r="C43" i="1"/>
  <c r="C146" i="1"/>
  <c r="C208" i="1"/>
  <c r="E534" i="2"/>
  <c r="E34" i="2"/>
  <c r="B43" i="1"/>
  <c r="B146" i="1"/>
  <c r="B208" i="1"/>
  <c r="R533" i="2"/>
  <c r="Q533" i="2"/>
  <c r="P533" i="2"/>
  <c r="K533" i="2"/>
  <c r="K532" i="2"/>
  <c r="J533" i="2"/>
  <c r="I533" i="2"/>
  <c r="I532" i="2"/>
  <c r="H533" i="2"/>
  <c r="G533" i="2"/>
  <c r="G532" i="2"/>
  <c r="F533" i="2"/>
  <c r="R531" i="2"/>
  <c r="R27" i="2"/>
  <c r="Q531" i="2"/>
  <c r="Q27" i="2"/>
  <c r="N38" i="1"/>
  <c r="P531" i="2"/>
  <c r="O531" i="2"/>
  <c r="K531" i="2"/>
  <c r="K27" i="2"/>
  <c r="J531" i="2"/>
  <c r="I531" i="2"/>
  <c r="H531" i="2"/>
  <c r="G531" i="2"/>
  <c r="F531" i="2"/>
  <c r="E531" i="2"/>
  <c r="R530" i="2"/>
  <c r="R25" i="2"/>
  <c r="Q530" i="2"/>
  <c r="Q25" i="2"/>
  <c r="P530" i="2"/>
  <c r="P25" i="2"/>
  <c r="O530" i="2"/>
  <c r="O25" i="2"/>
  <c r="N530" i="2"/>
  <c r="L530" i="2"/>
  <c r="L25" i="2"/>
  <c r="K530" i="2"/>
  <c r="K25" i="2"/>
  <c r="J530" i="2"/>
  <c r="J25" i="2"/>
  <c r="I530" i="2"/>
  <c r="I25" i="2"/>
  <c r="H530" i="2"/>
  <c r="H25" i="2"/>
  <c r="G530" i="2"/>
  <c r="G25" i="2"/>
  <c r="D34" i="1"/>
  <c r="D33" i="1" s="1"/>
  <c r="F530" i="2"/>
  <c r="F25" i="2"/>
  <c r="E530" i="2"/>
  <c r="E25" i="2"/>
  <c r="R527" i="2"/>
  <c r="R22" i="2"/>
  <c r="O28" i="1"/>
  <c r="Q527" i="2"/>
  <c r="Q22" i="2"/>
  <c r="N28" i="1"/>
  <c r="N131" i="1"/>
  <c r="N193" i="1"/>
  <c r="P527" i="2"/>
  <c r="O527" i="2"/>
  <c r="N527" i="2"/>
  <c r="N22" i="2"/>
  <c r="K28" i="1"/>
  <c r="K131" i="1"/>
  <c r="K193" i="1"/>
  <c r="L527" i="2"/>
  <c r="L22" i="2"/>
  <c r="I28" i="1"/>
  <c r="I131" i="1"/>
  <c r="I193" i="1"/>
  <c r="K527" i="2"/>
  <c r="K22" i="2"/>
  <c r="H28" i="1"/>
  <c r="H131" i="1"/>
  <c r="H193" i="1"/>
  <c r="J527" i="2"/>
  <c r="J22" i="2"/>
  <c r="G28" i="1"/>
  <c r="G131" i="1"/>
  <c r="G193" i="1"/>
  <c r="I527" i="2"/>
  <c r="I22" i="2"/>
  <c r="F28" i="1"/>
  <c r="F131" i="1"/>
  <c r="F193" i="1"/>
  <c r="H527" i="2"/>
  <c r="H22" i="2"/>
  <c r="E28" i="1"/>
  <c r="E131" i="1"/>
  <c r="E193" i="1"/>
  <c r="G527" i="2"/>
  <c r="G22" i="2"/>
  <c r="D28" i="1"/>
  <c r="D131" i="1"/>
  <c r="D193" i="1"/>
  <c r="F527" i="2"/>
  <c r="F22" i="2"/>
  <c r="C28" i="1"/>
  <c r="C131" i="1"/>
  <c r="C193" i="1"/>
  <c r="E527" i="2"/>
  <c r="E22" i="2"/>
  <c r="B28" i="1"/>
  <c r="B131" i="1"/>
  <c r="B193" i="1"/>
  <c r="R526" i="2"/>
  <c r="Q526" i="2"/>
  <c r="P526" i="2"/>
  <c r="K526" i="2"/>
  <c r="J526" i="2"/>
  <c r="H526" i="2"/>
  <c r="G526" i="2"/>
  <c r="F526" i="2"/>
  <c r="R524" i="2"/>
  <c r="Q524" i="2"/>
  <c r="P524" i="2"/>
  <c r="P17" i="2"/>
  <c r="O524" i="2"/>
  <c r="O17" i="2"/>
  <c r="N524" i="2"/>
  <c r="K524" i="2"/>
  <c r="K17" i="2"/>
  <c r="J524" i="2"/>
  <c r="I524" i="2"/>
  <c r="H524" i="2"/>
  <c r="G524" i="2"/>
  <c r="F524" i="2"/>
  <c r="E524" i="2"/>
  <c r="R523" i="2"/>
  <c r="R15" i="2"/>
  <c r="Q523" i="2"/>
  <c r="Q15" i="2"/>
  <c r="P523" i="2"/>
  <c r="O523" i="2"/>
  <c r="N523" i="2"/>
  <c r="N15" i="2"/>
  <c r="L523" i="2"/>
  <c r="L15" i="2"/>
  <c r="K523" i="2"/>
  <c r="K15" i="2"/>
  <c r="J523" i="2"/>
  <c r="J15" i="2"/>
  <c r="I523" i="2"/>
  <c r="I15" i="2"/>
  <c r="H523" i="2"/>
  <c r="H15" i="2"/>
  <c r="G523" i="2"/>
  <c r="G15" i="2"/>
  <c r="F523" i="2"/>
  <c r="F15" i="2"/>
  <c r="E523" i="2"/>
  <c r="E15" i="2"/>
  <c r="R522" i="2"/>
  <c r="Q522" i="2"/>
  <c r="P522" i="2"/>
  <c r="P14" i="2"/>
  <c r="L522" i="2"/>
  <c r="K522" i="2"/>
  <c r="J522" i="2"/>
  <c r="H522" i="2"/>
  <c r="G522" i="2"/>
  <c r="F522" i="2"/>
  <c r="E445" i="2"/>
  <c r="E436" i="2"/>
  <c r="P444" i="2"/>
  <c r="P443" i="2"/>
  <c r="O444" i="2"/>
  <c r="O443" i="2"/>
  <c r="N444" i="2"/>
  <c r="N443" i="2"/>
  <c r="K444" i="2"/>
  <c r="J444" i="2"/>
  <c r="J443" i="2"/>
  <c r="I444" i="2"/>
  <c r="I443" i="2"/>
  <c r="H444" i="2"/>
  <c r="H443" i="2"/>
  <c r="G444" i="2"/>
  <c r="G443" i="2"/>
  <c r="F444" i="2"/>
  <c r="F443" i="2"/>
  <c r="K443" i="2"/>
  <c r="E442" i="2"/>
  <c r="E431" i="2"/>
  <c r="P441" i="2"/>
  <c r="O441" i="2"/>
  <c r="N441" i="2"/>
  <c r="L441" i="2"/>
  <c r="K441" i="2"/>
  <c r="J441" i="2"/>
  <c r="I441" i="2"/>
  <c r="H441" i="2"/>
  <c r="G441" i="2"/>
  <c r="F441" i="2"/>
  <c r="N440" i="2"/>
  <c r="N428" i="2"/>
  <c r="N427" i="2"/>
  <c r="N426" i="2" s="1"/>
  <c r="L440" i="2"/>
  <c r="L428" i="2"/>
  <c r="L427" i="2"/>
  <c r="E440" i="2"/>
  <c r="E428" i="2"/>
  <c r="E427" i="2" s="1"/>
  <c r="P439" i="2"/>
  <c r="O439" i="2"/>
  <c r="H439" i="2"/>
  <c r="G439" i="2"/>
  <c r="F439" i="2"/>
  <c r="P435" i="2"/>
  <c r="K435" i="2"/>
  <c r="J435" i="2"/>
  <c r="I435" i="2"/>
  <c r="H435" i="2"/>
  <c r="G435" i="2"/>
  <c r="O435" i="2"/>
  <c r="F435" i="2"/>
  <c r="P430" i="2"/>
  <c r="L430" i="2"/>
  <c r="K430" i="2"/>
  <c r="H430" i="2"/>
  <c r="G430" i="2"/>
  <c r="F430" i="2"/>
  <c r="F426" i="2"/>
  <c r="D28" i="10" s="1"/>
  <c r="P427" i="2"/>
  <c r="P426" i="2"/>
  <c r="Z426" i="2" s="1"/>
  <c r="O221" i="2"/>
  <c r="O220" i="2"/>
  <c r="E222" i="2"/>
  <c r="M222" i="2"/>
  <c r="D222" i="2"/>
  <c r="P221" i="2"/>
  <c r="N221" i="2"/>
  <c r="L221" i="2"/>
  <c r="K221" i="2"/>
  <c r="J221" i="2"/>
  <c r="I221" i="2"/>
  <c r="H221" i="2"/>
  <c r="G221" i="2"/>
  <c r="F221" i="2"/>
  <c r="E221" i="2"/>
  <c r="P220" i="2"/>
  <c r="N220" i="2"/>
  <c r="L220" i="2"/>
  <c r="K220" i="2"/>
  <c r="J220" i="2"/>
  <c r="I220" i="2"/>
  <c r="H220" i="2"/>
  <c r="G220" i="2"/>
  <c r="F220" i="2"/>
  <c r="E220" i="2"/>
  <c r="I219" i="2"/>
  <c r="I218" i="2"/>
  <c r="E219" i="2"/>
  <c r="P218" i="2"/>
  <c r="O218" i="2"/>
  <c r="N218" i="2"/>
  <c r="L218" i="2"/>
  <c r="K218" i="2"/>
  <c r="J218" i="2"/>
  <c r="H218" i="2"/>
  <c r="G218" i="2"/>
  <c r="F218" i="2"/>
  <c r="E218" i="2"/>
  <c r="I217" i="2"/>
  <c r="I216" i="2"/>
  <c r="E217" i="2"/>
  <c r="P216" i="2"/>
  <c r="O216" i="2"/>
  <c r="N216" i="2"/>
  <c r="L216" i="2"/>
  <c r="K216" i="2"/>
  <c r="J216" i="2"/>
  <c r="H216" i="2"/>
  <c r="G216" i="2"/>
  <c r="F216" i="2"/>
  <c r="P212" i="2"/>
  <c r="P211" i="2"/>
  <c r="O212" i="2"/>
  <c r="O211" i="2"/>
  <c r="N212" i="2"/>
  <c r="N211" i="2"/>
  <c r="D210" i="2"/>
  <c r="P209" i="2"/>
  <c r="P208" i="2"/>
  <c r="E206" i="2"/>
  <c r="P205" i="2"/>
  <c r="P204" i="2"/>
  <c r="O205" i="2"/>
  <c r="O204" i="2"/>
  <c r="N205" i="2"/>
  <c r="N204" i="2"/>
  <c r="L205" i="2"/>
  <c r="L204" i="2"/>
  <c r="K205" i="2"/>
  <c r="K204" i="2"/>
  <c r="J205" i="2"/>
  <c r="J204" i="2"/>
  <c r="I205" i="2"/>
  <c r="I204" i="2"/>
  <c r="H205" i="2"/>
  <c r="H204" i="2"/>
  <c r="G205" i="2"/>
  <c r="G204" i="2"/>
  <c r="F205" i="2"/>
  <c r="F204" i="2"/>
  <c r="E203" i="2"/>
  <c r="P202" i="2"/>
  <c r="O202" i="2"/>
  <c r="N202" i="2"/>
  <c r="L202" i="2"/>
  <c r="K202" i="2"/>
  <c r="J202" i="2"/>
  <c r="I202" i="2"/>
  <c r="H202" i="2"/>
  <c r="G202" i="2"/>
  <c r="F202" i="2"/>
  <c r="N201" i="2"/>
  <c r="L201" i="2"/>
  <c r="L200" i="2"/>
  <c r="I200" i="2"/>
  <c r="E201" i="2"/>
  <c r="P200" i="2"/>
  <c r="O200" i="2"/>
  <c r="N200" i="2"/>
  <c r="K200" i="2"/>
  <c r="J200" i="2"/>
  <c r="H200" i="2"/>
  <c r="G200" i="2"/>
  <c r="F200" i="2"/>
  <c r="E197" i="2"/>
  <c r="N196" i="2"/>
  <c r="N195" i="2"/>
  <c r="L196" i="2"/>
  <c r="L195" i="2"/>
  <c r="K196" i="2"/>
  <c r="K195" i="2"/>
  <c r="J196" i="2"/>
  <c r="J195" i="2"/>
  <c r="I196" i="2"/>
  <c r="I195" i="2"/>
  <c r="H196" i="2"/>
  <c r="H195" i="2"/>
  <c r="G196" i="2"/>
  <c r="G195" i="2"/>
  <c r="F196" i="2"/>
  <c r="F195" i="2"/>
  <c r="N193" i="2"/>
  <c r="L193" i="2"/>
  <c r="K193" i="2"/>
  <c r="J193" i="2"/>
  <c r="I193" i="2"/>
  <c r="H193" i="2"/>
  <c r="G193" i="2"/>
  <c r="F193" i="2"/>
  <c r="E193" i="2"/>
  <c r="D193" i="2"/>
  <c r="N191" i="2"/>
  <c r="L191" i="2"/>
  <c r="K191" i="2"/>
  <c r="J191" i="2"/>
  <c r="I191" i="2"/>
  <c r="H191" i="2"/>
  <c r="G191" i="2"/>
  <c r="F191" i="2"/>
  <c r="E191" i="2"/>
  <c r="O188" i="2"/>
  <c r="L188" i="2"/>
  <c r="E188" i="2"/>
  <c r="M188" i="2"/>
  <c r="D188" i="2"/>
  <c r="P187" i="2"/>
  <c r="O187" i="2"/>
  <c r="N187" i="2"/>
  <c r="K187" i="2"/>
  <c r="J187" i="2"/>
  <c r="I187" i="2"/>
  <c r="H187" i="2"/>
  <c r="G187" i="2"/>
  <c r="F187" i="2"/>
  <c r="E187" i="2"/>
  <c r="E186" i="2"/>
  <c r="M186" i="2"/>
  <c r="D186" i="2"/>
  <c r="P185" i="2"/>
  <c r="O185" i="2"/>
  <c r="N185" i="2"/>
  <c r="L185" i="2"/>
  <c r="K185" i="2"/>
  <c r="J185" i="2"/>
  <c r="I185" i="2"/>
  <c r="H185" i="2"/>
  <c r="G185" i="2"/>
  <c r="F185" i="2"/>
  <c r="L183" i="2"/>
  <c r="M183" i="2"/>
  <c r="D183" i="2"/>
  <c r="P182" i="2"/>
  <c r="O182" i="2"/>
  <c r="K182" i="2"/>
  <c r="J182" i="2"/>
  <c r="I182" i="2"/>
  <c r="H182" i="2"/>
  <c r="G182" i="2"/>
  <c r="F182" i="2"/>
  <c r="E182" i="2"/>
  <c r="L180" i="2"/>
  <c r="L179" i="2"/>
  <c r="E180" i="2"/>
  <c r="M180" i="2"/>
  <c r="D180" i="2"/>
  <c r="P179" i="2"/>
  <c r="P178" i="2"/>
  <c r="N179" i="2"/>
  <c r="K179" i="2"/>
  <c r="K178" i="2"/>
  <c r="J179" i="2"/>
  <c r="J178" i="2"/>
  <c r="I179" i="2"/>
  <c r="I178" i="2"/>
  <c r="H179" i="2"/>
  <c r="H178" i="2"/>
  <c r="G179" i="2"/>
  <c r="G178" i="2"/>
  <c r="F179" i="2"/>
  <c r="F178" i="2"/>
  <c r="N175" i="2"/>
  <c r="N174" i="2"/>
  <c r="L176" i="2"/>
  <c r="E176" i="2"/>
  <c r="P175" i="2"/>
  <c r="P174" i="2"/>
  <c r="O175" i="2"/>
  <c r="O174" i="2"/>
  <c r="K175" i="2"/>
  <c r="K174" i="2"/>
  <c r="J175" i="2"/>
  <c r="J174" i="2"/>
  <c r="I175" i="2"/>
  <c r="I174" i="2"/>
  <c r="H175" i="2"/>
  <c r="H174" i="2"/>
  <c r="G175" i="2"/>
  <c r="G174" i="2"/>
  <c r="F175" i="2"/>
  <c r="F174" i="2"/>
  <c r="L172" i="2"/>
  <c r="K173" i="2"/>
  <c r="K172" i="2"/>
  <c r="J173" i="2"/>
  <c r="J172" i="2"/>
  <c r="I173" i="2"/>
  <c r="I172" i="2"/>
  <c r="E173" i="2"/>
  <c r="M173" i="2"/>
  <c r="D173" i="2"/>
  <c r="P172" i="2"/>
  <c r="O172" i="2"/>
  <c r="H172" i="2"/>
  <c r="G172" i="2"/>
  <c r="F172" i="2"/>
  <c r="K171" i="2"/>
  <c r="M171" i="2"/>
  <c r="D171" i="2"/>
  <c r="P170" i="2"/>
  <c r="O170" i="2"/>
  <c r="N170" i="2"/>
  <c r="L170" i="2"/>
  <c r="J170" i="2"/>
  <c r="I170" i="2"/>
  <c r="H170" i="2"/>
  <c r="G170" i="2"/>
  <c r="F170" i="2"/>
  <c r="E170" i="2"/>
  <c r="L156" i="2"/>
  <c r="J156" i="2"/>
  <c r="J155" i="2"/>
  <c r="E156" i="2"/>
  <c r="P155" i="2"/>
  <c r="O155" i="2"/>
  <c r="N155" i="2"/>
  <c r="K155" i="2"/>
  <c r="I155" i="2"/>
  <c r="H155" i="2"/>
  <c r="G155" i="2"/>
  <c r="F155" i="2"/>
  <c r="L154" i="2"/>
  <c r="E154" i="2"/>
  <c r="P153" i="2"/>
  <c r="O153" i="2"/>
  <c r="O152" i="2"/>
  <c r="N153" i="2"/>
  <c r="K153" i="2"/>
  <c r="J153" i="2"/>
  <c r="I153" i="2"/>
  <c r="H153" i="2"/>
  <c r="G153" i="2"/>
  <c r="F153" i="2"/>
  <c r="E153" i="2"/>
  <c r="K151" i="2"/>
  <c r="I151" i="2"/>
  <c r="I150" i="2"/>
  <c r="E151" i="2"/>
  <c r="M151" i="2"/>
  <c r="D151" i="2"/>
  <c r="P150" i="2"/>
  <c r="O150" i="2"/>
  <c r="N150" i="2"/>
  <c r="L150" i="2"/>
  <c r="J150" i="2"/>
  <c r="H150" i="2"/>
  <c r="G150" i="2"/>
  <c r="F150" i="2"/>
  <c r="K149" i="2"/>
  <c r="N148" i="2"/>
  <c r="L148" i="2"/>
  <c r="L147" i="2"/>
  <c r="K148" i="2"/>
  <c r="P147" i="2"/>
  <c r="O147" i="2"/>
  <c r="J147" i="2"/>
  <c r="I147" i="2"/>
  <c r="H147" i="2"/>
  <c r="G147" i="2"/>
  <c r="F147" i="2"/>
  <c r="E147" i="2"/>
  <c r="E398" i="2"/>
  <c r="M398" i="2"/>
  <c r="D398" i="2"/>
  <c r="P397" i="2"/>
  <c r="O397" i="2"/>
  <c r="N397" i="2"/>
  <c r="K397" i="2"/>
  <c r="K394" i="2"/>
  <c r="J397" i="2"/>
  <c r="J394" i="2"/>
  <c r="I397" i="2"/>
  <c r="I394" i="2"/>
  <c r="H397" i="2"/>
  <c r="H394" i="2"/>
  <c r="G397" i="2"/>
  <c r="G394" i="2"/>
  <c r="F397" i="2"/>
  <c r="F394" i="2"/>
  <c r="E397" i="2"/>
  <c r="E394" i="2"/>
  <c r="J392" i="2"/>
  <c r="I393" i="2"/>
  <c r="I392" i="2"/>
  <c r="E393" i="2"/>
  <c r="M393" i="2"/>
  <c r="D393" i="2"/>
  <c r="P392" i="2"/>
  <c r="O392" i="2"/>
  <c r="O388" i="2"/>
  <c r="N392" i="2"/>
  <c r="L392" i="2"/>
  <c r="K392" i="2"/>
  <c r="H392" i="2"/>
  <c r="H388" i="2"/>
  <c r="G392" i="2"/>
  <c r="F392" i="2"/>
  <c r="F388" i="2"/>
  <c r="I390" i="2"/>
  <c r="E390" i="2"/>
  <c r="E144" i="2"/>
  <c r="D144" i="2"/>
  <c r="D143" i="2"/>
  <c r="P143" i="2"/>
  <c r="O143" i="2"/>
  <c r="N143" i="2"/>
  <c r="L143" i="2"/>
  <c r="K143" i="2"/>
  <c r="J143" i="2"/>
  <c r="I143" i="2"/>
  <c r="H143" i="2"/>
  <c r="G143" i="2"/>
  <c r="F143" i="2"/>
  <c r="E142" i="2"/>
  <c r="D142" i="2"/>
  <c r="D141" i="2"/>
  <c r="P141" i="2"/>
  <c r="O141" i="2"/>
  <c r="N141" i="2"/>
  <c r="L141" i="2"/>
  <c r="K141" i="2"/>
  <c r="J141" i="2"/>
  <c r="I141" i="2"/>
  <c r="H141" i="2"/>
  <c r="G141" i="2"/>
  <c r="F141" i="2"/>
  <c r="E139" i="2"/>
  <c r="D139" i="2"/>
  <c r="D138" i="2"/>
  <c r="P138" i="2"/>
  <c r="O138" i="2"/>
  <c r="N138" i="2"/>
  <c r="L138" i="2"/>
  <c r="K138" i="2"/>
  <c r="J138" i="2"/>
  <c r="I138" i="2"/>
  <c r="H138" i="2"/>
  <c r="G138" i="2"/>
  <c r="F138" i="2"/>
  <c r="E137" i="2"/>
  <c r="D137" i="2"/>
  <c r="E136" i="2"/>
  <c r="D136" i="2"/>
  <c r="P135" i="2"/>
  <c r="O135" i="2"/>
  <c r="O134" i="2"/>
  <c r="N135" i="2"/>
  <c r="L135" i="2"/>
  <c r="L134" i="2"/>
  <c r="K135" i="2"/>
  <c r="J135" i="2"/>
  <c r="J134" i="2"/>
  <c r="I135" i="2"/>
  <c r="H135" i="2"/>
  <c r="H134" i="2"/>
  <c r="G135" i="2"/>
  <c r="F135" i="2"/>
  <c r="F134" i="2"/>
  <c r="N131" i="2"/>
  <c r="N130" i="2"/>
  <c r="L131" i="2"/>
  <c r="L130" i="2"/>
  <c r="J132" i="2"/>
  <c r="E132" i="2"/>
  <c r="P131" i="2"/>
  <c r="P130" i="2"/>
  <c r="O131" i="2"/>
  <c r="O130" i="2"/>
  <c r="K131" i="2"/>
  <c r="K130" i="2"/>
  <c r="I131" i="2"/>
  <c r="I130" i="2"/>
  <c r="H131" i="2"/>
  <c r="H130" i="2"/>
  <c r="G131" i="2"/>
  <c r="G130" i="2"/>
  <c r="F131" i="2"/>
  <c r="F130" i="2"/>
  <c r="I129" i="2"/>
  <c r="E129" i="2"/>
  <c r="P128" i="2"/>
  <c r="O128" i="2"/>
  <c r="K128" i="2"/>
  <c r="J128" i="2"/>
  <c r="H128" i="2"/>
  <c r="G128" i="2"/>
  <c r="F128" i="2"/>
  <c r="E128" i="2"/>
  <c r="J127" i="2"/>
  <c r="E127" i="2"/>
  <c r="P126" i="2"/>
  <c r="O126" i="2"/>
  <c r="K126" i="2"/>
  <c r="I126" i="2"/>
  <c r="H126" i="2"/>
  <c r="G126" i="2"/>
  <c r="F126" i="2"/>
  <c r="I386" i="2"/>
  <c r="I385" i="2"/>
  <c r="E386" i="2"/>
  <c r="P385" i="2"/>
  <c r="O385" i="2"/>
  <c r="N385" i="2"/>
  <c r="L385" i="2"/>
  <c r="K385" i="2"/>
  <c r="J385" i="2"/>
  <c r="H385" i="2"/>
  <c r="G385" i="2"/>
  <c r="F385" i="2"/>
  <c r="E384" i="2"/>
  <c r="D384" i="2"/>
  <c r="D383" i="2"/>
  <c r="P383" i="2"/>
  <c r="O383" i="2"/>
  <c r="N383" i="2"/>
  <c r="L383" i="2"/>
  <c r="K383" i="2"/>
  <c r="J383" i="2"/>
  <c r="I383" i="2"/>
  <c r="H383" i="2"/>
  <c r="G383" i="2"/>
  <c r="F383" i="2"/>
  <c r="E381" i="2"/>
  <c r="P380" i="2"/>
  <c r="O380" i="2"/>
  <c r="N380" i="2"/>
  <c r="L380" i="2"/>
  <c r="K380" i="2"/>
  <c r="J380" i="2"/>
  <c r="I380" i="2"/>
  <c r="H380" i="2"/>
  <c r="G380" i="2"/>
  <c r="F380" i="2"/>
  <c r="D379" i="2"/>
  <c r="P377" i="2"/>
  <c r="O377" i="2"/>
  <c r="L377" i="2"/>
  <c r="K377" i="2"/>
  <c r="J377" i="2"/>
  <c r="I377" i="2"/>
  <c r="H377" i="2"/>
  <c r="G377" i="2"/>
  <c r="F377" i="2"/>
  <c r="E377" i="2"/>
  <c r="E424" i="2"/>
  <c r="M424" i="2"/>
  <c r="D424" i="2"/>
  <c r="P423" i="2"/>
  <c r="O423" i="2"/>
  <c r="N423" i="2"/>
  <c r="L423" i="2"/>
  <c r="J423" i="2"/>
  <c r="I423" i="2"/>
  <c r="H423" i="2"/>
  <c r="G423" i="2"/>
  <c r="F423" i="2"/>
  <c r="E423" i="2"/>
  <c r="I26" i="2"/>
  <c r="E422" i="2"/>
  <c r="P419" i="2"/>
  <c r="J417" i="2"/>
  <c r="I417" i="2"/>
  <c r="E418" i="2"/>
  <c r="P417" i="2"/>
  <c r="O417" i="2"/>
  <c r="N417" i="2"/>
  <c r="L417" i="2"/>
  <c r="K417" i="2"/>
  <c r="H417" i="2"/>
  <c r="G417" i="2"/>
  <c r="F417" i="2"/>
  <c r="E416" i="2"/>
  <c r="E414" i="2"/>
  <c r="E278" i="2"/>
  <c r="M278" i="2"/>
  <c r="D278" i="2"/>
  <c r="P277" i="2"/>
  <c r="O277" i="2"/>
  <c r="N277" i="2"/>
  <c r="L277" i="2"/>
  <c r="K277" i="2"/>
  <c r="J277" i="2"/>
  <c r="I277" i="2"/>
  <c r="H277" i="2"/>
  <c r="G277" i="2"/>
  <c r="F277" i="2"/>
  <c r="E276" i="2"/>
  <c r="P275" i="2"/>
  <c r="O275" i="2"/>
  <c r="N275" i="2"/>
  <c r="L275" i="2"/>
  <c r="K275" i="2"/>
  <c r="J275" i="2"/>
  <c r="I275" i="2"/>
  <c r="H275" i="2"/>
  <c r="G275" i="2"/>
  <c r="F275" i="2"/>
  <c r="D272" i="2"/>
  <c r="P272" i="2"/>
  <c r="O272" i="2"/>
  <c r="N272" i="2"/>
  <c r="L272" i="2"/>
  <c r="K272" i="2"/>
  <c r="J272" i="2"/>
  <c r="I272" i="2"/>
  <c r="H272" i="2"/>
  <c r="G272" i="2"/>
  <c r="F272" i="2"/>
  <c r="E272" i="2"/>
  <c r="P269" i="2"/>
  <c r="O269" i="2"/>
  <c r="N269" i="2"/>
  <c r="L269" i="2"/>
  <c r="K269" i="2"/>
  <c r="J269" i="2"/>
  <c r="I269" i="2"/>
  <c r="H269" i="2"/>
  <c r="G269" i="2"/>
  <c r="F269" i="2"/>
  <c r="E269" i="2"/>
  <c r="L410" i="2"/>
  <c r="L409" i="2"/>
  <c r="L406" i="2"/>
  <c r="J409" i="2"/>
  <c r="J406" i="2"/>
  <c r="I410" i="2"/>
  <c r="E410" i="2"/>
  <c r="P409" i="2"/>
  <c r="O409" i="2"/>
  <c r="K409" i="2"/>
  <c r="K406" i="2"/>
  <c r="H409" i="2"/>
  <c r="H406" i="2"/>
  <c r="G409" i="2"/>
  <c r="G406" i="2"/>
  <c r="F409" i="2"/>
  <c r="F406" i="2"/>
  <c r="H404" i="2"/>
  <c r="P404" i="2"/>
  <c r="O404" i="2"/>
  <c r="N404" i="2"/>
  <c r="L404" i="2"/>
  <c r="K404" i="2"/>
  <c r="K400" i="2"/>
  <c r="J404" i="2"/>
  <c r="I404" i="2"/>
  <c r="I400" i="2"/>
  <c r="F404" i="2"/>
  <c r="L402" i="2"/>
  <c r="J400" i="2"/>
  <c r="N123" i="2"/>
  <c r="N122" i="2"/>
  <c r="L123" i="2"/>
  <c r="E123" i="2"/>
  <c r="P122" i="2"/>
  <c r="O122" i="2"/>
  <c r="L122" i="2"/>
  <c r="K122" i="2"/>
  <c r="J122" i="2"/>
  <c r="I122" i="2"/>
  <c r="H122" i="2"/>
  <c r="G122" i="2"/>
  <c r="F122" i="2"/>
  <c r="N120" i="2"/>
  <c r="L121" i="2"/>
  <c r="L120" i="2"/>
  <c r="L119" i="2"/>
  <c r="E121" i="2"/>
  <c r="P120" i="2"/>
  <c r="O120" i="2"/>
  <c r="K120" i="2"/>
  <c r="J120" i="2"/>
  <c r="I120" i="2"/>
  <c r="H120" i="2"/>
  <c r="G120" i="2"/>
  <c r="F120" i="2"/>
  <c r="E118" i="2"/>
  <c r="M118" i="2"/>
  <c r="D118" i="2"/>
  <c r="P117" i="2"/>
  <c r="O117" i="2"/>
  <c r="N117" i="2"/>
  <c r="L117" i="2"/>
  <c r="K117" i="2"/>
  <c r="J117" i="2"/>
  <c r="I117" i="2"/>
  <c r="H117" i="2"/>
  <c r="G117" i="2"/>
  <c r="F117" i="2"/>
  <c r="E115" i="2"/>
  <c r="P114" i="2"/>
  <c r="O114" i="2"/>
  <c r="N114" i="2"/>
  <c r="L114" i="2"/>
  <c r="K114" i="2"/>
  <c r="J114" i="2"/>
  <c r="I114" i="2"/>
  <c r="H114" i="2"/>
  <c r="G114" i="2"/>
  <c r="F114" i="2"/>
  <c r="L111" i="2"/>
  <c r="M111" i="2"/>
  <c r="D111" i="2"/>
  <c r="E110" i="2"/>
  <c r="D110" i="2"/>
  <c r="P109" i="2"/>
  <c r="O109" i="2"/>
  <c r="N109" i="2"/>
  <c r="K109" i="2"/>
  <c r="J109" i="2"/>
  <c r="I109" i="2"/>
  <c r="H109" i="2"/>
  <c r="G109" i="2"/>
  <c r="F109" i="2"/>
  <c r="E109" i="2"/>
  <c r="L108" i="2"/>
  <c r="L107" i="2"/>
  <c r="J108" i="2"/>
  <c r="J47" i="2"/>
  <c r="J28" i="2"/>
  <c r="G39" i="1"/>
  <c r="E108" i="2"/>
  <c r="M108" i="2"/>
  <c r="D108" i="2"/>
  <c r="P107" i="2"/>
  <c r="O107" i="2"/>
  <c r="N107" i="2"/>
  <c r="K107" i="2"/>
  <c r="J107" i="2"/>
  <c r="I107" i="2"/>
  <c r="H107" i="2"/>
  <c r="G107" i="2"/>
  <c r="F107" i="2"/>
  <c r="E107" i="2"/>
  <c r="J105" i="2"/>
  <c r="J103" i="2"/>
  <c r="I105" i="2"/>
  <c r="M105" i="2"/>
  <c r="D105" i="2"/>
  <c r="D104" i="2"/>
  <c r="P103" i="2"/>
  <c r="O103" i="2"/>
  <c r="N103" i="2"/>
  <c r="L103" i="2"/>
  <c r="K103" i="2"/>
  <c r="H103" i="2"/>
  <c r="G103" i="2"/>
  <c r="F103" i="2"/>
  <c r="E103" i="2"/>
  <c r="J102" i="2"/>
  <c r="J40" i="2"/>
  <c r="J18" i="2"/>
  <c r="G24" i="1"/>
  <c r="G129" i="1"/>
  <c r="G190" i="1"/>
  <c r="I102" i="2"/>
  <c r="M102" i="2"/>
  <c r="D102" i="2"/>
  <c r="N101" i="2"/>
  <c r="L101" i="2"/>
  <c r="L100" i="2"/>
  <c r="J101" i="2"/>
  <c r="J100" i="2"/>
  <c r="E101" i="2"/>
  <c r="M101" i="2"/>
  <c r="D101" i="2"/>
  <c r="P100" i="2"/>
  <c r="O100" i="2"/>
  <c r="K100" i="2"/>
  <c r="H100" i="2"/>
  <c r="G100" i="2"/>
  <c r="F100" i="2"/>
  <c r="E265" i="2"/>
  <c r="P264" i="2"/>
  <c r="O264" i="2"/>
  <c r="N264" i="2"/>
  <c r="L264" i="2"/>
  <c r="K264" i="2"/>
  <c r="J264" i="2"/>
  <c r="I264" i="2"/>
  <c r="H264" i="2"/>
  <c r="G264" i="2"/>
  <c r="F264" i="2"/>
  <c r="E262" i="2"/>
  <c r="P261" i="2"/>
  <c r="O261" i="2"/>
  <c r="N261" i="2"/>
  <c r="L261" i="2"/>
  <c r="K261" i="2"/>
  <c r="J261" i="2"/>
  <c r="I261" i="2"/>
  <c r="H261" i="2"/>
  <c r="G261" i="2"/>
  <c r="F261" i="2"/>
  <c r="E259" i="2"/>
  <c r="M259" i="2"/>
  <c r="P257" i="2"/>
  <c r="O257" i="2"/>
  <c r="N257" i="2"/>
  <c r="N252" i="2"/>
  <c r="L257" i="2"/>
  <c r="L252" i="2"/>
  <c r="K257" i="2"/>
  <c r="K252" i="2"/>
  <c r="J257" i="2"/>
  <c r="J252" i="2"/>
  <c r="I257" i="2"/>
  <c r="H257" i="2"/>
  <c r="G257" i="2"/>
  <c r="G252" i="2"/>
  <c r="F257" i="2"/>
  <c r="F252" i="2"/>
  <c r="I255" i="2"/>
  <c r="I253" i="2"/>
  <c r="H255" i="2"/>
  <c r="L78" i="2"/>
  <c r="E80" i="2"/>
  <c r="P78" i="2"/>
  <c r="O78" i="2"/>
  <c r="N78" i="2"/>
  <c r="K78" i="2"/>
  <c r="J78" i="2"/>
  <c r="I78" i="2"/>
  <c r="H78" i="2"/>
  <c r="G78" i="2"/>
  <c r="F78" i="2"/>
  <c r="P76" i="2"/>
  <c r="O76" i="2"/>
  <c r="N76" i="2"/>
  <c r="K76" i="2"/>
  <c r="J76" i="2"/>
  <c r="I76" i="2"/>
  <c r="H76" i="2"/>
  <c r="G76" i="2"/>
  <c r="F76" i="2"/>
  <c r="E76" i="2"/>
  <c r="J72" i="2"/>
  <c r="E74" i="2"/>
  <c r="M74" i="2"/>
  <c r="E73" i="2"/>
  <c r="D73" i="2"/>
  <c r="P72" i="2"/>
  <c r="O72" i="2"/>
  <c r="N72" i="2"/>
  <c r="L72" i="2"/>
  <c r="K72" i="2"/>
  <c r="I72" i="2"/>
  <c r="H72" i="2"/>
  <c r="G72" i="2"/>
  <c r="F72" i="2"/>
  <c r="E71" i="2"/>
  <c r="M70" i="2"/>
  <c r="P69" i="2"/>
  <c r="O69" i="2"/>
  <c r="K69" i="2"/>
  <c r="J69" i="2"/>
  <c r="I69" i="2"/>
  <c r="H69" i="2"/>
  <c r="G69" i="2"/>
  <c r="F69" i="2"/>
  <c r="E238" i="2"/>
  <c r="M238" i="2"/>
  <c r="D238" i="2"/>
  <c r="D237" i="2"/>
  <c r="P236" i="2"/>
  <c r="O236" i="2"/>
  <c r="N236" i="2"/>
  <c r="P233" i="2"/>
  <c r="O233" i="2"/>
  <c r="N233" i="2"/>
  <c r="E231" i="2"/>
  <c r="M231" i="2"/>
  <c r="D231" i="2"/>
  <c r="E228" i="2"/>
  <c r="E226" i="2"/>
  <c r="P226" i="2"/>
  <c r="O226" i="2"/>
  <c r="N226" i="2"/>
  <c r="L226" i="2"/>
  <c r="K226" i="2"/>
  <c r="J226" i="2"/>
  <c r="I226" i="2"/>
  <c r="H226" i="2"/>
  <c r="G226" i="2"/>
  <c r="F226" i="2"/>
  <c r="E66" i="2"/>
  <c r="D65" i="2"/>
  <c r="P64" i="2"/>
  <c r="O64" i="2"/>
  <c r="N64" i="2"/>
  <c r="L64" i="2"/>
  <c r="K64" i="2"/>
  <c r="J64" i="2"/>
  <c r="I64" i="2"/>
  <c r="H64" i="2"/>
  <c r="G64" i="2"/>
  <c r="F64" i="2"/>
  <c r="M63" i="2"/>
  <c r="P62" i="2"/>
  <c r="O62" i="2"/>
  <c r="N62" i="2"/>
  <c r="L62" i="2"/>
  <c r="K62" i="2"/>
  <c r="J62" i="2"/>
  <c r="I62" i="2"/>
  <c r="H62" i="2"/>
  <c r="G62" i="2"/>
  <c r="F62" i="2"/>
  <c r="E62" i="2"/>
  <c r="I60" i="2"/>
  <c r="H60" i="2"/>
  <c r="G60" i="2"/>
  <c r="E59" i="2"/>
  <c r="D59" i="2"/>
  <c r="P58" i="2"/>
  <c r="O58" i="2"/>
  <c r="N58" i="2"/>
  <c r="L58" i="2"/>
  <c r="K58" i="2"/>
  <c r="J58" i="2"/>
  <c r="F58" i="2"/>
  <c r="I55" i="2"/>
  <c r="G55" i="2"/>
  <c r="P55" i="2"/>
  <c r="O55" i="2"/>
  <c r="K55" i="2"/>
  <c r="J55" i="2"/>
  <c r="H55" i="2"/>
  <c r="F55" i="2"/>
  <c r="R51" i="2"/>
  <c r="R31" i="2"/>
  <c r="Q51" i="2"/>
  <c r="Q31" i="2"/>
  <c r="P51" i="2"/>
  <c r="P31" i="2"/>
  <c r="M42" i="1"/>
  <c r="O51" i="2"/>
  <c r="O31" i="2"/>
  <c r="L42" i="1"/>
  <c r="N51" i="2"/>
  <c r="N31" i="2"/>
  <c r="K42" i="1"/>
  <c r="L51" i="2"/>
  <c r="L31" i="2"/>
  <c r="I42" i="1"/>
  <c r="K51" i="2"/>
  <c r="K31" i="2"/>
  <c r="H42" i="1"/>
  <c r="J51" i="2"/>
  <c r="I51" i="2"/>
  <c r="I31" i="2"/>
  <c r="F42" i="1"/>
  <c r="H51" i="2"/>
  <c r="G51" i="2"/>
  <c r="G50" i="2"/>
  <c r="F51" i="2"/>
  <c r="F31" i="2"/>
  <c r="C42" i="1"/>
  <c r="R48" i="2"/>
  <c r="R29" i="2"/>
  <c r="O40" i="1"/>
  <c r="O144" i="1"/>
  <c r="O206" i="1"/>
  <c r="Q48" i="2"/>
  <c r="Q29" i="2"/>
  <c r="N40" i="1"/>
  <c r="N144" i="1"/>
  <c r="N206" i="1"/>
  <c r="P48" i="2"/>
  <c r="P29" i="2"/>
  <c r="M40" i="1"/>
  <c r="M144" i="1"/>
  <c r="M206" i="1"/>
  <c r="O48" i="2"/>
  <c r="O29" i="2"/>
  <c r="L40" i="1"/>
  <c r="N48" i="2"/>
  <c r="N29" i="2"/>
  <c r="K40" i="1"/>
  <c r="K144" i="1"/>
  <c r="K206" i="1"/>
  <c r="K48" i="2"/>
  <c r="K29" i="2"/>
  <c r="H40" i="1"/>
  <c r="H144" i="1"/>
  <c r="H206" i="1"/>
  <c r="J48" i="2"/>
  <c r="J29" i="2"/>
  <c r="G40" i="1"/>
  <c r="G144" i="1"/>
  <c r="G206" i="1"/>
  <c r="I48" i="2"/>
  <c r="I29" i="2"/>
  <c r="F40" i="1"/>
  <c r="F144" i="1"/>
  <c r="F206" i="1"/>
  <c r="H48" i="2"/>
  <c r="H29" i="2"/>
  <c r="E40" i="1"/>
  <c r="E144" i="1"/>
  <c r="E206" i="1"/>
  <c r="G48" i="2"/>
  <c r="G29" i="2"/>
  <c r="D40" i="1"/>
  <c r="D144" i="1"/>
  <c r="D206" i="1"/>
  <c r="F48" i="2"/>
  <c r="F29" i="2"/>
  <c r="C40" i="1"/>
  <c r="C144" i="1"/>
  <c r="C206" i="1"/>
  <c r="R47" i="2"/>
  <c r="R28" i="2"/>
  <c r="O39" i="1"/>
  <c r="O143" i="1"/>
  <c r="O205" i="1"/>
  <c r="Q47" i="2"/>
  <c r="Q28" i="2"/>
  <c r="N39" i="1"/>
  <c r="N143" i="1"/>
  <c r="N205" i="1"/>
  <c r="P47" i="2"/>
  <c r="P28" i="2"/>
  <c r="M39" i="1"/>
  <c r="O47" i="2"/>
  <c r="O28" i="2"/>
  <c r="L39" i="1"/>
  <c r="K47" i="2"/>
  <c r="K28" i="2"/>
  <c r="H39" i="1"/>
  <c r="I47" i="2"/>
  <c r="I28" i="2"/>
  <c r="F39" i="1"/>
  <c r="H47" i="2"/>
  <c r="H28" i="2"/>
  <c r="E39" i="1"/>
  <c r="G47" i="2"/>
  <c r="G28" i="2"/>
  <c r="D39" i="1"/>
  <c r="F47" i="2"/>
  <c r="F28" i="2"/>
  <c r="C39" i="1"/>
  <c r="R26" i="2"/>
  <c r="Q26" i="2"/>
  <c r="P26" i="2"/>
  <c r="O26" i="2"/>
  <c r="N26" i="2"/>
  <c r="K26" i="2"/>
  <c r="J26" i="2"/>
  <c r="H26" i="2"/>
  <c r="G26" i="2"/>
  <c r="F26" i="2"/>
  <c r="R42" i="2"/>
  <c r="Q42" i="2"/>
  <c r="F42" i="2"/>
  <c r="R40" i="2"/>
  <c r="R18" i="2"/>
  <c r="O24" i="1"/>
  <c r="Q40" i="2"/>
  <c r="P40" i="2"/>
  <c r="O40" i="2"/>
  <c r="O18" i="2"/>
  <c r="L24" i="1"/>
  <c r="L129" i="1"/>
  <c r="L190" i="1"/>
  <c r="N40" i="2"/>
  <c r="N18" i="2"/>
  <c r="K24" i="1"/>
  <c r="K129" i="1"/>
  <c r="K190" i="1"/>
  <c r="L40" i="2"/>
  <c r="L18" i="2"/>
  <c r="I24" i="1"/>
  <c r="I129" i="1"/>
  <c r="I190" i="1"/>
  <c r="F40" i="2"/>
  <c r="F18" i="2"/>
  <c r="C24" i="1"/>
  <c r="C129" i="1"/>
  <c r="C190" i="1"/>
  <c r="Q16" i="2"/>
  <c r="O16" i="2"/>
  <c r="K32" i="2"/>
  <c r="J32" i="2"/>
  <c r="I32" i="2"/>
  <c r="H32" i="2"/>
  <c r="G32" i="2"/>
  <c r="F32" i="2"/>
  <c r="L20" i="2"/>
  <c r="K20" i="2"/>
  <c r="H20" i="2"/>
  <c r="G20" i="2"/>
  <c r="F20" i="2"/>
  <c r="H22" i="1"/>
  <c r="H127" i="1"/>
  <c r="H188" i="1" s="1"/>
  <c r="H208" i="9"/>
  <c r="H207" i="9"/>
  <c r="J208" i="9"/>
  <c r="J207" i="9"/>
  <c r="L208" i="9"/>
  <c r="L207" i="9"/>
  <c r="E208" i="9"/>
  <c r="E207" i="9"/>
  <c r="G208" i="9"/>
  <c r="G207" i="9"/>
  <c r="I208" i="9"/>
  <c r="I207" i="9"/>
  <c r="K208" i="9"/>
  <c r="K207" i="9"/>
  <c r="D259" i="2"/>
  <c r="M43" i="2"/>
  <c r="M197" i="2"/>
  <c r="O183" i="8"/>
  <c r="L66" i="1"/>
  <c r="C66" i="1"/>
  <c r="F183" i="8"/>
  <c r="F182" i="8"/>
  <c r="E66" i="1"/>
  <c r="H183" i="8"/>
  <c r="H182" i="8"/>
  <c r="G66" i="1"/>
  <c r="J183" i="8"/>
  <c r="J182" i="8"/>
  <c r="B66" i="1"/>
  <c r="E183" i="8"/>
  <c r="E182" i="8"/>
  <c r="D66" i="1"/>
  <c r="G183" i="8"/>
  <c r="G182" i="8"/>
  <c r="F66" i="1"/>
  <c r="I183" i="8"/>
  <c r="I182" i="8"/>
  <c r="O145" i="1"/>
  <c r="L22" i="1"/>
  <c r="H38" i="1"/>
  <c r="H139" i="1"/>
  <c r="H201" i="1"/>
  <c r="O38" i="1"/>
  <c r="L22" i="8"/>
  <c r="L18" i="8"/>
  <c r="E28" i="8"/>
  <c r="B35" i="1"/>
  <c r="B136" i="1"/>
  <c r="B198" i="1"/>
  <c r="P158" i="8"/>
  <c r="G13" i="8"/>
  <c r="L69" i="8"/>
  <c r="M76" i="8"/>
  <c r="D76" i="8"/>
  <c r="M78" i="8"/>
  <c r="D78" i="8"/>
  <c r="F80" i="8"/>
  <c r="H80" i="8"/>
  <c r="K158" i="8"/>
  <c r="L171" i="8"/>
  <c r="O190" i="8"/>
  <c r="O189" i="8"/>
  <c r="O182" i="8"/>
  <c r="M71" i="8"/>
  <c r="D71" i="8"/>
  <c r="M73" i="8"/>
  <c r="D73" i="8"/>
  <c r="M84" i="8"/>
  <c r="D84" i="8"/>
  <c r="N125" i="8"/>
  <c r="R144" i="8"/>
  <c r="P14" i="10"/>
  <c r="E144" i="8"/>
  <c r="I144" i="8"/>
  <c r="K144" i="8"/>
  <c r="N144" i="8"/>
  <c r="E417" i="2"/>
  <c r="M418" i="2"/>
  <c r="D418" i="2"/>
  <c r="M381" i="2"/>
  <c r="D381" i="2"/>
  <c r="M148" i="2"/>
  <c r="D148" i="2"/>
  <c r="L153" i="2"/>
  <c r="E594" i="2"/>
  <c r="M611" i="2"/>
  <c r="M619" i="2"/>
  <c r="D619" i="2"/>
  <c r="L594" i="2"/>
  <c r="I78" i="1"/>
  <c r="M663" i="2"/>
  <c r="D663" i="2"/>
  <c r="M115" i="2"/>
  <c r="D115" i="2"/>
  <c r="D114" i="2"/>
  <c r="M121" i="2"/>
  <c r="D121" i="2"/>
  <c r="M123" i="2"/>
  <c r="D123" i="2"/>
  <c r="M410" i="2"/>
  <c r="D410" i="2"/>
  <c r="D52" i="2"/>
  <c r="M386" i="2"/>
  <c r="D386" i="2"/>
  <c r="M149" i="2"/>
  <c r="M154" i="2"/>
  <c r="D154" i="2"/>
  <c r="E155" i="2"/>
  <c r="M156" i="2"/>
  <c r="D156" i="2"/>
  <c r="M176" i="2"/>
  <c r="D176" i="2"/>
  <c r="E586" i="2"/>
  <c r="M607" i="2"/>
  <c r="D607" i="2"/>
  <c r="J586" i="2"/>
  <c r="M654" i="2"/>
  <c r="D654" i="2"/>
  <c r="D586" i="2"/>
  <c r="V69" i="1"/>
  <c r="G583" i="2"/>
  <c r="Q18" i="2"/>
  <c r="N24" i="1"/>
  <c r="J94" i="4"/>
  <c r="O94" i="4"/>
  <c r="X15" i="2"/>
  <c r="N123" i="1"/>
  <c r="N185" i="1" s="1"/>
  <c r="Q74" i="7"/>
  <c r="P80" i="7"/>
  <c r="R80" i="7"/>
  <c r="D54" i="7"/>
  <c r="E20" i="7"/>
  <c r="P212" i="3"/>
  <c r="J15" i="6"/>
  <c r="L73" i="6"/>
  <c r="L20" i="6"/>
  <c r="L19" i="6" s="1"/>
  <c r="L78" i="6"/>
  <c r="N102" i="9"/>
  <c r="O111" i="9"/>
  <c r="Q111" i="9"/>
  <c r="P84" i="9"/>
  <c r="R583" i="2"/>
  <c r="O252" i="2"/>
  <c r="O406" i="2"/>
  <c r="N419" i="2"/>
  <c r="O394" i="2"/>
  <c r="X146" i="2"/>
  <c r="P16" i="2"/>
  <c r="P252" i="2"/>
  <c r="N394" i="2"/>
  <c r="P394" i="2"/>
  <c r="P554" i="2"/>
  <c r="P559" i="2"/>
  <c r="O559" i="2"/>
  <c r="O10" i="13"/>
  <c r="M31" i="13"/>
  <c r="N73" i="4"/>
  <c r="E13" i="3"/>
  <c r="E53" i="3"/>
  <c r="O45" i="3"/>
  <c r="P260" i="2"/>
  <c r="H152" i="2"/>
  <c r="N439" i="2"/>
  <c r="L586" i="2"/>
  <c r="M390" i="2"/>
  <c r="P38" i="7"/>
  <c r="D34" i="7"/>
  <c r="D13" i="7"/>
  <c r="M13" i="7"/>
  <c r="G200" i="3"/>
  <c r="I200" i="3"/>
  <c r="G32" i="3"/>
  <c r="I32" i="3"/>
  <c r="K32" i="3"/>
  <c r="E14" i="3"/>
  <c r="E147" i="3"/>
  <c r="G146" i="3"/>
  <c r="I146" i="3"/>
  <c r="K146" i="3"/>
  <c r="N146" i="3"/>
  <c r="P146" i="3"/>
  <c r="K140" i="3"/>
  <c r="K10" i="3"/>
  <c r="O15" i="3"/>
  <c r="F146" i="3"/>
  <c r="J146" i="3"/>
  <c r="O146" i="3"/>
  <c r="F16" i="2"/>
  <c r="C21" i="1"/>
  <c r="C126" i="1"/>
  <c r="C187" i="1" s="1"/>
  <c r="H16" i="2"/>
  <c r="E21" i="1"/>
  <c r="E126" i="1"/>
  <c r="E187" i="1" s="1"/>
  <c r="J16" i="2"/>
  <c r="G21" i="1"/>
  <c r="G126" i="1"/>
  <c r="G187" i="1" s="1"/>
  <c r="N16" i="2"/>
  <c r="K21" i="1"/>
  <c r="R16" i="2"/>
  <c r="O21" i="1"/>
  <c r="O126" i="1"/>
  <c r="O187" i="1" s="1"/>
  <c r="G16" i="2"/>
  <c r="D21" i="1"/>
  <c r="D126" i="1"/>
  <c r="D187" i="1" s="1"/>
  <c r="I16" i="2"/>
  <c r="F21" i="1"/>
  <c r="F126" i="1"/>
  <c r="F187" i="1" s="1"/>
  <c r="L16" i="2"/>
  <c r="I21" i="1"/>
  <c r="G58" i="2"/>
  <c r="I58" i="2"/>
  <c r="I54" i="2"/>
  <c r="L401" i="2"/>
  <c r="L50" i="2"/>
  <c r="J131" i="2"/>
  <c r="J130" i="2"/>
  <c r="J33" i="2"/>
  <c r="N147" i="2"/>
  <c r="K150" i="2"/>
  <c r="O432" i="2"/>
  <c r="H432" i="2"/>
  <c r="F29" i="10"/>
  <c r="J432" i="2"/>
  <c r="H29" i="10"/>
  <c r="P432" i="2"/>
  <c r="L426" i="2"/>
  <c r="J28" i="10" s="1"/>
  <c r="J37" i="2"/>
  <c r="I389" i="2"/>
  <c r="F152" i="2"/>
  <c r="F432" i="2"/>
  <c r="D29" i="10"/>
  <c r="G432" i="2"/>
  <c r="E29" i="10"/>
  <c r="I432" i="2"/>
  <c r="G29" i="10"/>
  <c r="K432" i="2"/>
  <c r="I29" i="10"/>
  <c r="L34" i="1"/>
  <c r="E20" i="3"/>
  <c r="E19" i="3" s="1"/>
  <c r="E18" i="3" s="1"/>
  <c r="O98" i="3"/>
  <c r="Q98" i="3"/>
  <c r="Q110" i="3"/>
  <c r="F116" i="3"/>
  <c r="H116" i="3"/>
  <c r="K116" i="3"/>
  <c r="M203" i="2"/>
  <c r="D166" i="8"/>
  <c r="L123" i="8"/>
  <c r="D18" i="10"/>
  <c r="F18" i="10"/>
  <c r="J18" i="10"/>
  <c r="L27" i="8"/>
  <c r="I80" i="8"/>
  <c r="K125" i="8"/>
  <c r="O125" i="8"/>
  <c r="I171" i="8"/>
  <c r="K171" i="8"/>
  <c r="I158" i="8"/>
  <c r="N158" i="8"/>
  <c r="R158" i="8"/>
  <c r="E171" i="8"/>
  <c r="J171" i="8"/>
  <c r="D175" i="8"/>
  <c r="X181" i="8"/>
  <c r="X179" i="8"/>
  <c r="J80" i="8"/>
  <c r="E80" i="8"/>
  <c r="W15" i="10"/>
  <c r="X20" i="2"/>
  <c r="N128" i="3"/>
  <c r="P39" i="10"/>
  <c r="N39" i="10"/>
  <c r="M39" i="10"/>
  <c r="E108" i="8"/>
  <c r="L91" i="8"/>
  <c r="L97" i="8"/>
  <c r="C34" i="1"/>
  <c r="C33" i="1" s="1"/>
  <c r="M35" i="1"/>
  <c r="M136" i="1"/>
  <c r="M198" i="1"/>
  <c r="H35" i="8"/>
  <c r="D48" i="5"/>
  <c r="D47" i="5"/>
  <c r="E20" i="5"/>
  <c r="D45" i="5"/>
  <c r="D44" i="5"/>
  <c r="E17" i="5"/>
  <c r="X39" i="10"/>
  <c r="O11" i="5"/>
  <c r="H32" i="10"/>
  <c r="J10" i="13"/>
  <c r="C32" i="10"/>
  <c r="E10" i="13"/>
  <c r="E9" i="13"/>
  <c r="F32" i="10"/>
  <c r="H10" i="13"/>
  <c r="H9" i="13"/>
  <c r="J32" i="10"/>
  <c r="L10" i="13"/>
  <c r="G32" i="10"/>
  <c r="I10" i="13"/>
  <c r="I9" i="13"/>
  <c r="E32" i="10"/>
  <c r="G10" i="13"/>
  <c r="G9" i="13"/>
  <c r="F10" i="13"/>
  <c r="F9" i="13"/>
  <c r="O9" i="13"/>
  <c r="O129" i="1"/>
  <c r="O190" i="1"/>
  <c r="O131" i="1"/>
  <c r="O193" i="1"/>
  <c r="M73" i="1"/>
  <c r="D125" i="1"/>
  <c r="D191" i="1" s="1"/>
  <c r="H11" i="7"/>
  <c r="E413" i="2"/>
  <c r="E412" i="2"/>
  <c r="M422" i="2"/>
  <c r="E420" i="2"/>
  <c r="E419" i="2"/>
  <c r="J152" i="2"/>
  <c r="N146" i="2"/>
  <c r="M217" i="2"/>
  <c r="D217" i="2"/>
  <c r="Q37" i="2"/>
  <c r="Q36" i="2"/>
  <c r="G40" i="2"/>
  <c r="G18" i="2"/>
  <c r="D24" i="1"/>
  <c r="D129" i="1"/>
  <c r="D190" i="1"/>
  <c r="E389" i="2"/>
  <c r="E34" i="1"/>
  <c r="D65" i="1"/>
  <c r="P37" i="2"/>
  <c r="R37" i="2"/>
  <c r="R36" i="2"/>
  <c r="M219" i="2"/>
  <c r="D219" i="2"/>
  <c r="D531" i="2"/>
  <c r="D27" i="2"/>
  <c r="M551" i="2"/>
  <c r="M561" i="2"/>
  <c r="D561" i="2"/>
  <c r="H585" i="2"/>
  <c r="H584" i="2"/>
  <c r="F14" i="2"/>
  <c r="F37" i="2"/>
  <c r="F36" i="2"/>
  <c r="C37" i="1"/>
  <c r="C138" i="1"/>
  <c r="C200" i="1"/>
  <c r="F45" i="2"/>
  <c r="E37" i="1"/>
  <c r="E138" i="1"/>
  <c r="E200" i="1"/>
  <c r="H45" i="2"/>
  <c r="H37" i="1"/>
  <c r="H138" i="1"/>
  <c r="H200" i="1"/>
  <c r="K45" i="2"/>
  <c r="L37" i="1"/>
  <c r="L138" i="1"/>
  <c r="L200" i="1"/>
  <c r="O45" i="2"/>
  <c r="N37" i="1"/>
  <c r="N138" i="1"/>
  <c r="N200" i="1" s="1"/>
  <c r="Q45" i="2"/>
  <c r="F17" i="2"/>
  <c r="C22" i="1"/>
  <c r="C127" i="1"/>
  <c r="C188" i="1" s="1"/>
  <c r="H17" i="2"/>
  <c r="E22" i="1"/>
  <c r="E127" i="1"/>
  <c r="E188" i="1" s="1"/>
  <c r="J17" i="2"/>
  <c r="G22" i="1"/>
  <c r="G127" i="1"/>
  <c r="G188" i="1" s="1"/>
  <c r="N17" i="2"/>
  <c r="R17" i="2"/>
  <c r="O22" i="1"/>
  <c r="O127" i="1" s="1"/>
  <c r="O188" i="1" s="1"/>
  <c r="F27" i="2"/>
  <c r="C38" i="1"/>
  <c r="C139" i="1"/>
  <c r="C201" i="1"/>
  <c r="H27" i="2"/>
  <c r="E38" i="1"/>
  <c r="E139" i="1"/>
  <c r="E201" i="1"/>
  <c r="J27" i="2"/>
  <c r="G38" i="1"/>
  <c r="G139" i="1"/>
  <c r="G201" i="1"/>
  <c r="O27" i="2"/>
  <c r="L38" i="1"/>
  <c r="L139" i="1" s="1"/>
  <c r="L201" i="1" s="1"/>
  <c r="D37" i="1"/>
  <c r="D138" i="1"/>
  <c r="D200" i="1" s="1"/>
  <c r="G45" i="2"/>
  <c r="G44" i="2"/>
  <c r="G37" i="1"/>
  <c r="G138" i="1"/>
  <c r="G200" i="1" s="1"/>
  <c r="J45" i="2"/>
  <c r="K37" i="1"/>
  <c r="M37" i="1"/>
  <c r="M138" i="1"/>
  <c r="M200" i="1" s="1"/>
  <c r="P45" i="2"/>
  <c r="O37" i="1"/>
  <c r="O138" i="1"/>
  <c r="O200" i="1" s="1"/>
  <c r="R45" i="2"/>
  <c r="D56" i="2"/>
  <c r="F37" i="1"/>
  <c r="F138" i="1"/>
  <c r="F200" i="1" s="1"/>
  <c r="I45" i="2"/>
  <c r="D385" i="2"/>
  <c r="D382" i="2"/>
  <c r="D129" i="2"/>
  <c r="L146" i="2"/>
  <c r="E17" i="2"/>
  <c r="B22" i="1"/>
  <c r="B127" i="1"/>
  <c r="B188" i="1" s="1"/>
  <c r="G17" i="2"/>
  <c r="D22" i="1"/>
  <c r="D127" i="1"/>
  <c r="D188" i="1" s="1"/>
  <c r="I17" i="2"/>
  <c r="F22" i="1"/>
  <c r="F127" i="1"/>
  <c r="F188" i="1" s="1"/>
  <c r="Q17" i="2"/>
  <c r="E27" i="2"/>
  <c r="B38" i="1"/>
  <c r="B139" i="1"/>
  <c r="B201" i="1"/>
  <c r="G27" i="2"/>
  <c r="D38" i="1"/>
  <c r="I27" i="2"/>
  <c r="F38" i="1"/>
  <c r="F139" i="1"/>
  <c r="F201" i="1"/>
  <c r="P27" i="2"/>
  <c r="M38" i="1"/>
  <c r="L17" i="2"/>
  <c r="I22" i="1"/>
  <c r="I188" i="1"/>
  <c r="X9" i="13"/>
  <c r="E230" i="2"/>
  <c r="E225" i="2"/>
  <c r="E236" i="2"/>
  <c r="E232" i="2"/>
  <c r="E100" i="2"/>
  <c r="E99" i="2"/>
  <c r="E117" i="2"/>
  <c r="D170" i="2"/>
  <c r="E179" i="2"/>
  <c r="E178" i="2"/>
  <c r="M445" i="2"/>
  <c r="E555" i="2"/>
  <c r="M556" i="2"/>
  <c r="E526" i="2"/>
  <c r="E525" i="2"/>
  <c r="M558" i="2"/>
  <c r="D558" i="2"/>
  <c r="D526" i="2"/>
  <c r="J653" i="2"/>
  <c r="J652" i="2"/>
  <c r="N139" i="1"/>
  <c r="N201" i="1" s="1"/>
  <c r="D63" i="2"/>
  <c r="D66" i="2"/>
  <c r="D64" i="2"/>
  <c r="P68" i="2"/>
  <c r="G75" i="2"/>
  <c r="I75" i="2"/>
  <c r="K40" i="2"/>
  <c r="K18" i="2"/>
  <c r="H24" i="1"/>
  <c r="H129" i="1"/>
  <c r="H190" i="1"/>
  <c r="E120" i="2"/>
  <c r="D120" i="2"/>
  <c r="D277" i="2"/>
  <c r="M277" i="2"/>
  <c r="M274" i="2"/>
  <c r="E126" i="2"/>
  <c r="E125" i="2"/>
  <c r="E131" i="2"/>
  <c r="E130" i="2"/>
  <c r="D132" i="2"/>
  <c r="G169" i="2"/>
  <c r="K170" i="2"/>
  <c r="K169" i="2"/>
  <c r="E175" i="2"/>
  <c r="E174" i="2"/>
  <c r="E185" i="2"/>
  <c r="E184" i="2"/>
  <c r="M201" i="2"/>
  <c r="D201" i="2"/>
  <c r="D213" i="2"/>
  <c r="M440" i="2"/>
  <c r="M428" i="2"/>
  <c r="D442" i="2"/>
  <c r="O536" i="2"/>
  <c r="D574" i="2"/>
  <c r="D565" i="2"/>
  <c r="M565" i="2"/>
  <c r="M564" i="2"/>
  <c r="M563" i="2"/>
  <c r="K40" i="10"/>
  <c r="M573" i="2"/>
  <c r="M572" i="2"/>
  <c r="E634" i="2"/>
  <c r="E633" i="2"/>
  <c r="E638" i="2"/>
  <c r="E637" i="2"/>
  <c r="D637" i="2"/>
  <c r="K102" i="1"/>
  <c r="D95" i="3"/>
  <c r="D93" i="3"/>
  <c r="L14" i="3"/>
  <c r="I19" i="1" s="1"/>
  <c r="D100" i="3"/>
  <c r="L20" i="3"/>
  <c r="L19" i="3" s="1"/>
  <c r="L18" i="3" s="1"/>
  <c r="K204" i="3"/>
  <c r="K17" i="3"/>
  <c r="K15" i="3" s="1"/>
  <c r="N204" i="3"/>
  <c r="N17" i="3"/>
  <c r="N15" i="3" s="1"/>
  <c r="K209" i="3"/>
  <c r="K23" i="3"/>
  <c r="K21" i="3"/>
  <c r="E69" i="3"/>
  <c r="I129" i="3"/>
  <c r="H132" i="3"/>
  <c r="L17" i="3"/>
  <c r="L15" i="3" s="1"/>
  <c r="I135" i="3"/>
  <c r="I20" i="3"/>
  <c r="I19" i="3" s="1"/>
  <c r="I18" i="3" s="1"/>
  <c r="J137" i="3"/>
  <c r="J23" i="3"/>
  <c r="J21" i="3"/>
  <c r="J18" i="3"/>
  <c r="H13" i="8"/>
  <c r="O36" i="8"/>
  <c r="M38" i="8"/>
  <c r="M39" i="8"/>
  <c r="M93" i="8"/>
  <c r="D93" i="8"/>
  <c r="M101" i="8"/>
  <c r="M31" i="8"/>
  <c r="J104" i="8"/>
  <c r="J125" i="8"/>
  <c r="M129" i="8"/>
  <c r="D129" i="8"/>
  <c r="E158" i="8"/>
  <c r="C72" i="1"/>
  <c r="C125" i="1" s="1"/>
  <c r="C191" i="1" s="1"/>
  <c r="E72" i="1"/>
  <c r="E125" i="1" s="1"/>
  <c r="E191" i="1" s="1"/>
  <c r="G72" i="1"/>
  <c r="G125" i="1" s="1"/>
  <c r="G191" i="1" s="1"/>
  <c r="L182" i="8"/>
  <c r="I72" i="1"/>
  <c r="I125" i="1" s="1"/>
  <c r="I191" i="1" s="1"/>
  <c r="L72" i="1"/>
  <c r="F190" i="8"/>
  <c r="F189" i="8"/>
  <c r="C81" i="1"/>
  <c r="H190" i="8"/>
  <c r="H189" i="8"/>
  <c r="E81" i="1"/>
  <c r="E141" i="1"/>
  <c r="E203" i="1"/>
  <c r="J190" i="8"/>
  <c r="J189" i="8"/>
  <c r="G81" i="1"/>
  <c r="E190" i="8"/>
  <c r="E189" i="8"/>
  <c r="B81" i="1"/>
  <c r="B141" i="1"/>
  <c r="B203" i="1"/>
  <c r="D71" i="7"/>
  <c r="M69" i="7"/>
  <c r="D73" i="7"/>
  <c r="M72" i="7"/>
  <c r="G17" i="7"/>
  <c r="I23" i="7"/>
  <c r="L23" i="7"/>
  <c r="J26" i="7"/>
  <c r="J23" i="7"/>
  <c r="P32" i="7"/>
  <c r="R32" i="7"/>
  <c r="D46" i="7"/>
  <c r="E48" i="7"/>
  <c r="K51" i="7"/>
  <c r="D58" i="7"/>
  <c r="Q62" i="7"/>
  <c r="D76" i="7"/>
  <c r="M75" i="7"/>
  <c r="D78" i="7"/>
  <c r="M77" i="7"/>
  <c r="M74" i="7"/>
  <c r="D85" i="7"/>
  <c r="F70" i="6"/>
  <c r="K71" i="6"/>
  <c r="M16" i="6"/>
  <c r="M23" i="6"/>
  <c r="J72" i="1"/>
  <c r="D259" i="6"/>
  <c r="J81" i="1"/>
  <c r="U81" i="1"/>
  <c r="M20" i="5"/>
  <c r="M75" i="5"/>
  <c r="M73" i="5"/>
  <c r="L75" i="5"/>
  <c r="L73" i="5"/>
  <c r="M26" i="4"/>
  <c r="F94" i="4"/>
  <c r="F24" i="4"/>
  <c r="C77" i="1"/>
  <c r="H24" i="4"/>
  <c r="E77" i="1"/>
  <c r="J24" i="4"/>
  <c r="G77" i="1"/>
  <c r="M18" i="4"/>
  <c r="J70" i="1"/>
  <c r="U70" i="1" s="1"/>
  <c r="L9" i="13"/>
  <c r="J9" i="13"/>
  <c r="M145" i="3"/>
  <c r="C71" i="1"/>
  <c r="F77" i="5"/>
  <c r="F76" i="5"/>
  <c r="E71" i="1"/>
  <c r="H77" i="5"/>
  <c r="H76" i="5"/>
  <c r="G71" i="1"/>
  <c r="J77" i="5"/>
  <c r="J76" i="5"/>
  <c r="P77" i="5"/>
  <c r="B71" i="1"/>
  <c r="E77" i="5"/>
  <c r="E76" i="5"/>
  <c r="D71" i="1"/>
  <c r="G77" i="5"/>
  <c r="G76" i="5"/>
  <c r="F71" i="1"/>
  <c r="H71" i="1"/>
  <c r="K77" i="5"/>
  <c r="K76" i="5"/>
  <c r="L71" i="1"/>
  <c r="U71" i="1" s="1"/>
  <c r="O77" i="5"/>
  <c r="O76" i="5"/>
  <c r="Q77" i="5"/>
  <c r="Q76" i="5"/>
  <c r="N77" i="5"/>
  <c r="N76" i="5"/>
  <c r="P18" i="9"/>
  <c r="P17" i="9" s="1"/>
  <c r="R18" i="9"/>
  <c r="R17" i="9" s="1"/>
  <c r="N18" i="9"/>
  <c r="N17" i="9" s="1"/>
  <c r="Q18" i="9"/>
  <c r="Q17" i="9" s="1"/>
  <c r="N98" i="1" s="1"/>
  <c r="N10" i="13"/>
  <c r="N9" i="13"/>
  <c r="D26" i="13"/>
  <c r="D10" i="13"/>
  <c r="D9" i="13"/>
  <c r="L69" i="1"/>
  <c r="E618" i="2"/>
  <c r="E617" i="2"/>
  <c r="L102" i="5"/>
  <c r="N80" i="1"/>
  <c r="N140" i="1"/>
  <c r="N202" i="1"/>
  <c r="M82" i="5"/>
  <c r="D103" i="5"/>
  <c r="D82" i="5"/>
  <c r="D81" i="5"/>
  <c r="D113" i="5"/>
  <c r="M112" i="5"/>
  <c r="C80" i="1"/>
  <c r="C140" i="1"/>
  <c r="C202" i="1"/>
  <c r="E80" i="1"/>
  <c r="E140" i="1"/>
  <c r="E202" i="1"/>
  <c r="X79" i="5"/>
  <c r="B80" i="1"/>
  <c r="B140" i="1"/>
  <c r="B202" i="1"/>
  <c r="M80" i="1"/>
  <c r="D80" i="1"/>
  <c r="D140" i="1"/>
  <c r="D202" i="1"/>
  <c r="O44" i="7"/>
  <c r="G19" i="1"/>
  <c r="E29" i="3"/>
  <c r="E28" i="3"/>
  <c r="D30" i="3"/>
  <c r="L74" i="3"/>
  <c r="E80" i="3"/>
  <c r="G80" i="3"/>
  <c r="D131" i="3"/>
  <c r="K200" i="3"/>
  <c r="N200" i="3"/>
  <c r="M221" i="3"/>
  <c r="L26" i="3"/>
  <c r="L25" i="3"/>
  <c r="D27" i="3"/>
  <c r="D50" i="3"/>
  <c r="D48" i="3"/>
  <c r="N89" i="3"/>
  <c r="D136" i="3"/>
  <c r="E144" i="3"/>
  <c r="P194" i="3"/>
  <c r="L204" i="3"/>
  <c r="D205" i="3"/>
  <c r="D210" i="3"/>
  <c r="L136" i="1"/>
  <c r="L198" i="1"/>
  <c r="E30" i="8"/>
  <c r="I44" i="8"/>
  <c r="H69" i="8"/>
  <c r="F111" i="8"/>
  <c r="Q80" i="8"/>
  <c r="G80" i="8"/>
  <c r="O152" i="8"/>
  <c r="J158" i="8"/>
  <c r="L158" i="8"/>
  <c r="O158" i="8"/>
  <c r="Q158" i="8"/>
  <c r="J18" i="7"/>
  <c r="G80" i="1"/>
  <c r="G140" i="1"/>
  <c r="G202" i="1"/>
  <c r="I15" i="7"/>
  <c r="F74" i="1"/>
  <c r="F73" i="1" s="1"/>
  <c r="K15" i="7"/>
  <c r="H74" i="1"/>
  <c r="H73" i="1" s="1"/>
  <c r="I18" i="7"/>
  <c r="F80" i="1"/>
  <c r="F140" i="1"/>
  <c r="F202" i="1"/>
  <c r="K18" i="7"/>
  <c r="H80" i="1"/>
  <c r="H140" i="1"/>
  <c r="H202" i="1"/>
  <c r="M72" i="1"/>
  <c r="F27" i="4"/>
  <c r="C83" i="1"/>
  <c r="C82" i="1" s="1"/>
  <c r="H27" i="4"/>
  <c r="E83" i="1"/>
  <c r="E82" i="1" s="1"/>
  <c r="P27" i="4"/>
  <c r="M83" i="1"/>
  <c r="M82" i="1" s="1"/>
  <c r="F41" i="4"/>
  <c r="H41" i="4"/>
  <c r="J41" i="4"/>
  <c r="E27" i="4"/>
  <c r="B83" i="1"/>
  <c r="B82" i="1" s="1"/>
  <c r="G27" i="4"/>
  <c r="D83" i="1"/>
  <c r="D82" i="1" s="1"/>
  <c r="O27" i="4"/>
  <c r="L83" i="1"/>
  <c r="H94" i="4"/>
  <c r="F68" i="3"/>
  <c r="H68" i="3"/>
  <c r="K68" i="3"/>
  <c r="F143" i="1"/>
  <c r="F205" i="1"/>
  <c r="H143" i="1"/>
  <c r="H205" i="1"/>
  <c r="M143" i="1"/>
  <c r="M205" i="1"/>
  <c r="D29" i="1"/>
  <c r="D128" i="1"/>
  <c r="D189" i="1"/>
  <c r="H29" i="1"/>
  <c r="H128" i="1"/>
  <c r="H189" i="1"/>
  <c r="K29" i="1"/>
  <c r="K128" i="1"/>
  <c r="K189" i="1"/>
  <c r="D45" i="1"/>
  <c r="D145" i="1"/>
  <c r="D207" i="1"/>
  <c r="F45" i="1"/>
  <c r="F145" i="1"/>
  <c r="F207" i="1"/>
  <c r="L144" i="1"/>
  <c r="L206" i="1"/>
  <c r="C143" i="1"/>
  <c r="C205" i="1"/>
  <c r="L143" i="1"/>
  <c r="L205" i="1"/>
  <c r="X526" i="2"/>
  <c r="L146" i="1"/>
  <c r="L208" i="1"/>
  <c r="U43" i="1"/>
  <c r="U146" i="1"/>
  <c r="U208" i="1"/>
  <c r="N591" i="2"/>
  <c r="N590" i="2"/>
  <c r="K78" i="1"/>
  <c r="C29" i="1"/>
  <c r="C128" i="1"/>
  <c r="C189" i="1"/>
  <c r="E29" i="1"/>
  <c r="E128" i="1"/>
  <c r="E189" i="1"/>
  <c r="C45" i="1"/>
  <c r="C145" i="1"/>
  <c r="C207" i="1"/>
  <c r="E45" i="1"/>
  <c r="E145" i="1"/>
  <c r="E207" i="1"/>
  <c r="G45" i="1"/>
  <c r="G145" i="1"/>
  <c r="G207" i="1"/>
  <c r="D141" i="1"/>
  <c r="D203" i="1"/>
  <c r="F141" i="1"/>
  <c r="F203" i="1"/>
  <c r="D142" i="1"/>
  <c r="D204" i="1"/>
  <c r="H142" i="1"/>
  <c r="H204" i="1"/>
  <c r="J144" i="8"/>
  <c r="L144" i="8"/>
  <c r="O144" i="8"/>
  <c r="F24" i="8"/>
  <c r="C36" i="1"/>
  <c r="H141" i="1"/>
  <c r="H203" i="1"/>
  <c r="G30" i="8"/>
  <c r="F30" i="8"/>
  <c r="C44" i="1"/>
  <c r="H30" i="8"/>
  <c r="E44" i="1"/>
  <c r="I104" i="8"/>
  <c r="G14" i="5"/>
  <c r="I14" i="5"/>
  <c r="K14" i="5"/>
  <c r="O14" i="5"/>
  <c r="Q14" i="5"/>
  <c r="F14" i="5"/>
  <c r="F13" i="5"/>
  <c r="H14" i="5"/>
  <c r="H13" i="5"/>
  <c r="J14" i="5"/>
  <c r="J13" i="5"/>
  <c r="L14" i="5"/>
  <c r="P14" i="5"/>
  <c r="P13" i="5"/>
  <c r="V20" i="1"/>
  <c r="V27" i="1"/>
  <c r="M68" i="4"/>
  <c r="D74" i="4"/>
  <c r="L94" i="4"/>
  <c r="K12" i="4"/>
  <c r="E22" i="4"/>
  <c r="E12" i="4"/>
  <c r="E10" i="4" s="1"/>
  <c r="M71" i="4"/>
  <c r="M76" i="4"/>
  <c r="M73" i="4" s="1"/>
  <c r="K9" i="13"/>
  <c r="I32" i="10"/>
  <c r="P12" i="9"/>
  <c r="X59" i="9"/>
  <c r="X56" i="9"/>
  <c r="M41" i="7"/>
  <c r="M45" i="7"/>
  <c r="M51" i="7"/>
  <c r="D51" i="7"/>
  <c r="M63" i="7"/>
  <c r="M62" i="7"/>
  <c r="D63" i="7"/>
  <c r="D62" i="7"/>
  <c r="N15" i="7"/>
  <c r="M57" i="7"/>
  <c r="M56" i="7"/>
  <c r="L74" i="7"/>
  <c r="K89" i="7"/>
  <c r="L68" i="7"/>
  <c r="P50" i="7"/>
  <c r="R50" i="7"/>
  <c r="I44" i="7"/>
  <c r="J68" i="7"/>
  <c r="K16" i="6"/>
  <c r="X80" i="5"/>
  <c r="X77" i="5"/>
  <c r="X76" i="5"/>
  <c r="G41" i="4"/>
  <c r="I41" i="4"/>
  <c r="N48" i="4"/>
  <c r="J12" i="4"/>
  <c r="E98" i="4"/>
  <c r="E94" i="4" s="1"/>
  <c r="G94" i="4"/>
  <c r="I94" i="4"/>
  <c r="K94" i="4"/>
  <c r="N94" i="4"/>
  <c r="P94" i="4"/>
  <c r="E104" i="4"/>
  <c r="I104" i="4"/>
  <c r="M220" i="3"/>
  <c r="M33" i="3"/>
  <c r="X177" i="3"/>
  <c r="X176" i="3"/>
  <c r="X190" i="3"/>
  <c r="X189" i="3"/>
  <c r="X188" i="3"/>
  <c r="M208" i="3"/>
  <c r="I80" i="3"/>
  <c r="K80" i="3"/>
  <c r="P92" i="3"/>
  <c r="M46" i="8"/>
  <c r="J49" i="8"/>
  <c r="L54" i="8"/>
  <c r="F69" i="8"/>
  <c r="D17" i="10"/>
  <c r="J74" i="8"/>
  <c r="H18" i="10"/>
  <c r="I92" i="8"/>
  <c r="M95" i="8"/>
  <c r="D95" i="8"/>
  <c r="O31" i="8"/>
  <c r="G104" i="8"/>
  <c r="E13" i="10"/>
  <c r="N104" i="8"/>
  <c r="M110" i="8"/>
  <c r="D110" i="8"/>
  <c r="N111" i="8"/>
  <c r="O119" i="8"/>
  <c r="L126" i="8"/>
  <c r="L125" i="8"/>
  <c r="F152" i="8"/>
  <c r="F11" i="8"/>
  <c r="H152" i="8"/>
  <c r="J152" i="8"/>
  <c r="L152" i="8"/>
  <c r="Q152" i="8"/>
  <c r="P179" i="8"/>
  <c r="D38" i="8"/>
  <c r="M15" i="8"/>
  <c r="D39" i="8"/>
  <c r="D42" i="8"/>
  <c r="D43" i="8"/>
  <c r="D51" i="8"/>
  <c r="D56" i="8"/>
  <c r="M55" i="8"/>
  <c r="M59" i="8"/>
  <c r="K58" i="8"/>
  <c r="D63" i="8"/>
  <c r="D62" i="8"/>
  <c r="M62" i="8"/>
  <c r="D66" i="8"/>
  <c r="D65" i="8"/>
  <c r="M65" i="8"/>
  <c r="O16" i="8"/>
  <c r="L20" i="1"/>
  <c r="O26" i="8"/>
  <c r="L36" i="1"/>
  <c r="L141" i="1"/>
  <c r="L203" i="1" s="1"/>
  <c r="D101" i="8"/>
  <c r="D165" i="8"/>
  <c r="C18" i="10"/>
  <c r="H10" i="8"/>
  <c r="Q138" i="8"/>
  <c r="K44" i="8"/>
  <c r="O54" i="8"/>
  <c r="E69" i="8"/>
  <c r="G69" i="8"/>
  <c r="I69" i="8"/>
  <c r="G17" i="10"/>
  <c r="Q144" i="8"/>
  <c r="O14" i="10"/>
  <c r="E205" i="2"/>
  <c r="E204" i="2"/>
  <c r="M206" i="2"/>
  <c r="K68" i="2"/>
  <c r="L21" i="1"/>
  <c r="O15" i="2"/>
  <c r="L19" i="1"/>
  <c r="O522" i="2"/>
  <c r="O521" i="2"/>
  <c r="O557" i="2"/>
  <c r="O42" i="2"/>
  <c r="O22" i="2"/>
  <c r="O20" i="2"/>
  <c r="L29" i="1"/>
  <c r="E72" i="2"/>
  <c r="P388" i="2"/>
  <c r="I21" i="10"/>
  <c r="E117" i="3"/>
  <c r="D22" i="10"/>
  <c r="G22" i="10"/>
  <c r="H22" i="10"/>
  <c r="J258" i="6"/>
  <c r="J257" i="6" s="1"/>
  <c r="P246" i="6"/>
  <c r="P245" i="6"/>
  <c r="P236" i="6"/>
  <c r="P37" i="6"/>
  <c r="O42" i="6"/>
  <c r="M20" i="10"/>
  <c r="N37" i="6"/>
  <c r="R14" i="5"/>
  <c r="X14" i="5"/>
  <c r="X13" i="5"/>
  <c r="F218" i="3"/>
  <c r="H218" i="3"/>
  <c r="E68" i="3"/>
  <c r="G68" i="3"/>
  <c r="P68" i="3"/>
  <c r="H22" i="6"/>
  <c r="H21" i="6"/>
  <c r="Q70" i="6"/>
  <c r="M78" i="6"/>
  <c r="F10" i="4"/>
  <c r="H10" i="4"/>
  <c r="O18" i="4"/>
  <c r="L70" i="1" s="1"/>
  <c r="O74" i="4"/>
  <c r="O73" i="4" s="1"/>
  <c r="F54" i="4"/>
  <c r="H54" i="4"/>
  <c r="L54" i="4"/>
  <c r="O68" i="2"/>
  <c r="P22" i="2"/>
  <c r="X22" i="2"/>
  <c r="X527" i="2"/>
  <c r="X565" i="2"/>
  <c r="X564" i="2"/>
  <c r="M21" i="1"/>
  <c r="M126" i="1"/>
  <c r="M187" i="1" s="1"/>
  <c r="P18" i="2"/>
  <c r="M24" i="1"/>
  <c r="M129" i="1"/>
  <c r="M190" i="1"/>
  <c r="G388" i="2"/>
  <c r="X522" i="2"/>
  <c r="O526" i="2"/>
  <c r="O525" i="2"/>
  <c r="P42" i="2"/>
  <c r="P15" i="2"/>
  <c r="X523" i="2"/>
  <c r="X524" i="2"/>
  <c r="P566" i="2"/>
  <c r="X567" i="2"/>
  <c r="X566" i="2"/>
  <c r="X588" i="2"/>
  <c r="V130" i="1"/>
  <c r="F75" i="2"/>
  <c r="H75" i="2"/>
  <c r="G33" i="5"/>
  <c r="I33" i="5"/>
  <c r="K33" i="5"/>
  <c r="L36" i="5"/>
  <c r="R44" i="5"/>
  <c r="P144" i="8"/>
  <c r="N14" i="10"/>
  <c r="O86" i="3"/>
  <c r="D26" i="3"/>
  <c r="D25" i="3"/>
  <c r="K134" i="3"/>
  <c r="P134" i="3"/>
  <c r="F137" i="3"/>
  <c r="O140" i="3"/>
  <c r="E22" i="10"/>
  <c r="P182" i="3"/>
  <c r="Q104" i="3"/>
  <c r="O116" i="3"/>
  <c r="K388" i="2"/>
  <c r="K75" i="2"/>
  <c r="J75" i="2"/>
  <c r="O104" i="8"/>
  <c r="E146" i="3"/>
  <c r="I116" i="3"/>
  <c r="J52" i="3"/>
  <c r="I430" i="2"/>
  <c r="N25" i="2"/>
  <c r="F591" i="2"/>
  <c r="F590" i="2"/>
  <c r="H591" i="2"/>
  <c r="H590" i="2"/>
  <c r="O591" i="2"/>
  <c r="O590" i="2"/>
  <c r="Q591" i="2"/>
  <c r="Q590" i="2"/>
  <c r="K582" i="2"/>
  <c r="J430" i="2"/>
  <c r="L549" i="2"/>
  <c r="G591" i="2"/>
  <c r="G590" i="2"/>
  <c r="I591" i="2"/>
  <c r="I590" i="2"/>
  <c r="P591" i="2"/>
  <c r="P590" i="2"/>
  <c r="R591" i="2"/>
  <c r="R590" i="2"/>
  <c r="O103" i="1"/>
  <c r="E14" i="9"/>
  <c r="E11" i="9" s="1"/>
  <c r="I14" i="9"/>
  <c r="I11" i="9"/>
  <c r="O69" i="9"/>
  <c r="O68" i="9" s="1"/>
  <c r="L99" i="1" s="1"/>
  <c r="N12" i="9"/>
  <c r="K204" i="9"/>
  <c r="E430" i="2"/>
  <c r="E426" i="2"/>
  <c r="C28" i="10" s="1"/>
  <c r="P33" i="2"/>
  <c r="M46" i="1"/>
  <c r="M147" i="1" s="1"/>
  <c r="R33" i="2"/>
  <c r="O46" i="1"/>
  <c r="B65" i="1"/>
  <c r="B64" i="1" s="1"/>
  <c r="P376" i="2"/>
  <c r="H119" i="2"/>
  <c r="I252" i="2"/>
  <c r="F260" i="2"/>
  <c r="H260" i="2"/>
  <c r="J260" i="2"/>
  <c r="L260" i="2"/>
  <c r="E255" i="2"/>
  <c r="E253" i="2"/>
  <c r="H253" i="2"/>
  <c r="H252" i="2"/>
  <c r="G260" i="2"/>
  <c r="I260" i="2"/>
  <c r="K260" i="2"/>
  <c r="P21" i="2"/>
  <c r="R30" i="8"/>
  <c r="P30" i="8"/>
  <c r="O138" i="8"/>
  <c r="J20" i="2"/>
  <c r="G29" i="1"/>
  <c r="G33" i="2"/>
  <c r="O32" i="2"/>
  <c r="L45" i="1"/>
  <c r="O50" i="2"/>
  <c r="H40" i="2"/>
  <c r="H18" i="2"/>
  <c r="E24" i="1"/>
  <c r="E129" i="1"/>
  <c r="E190" i="1"/>
  <c r="O37" i="2"/>
  <c r="I42" i="2"/>
  <c r="L26" i="2"/>
  <c r="E48" i="2"/>
  <c r="E29" i="2"/>
  <c r="B40" i="1"/>
  <c r="B144" i="1"/>
  <c r="B206" i="1"/>
  <c r="O232" i="2"/>
  <c r="R21" i="2"/>
  <c r="K54" i="2"/>
  <c r="P54" i="2"/>
  <c r="G61" i="2"/>
  <c r="N140" i="2"/>
  <c r="N61" i="1"/>
  <c r="F113" i="2"/>
  <c r="H113" i="2"/>
  <c r="J113" i="2"/>
  <c r="L113" i="2"/>
  <c r="I140" i="2"/>
  <c r="J388" i="2"/>
  <c r="N388" i="2"/>
  <c r="O61" i="1"/>
  <c r="L618" i="2"/>
  <c r="L617" i="2"/>
  <c r="N606" i="2"/>
  <c r="N605" i="2"/>
  <c r="N585" i="2"/>
  <c r="N584" i="2"/>
  <c r="J638" i="2"/>
  <c r="J637" i="2"/>
  <c r="Q10" i="4"/>
  <c r="M15" i="4"/>
  <c r="N74" i="4"/>
  <c r="L10" i="4"/>
  <c r="M11" i="4"/>
  <c r="M27" i="4"/>
  <c r="N68" i="4"/>
  <c r="N71" i="4"/>
  <c r="N22" i="4"/>
  <c r="K74" i="1"/>
  <c r="K73" i="1" s="1"/>
  <c r="I21" i="2"/>
  <c r="N104" i="4"/>
  <c r="G27" i="5"/>
  <c r="R13" i="5"/>
  <c r="F22" i="5"/>
  <c r="H22" i="5"/>
  <c r="J22" i="5"/>
  <c r="O22" i="5"/>
  <c r="Q22" i="5"/>
  <c r="F33" i="5"/>
  <c r="H33" i="5"/>
  <c r="J33" i="5"/>
  <c r="L38" i="5"/>
  <c r="K13" i="5"/>
  <c r="I13" i="5"/>
  <c r="E25" i="5"/>
  <c r="K27" i="5"/>
  <c r="L34" i="5"/>
  <c r="L33" i="5"/>
  <c r="E36" i="5"/>
  <c r="O84" i="5"/>
  <c r="O83" i="5"/>
  <c r="L19" i="5"/>
  <c r="L18" i="5"/>
  <c r="E28" i="5"/>
  <c r="D28" i="5"/>
  <c r="I27" i="5"/>
  <c r="M34" i="5"/>
  <c r="F38" i="5"/>
  <c r="H38" i="5"/>
  <c r="J38" i="5"/>
  <c r="P81" i="5"/>
  <c r="Q84" i="5"/>
  <c r="Q83" i="5"/>
  <c r="L99" i="5"/>
  <c r="L98" i="5"/>
  <c r="M102" i="5"/>
  <c r="L85" i="5"/>
  <c r="M86" i="5"/>
  <c r="M61" i="5"/>
  <c r="M41" i="5"/>
  <c r="M38" i="5"/>
  <c r="M79" i="5"/>
  <c r="D102" i="5"/>
  <c r="M108" i="5"/>
  <c r="M88" i="5"/>
  <c r="G31" i="2"/>
  <c r="D42" i="1"/>
  <c r="D143" i="1"/>
  <c r="D205" i="1"/>
  <c r="N232" i="2"/>
  <c r="P232" i="2"/>
  <c r="I113" i="2"/>
  <c r="N113" i="2"/>
  <c r="P113" i="2"/>
  <c r="L37" i="2"/>
  <c r="E26" i="2"/>
  <c r="N42" i="2"/>
  <c r="F21" i="2"/>
  <c r="Q21" i="2"/>
  <c r="H58" i="2"/>
  <c r="H54" i="2"/>
  <c r="L531" i="2"/>
  <c r="I40" i="2"/>
  <c r="I18" i="2"/>
  <c r="F24" i="1"/>
  <c r="F129" i="1"/>
  <c r="F190" i="1"/>
  <c r="P564" i="2"/>
  <c r="N47" i="2"/>
  <c r="N28" i="2"/>
  <c r="K39" i="1"/>
  <c r="K143" i="1"/>
  <c r="K205" i="1"/>
  <c r="L48" i="2"/>
  <c r="L29" i="2"/>
  <c r="I40" i="1"/>
  <c r="I144" i="1"/>
  <c r="I206" i="1"/>
  <c r="H50" i="2"/>
  <c r="H31" i="2"/>
  <c r="E42" i="1"/>
  <c r="E143" i="1"/>
  <c r="E205" i="1"/>
  <c r="J31" i="2"/>
  <c r="G42" i="1"/>
  <c r="G143" i="1"/>
  <c r="G205" i="1"/>
  <c r="F33" i="2"/>
  <c r="H33" i="2"/>
  <c r="E588" i="2"/>
  <c r="B69" i="1"/>
  <c r="N533" i="2"/>
  <c r="N532" i="2"/>
  <c r="Q33" i="2"/>
  <c r="J54" i="2"/>
  <c r="O54" i="2"/>
  <c r="O225" i="2"/>
  <c r="E47" i="2"/>
  <c r="E28" i="2"/>
  <c r="B39" i="1"/>
  <c r="N37" i="2"/>
  <c r="I409" i="2"/>
  <c r="I406" i="2"/>
  <c r="I33" i="2"/>
  <c r="P50" i="2"/>
  <c r="R50" i="2"/>
  <c r="F54" i="2"/>
  <c r="G54" i="2"/>
  <c r="F225" i="2"/>
  <c r="H225" i="2"/>
  <c r="J225" i="2"/>
  <c r="L225" i="2"/>
  <c r="D233" i="2"/>
  <c r="F68" i="2"/>
  <c r="H68" i="2"/>
  <c r="D70" i="2"/>
  <c r="F99" i="2"/>
  <c r="F274" i="2"/>
  <c r="H274" i="2"/>
  <c r="J274" i="2"/>
  <c r="L274" i="2"/>
  <c r="O274" i="2"/>
  <c r="P412" i="2"/>
  <c r="E522" i="2"/>
  <c r="E521" i="2"/>
  <c r="L588" i="2"/>
  <c r="I69" i="1"/>
  <c r="I126" i="1" s="1"/>
  <c r="I187" i="1" s="1"/>
  <c r="P400" i="2"/>
  <c r="G274" i="2"/>
  <c r="E106" i="2"/>
  <c r="G106" i="2"/>
  <c r="I106" i="2"/>
  <c r="K106" i="2"/>
  <c r="O106" i="2"/>
  <c r="I274" i="2"/>
  <c r="K274" i="2"/>
  <c r="N274" i="2"/>
  <c r="F106" i="2"/>
  <c r="H106" i="2"/>
  <c r="J106" i="2"/>
  <c r="N106" i="2"/>
  <c r="P106" i="2"/>
  <c r="P146" i="2"/>
  <c r="P274" i="2"/>
  <c r="E114" i="2"/>
  <c r="G419" i="2"/>
  <c r="K376" i="2"/>
  <c r="J146" i="2"/>
  <c r="Q50" i="2"/>
  <c r="P61" i="2"/>
  <c r="P75" i="2"/>
  <c r="H400" i="2"/>
  <c r="N400" i="2"/>
  <c r="L268" i="2"/>
  <c r="P536" i="2"/>
  <c r="F61" i="2"/>
  <c r="H61" i="2"/>
  <c r="J61" i="2"/>
  <c r="L61" i="2"/>
  <c r="O61" i="2"/>
  <c r="I61" i="2"/>
  <c r="K61" i="2"/>
  <c r="N61" i="2"/>
  <c r="N75" i="2"/>
  <c r="O75" i="2"/>
  <c r="G99" i="2"/>
  <c r="K99" i="2"/>
  <c r="P99" i="2"/>
  <c r="J99" i="2"/>
  <c r="F412" i="2"/>
  <c r="H412" i="2"/>
  <c r="K412" i="2"/>
  <c r="N412" i="2"/>
  <c r="F536" i="2"/>
  <c r="H536" i="2"/>
  <c r="J536" i="2"/>
  <c r="L536" i="2"/>
  <c r="E536" i="2"/>
  <c r="G536" i="2"/>
  <c r="E544" i="2"/>
  <c r="G544" i="2"/>
  <c r="I544" i="2"/>
  <c r="K544" i="2"/>
  <c r="J554" i="2"/>
  <c r="L554" i="2"/>
  <c r="I525" i="2"/>
  <c r="L47" i="2"/>
  <c r="H99" i="2"/>
  <c r="M414" i="2"/>
  <c r="K423" i="2"/>
  <c r="K419" i="2"/>
  <c r="K33" i="2"/>
  <c r="N531" i="2"/>
  <c r="N529" i="2"/>
  <c r="E560" i="2"/>
  <c r="E559" i="2"/>
  <c r="E533" i="2"/>
  <c r="E532" i="2"/>
  <c r="D264" i="2"/>
  <c r="E264" i="2"/>
  <c r="E51" i="2"/>
  <c r="E31" i="2"/>
  <c r="B42" i="1"/>
  <c r="N409" i="2"/>
  <c r="N526" i="2"/>
  <c r="E610" i="2"/>
  <c r="E609" i="2"/>
  <c r="L634" i="2"/>
  <c r="L633" i="2"/>
  <c r="G225" i="2"/>
  <c r="I225" i="2"/>
  <c r="K225" i="2"/>
  <c r="N225" i="2"/>
  <c r="P225" i="2"/>
  <c r="G68" i="2"/>
  <c r="I68" i="2"/>
  <c r="O260" i="2"/>
  <c r="O99" i="2"/>
  <c r="L99" i="2"/>
  <c r="F400" i="2"/>
  <c r="O400" i="2"/>
  <c r="E402" i="2"/>
  <c r="L400" i="2"/>
  <c r="F268" i="2"/>
  <c r="H268" i="2"/>
  <c r="J268" i="2"/>
  <c r="G412" i="2"/>
  <c r="I412" i="2"/>
  <c r="L412" i="2"/>
  <c r="O412" i="2"/>
  <c r="G376" i="2"/>
  <c r="I376" i="2"/>
  <c r="N199" i="2"/>
  <c r="P199" i="2"/>
  <c r="H438" i="2"/>
  <c r="G525" i="2"/>
  <c r="K525" i="2"/>
  <c r="P525" i="2"/>
  <c r="R525" i="2"/>
  <c r="O529" i="2"/>
  <c r="E257" i="2"/>
  <c r="F184" i="2"/>
  <c r="I536" i="2"/>
  <c r="J215" i="2"/>
  <c r="K536" i="2"/>
  <c r="E261" i="2"/>
  <c r="I199" i="2"/>
  <c r="F525" i="2"/>
  <c r="H525" i="2"/>
  <c r="J525" i="2"/>
  <c r="L525" i="2"/>
  <c r="Q525" i="2"/>
  <c r="F529" i="2"/>
  <c r="J529" i="2"/>
  <c r="P532" i="2"/>
  <c r="R532" i="2"/>
  <c r="Q532" i="2"/>
  <c r="O438" i="2"/>
  <c r="P572" i="2"/>
  <c r="P10" i="2"/>
  <c r="P9" i="2" s="1"/>
  <c r="Z9" i="2" s="1"/>
  <c r="E60" i="2"/>
  <c r="L69" i="2"/>
  <c r="L68" i="2"/>
  <c r="D122" i="2"/>
  <c r="P125" i="2"/>
  <c r="E135" i="2"/>
  <c r="F140" i="2"/>
  <c r="H140" i="2"/>
  <c r="J140" i="2"/>
  <c r="L140" i="2"/>
  <c r="O140" i="2"/>
  <c r="F532" i="2"/>
  <c r="H532" i="2"/>
  <c r="J532" i="2"/>
  <c r="I419" i="2"/>
  <c r="F376" i="2"/>
  <c r="H376" i="2"/>
  <c r="J376" i="2"/>
  <c r="J382" i="2"/>
  <c r="G125" i="2"/>
  <c r="E143" i="2"/>
  <c r="J184" i="2"/>
  <c r="O199" i="2"/>
  <c r="L199" i="2"/>
  <c r="E202" i="2"/>
  <c r="I439" i="2"/>
  <c r="I438" i="2"/>
  <c r="K439" i="2"/>
  <c r="K438" i="2"/>
  <c r="L444" i="2"/>
  <c r="L443" i="2"/>
  <c r="I555" i="2"/>
  <c r="I554" i="2"/>
  <c r="I522" i="2"/>
  <c r="I521" i="2"/>
  <c r="O573" i="2"/>
  <c r="O572" i="2"/>
  <c r="O565" i="2"/>
  <c r="O564" i="2"/>
  <c r="K618" i="2"/>
  <c r="K617" i="2"/>
  <c r="K583" i="2"/>
  <c r="I626" i="2"/>
  <c r="I625" i="2"/>
  <c r="I585" i="2"/>
  <c r="I584" i="2"/>
  <c r="E190" i="2"/>
  <c r="G190" i="2"/>
  <c r="I190" i="2"/>
  <c r="K190" i="2"/>
  <c r="N190" i="2"/>
  <c r="J439" i="2"/>
  <c r="J438" i="2"/>
  <c r="L439" i="2"/>
  <c r="L438" i="2"/>
  <c r="H521" i="2"/>
  <c r="L521" i="2"/>
  <c r="Q521" i="2"/>
  <c r="E529" i="2"/>
  <c r="G529" i="2"/>
  <c r="G528" i="2"/>
  <c r="E12" i="10"/>
  <c r="I529" i="2"/>
  <c r="I528" i="2"/>
  <c r="G12" i="10"/>
  <c r="K529" i="2"/>
  <c r="K528" i="2"/>
  <c r="I12" i="10"/>
  <c r="P529" i="2"/>
  <c r="R529" i="2"/>
  <c r="H529" i="2"/>
  <c r="Q529" i="2"/>
  <c r="F544" i="2"/>
  <c r="H544" i="2"/>
  <c r="J544" i="2"/>
  <c r="Q572" i="2"/>
  <c r="R572" i="2"/>
  <c r="G585" i="2"/>
  <c r="G584" i="2"/>
  <c r="P585" i="2"/>
  <c r="P584" i="2"/>
  <c r="R585" i="2"/>
  <c r="R584" i="2"/>
  <c r="L661" i="2"/>
  <c r="L660" i="2"/>
  <c r="I102" i="1"/>
  <c r="F50" i="2"/>
  <c r="Q24" i="2"/>
  <c r="N21" i="1"/>
  <c r="V21" i="1"/>
  <c r="V126" i="1"/>
  <c r="W34" i="10"/>
  <c r="J14" i="9"/>
  <c r="G14" i="9"/>
  <c r="G11" i="9" s="1"/>
  <c r="K14" i="9"/>
  <c r="K11" i="9"/>
  <c r="K18" i="9"/>
  <c r="K17" i="9" s="1"/>
  <c r="F18" i="9"/>
  <c r="F17" i="9" s="1"/>
  <c r="H18" i="9"/>
  <c r="H17" i="9" s="1"/>
  <c r="F14" i="9"/>
  <c r="H14" i="9"/>
  <c r="H11" i="9"/>
  <c r="Q14" i="9"/>
  <c r="Q11" i="9" s="1"/>
  <c r="K53" i="9"/>
  <c r="K52" i="9" s="1"/>
  <c r="I204" i="9"/>
  <c r="C34" i="10"/>
  <c r="L28" i="9"/>
  <c r="L27" i="9" s="1"/>
  <c r="D69" i="9"/>
  <c r="D68" i="9"/>
  <c r="O18" i="9"/>
  <c r="O17" i="9" s="1"/>
  <c r="F12" i="9"/>
  <c r="G12" i="9"/>
  <c r="L46" i="9"/>
  <c r="L45" i="9" s="1"/>
  <c r="D53" i="9"/>
  <c r="D52" i="9"/>
  <c r="M53" i="9"/>
  <c r="M52" i="9" s="1"/>
  <c r="L62" i="9"/>
  <c r="L61" i="9" s="1"/>
  <c r="I102" i="9"/>
  <c r="E204" i="9"/>
  <c r="O16" i="5"/>
  <c r="O13" i="5"/>
  <c r="L104" i="8"/>
  <c r="O382" i="2"/>
  <c r="L382" i="2"/>
  <c r="E141" i="2"/>
  <c r="J17" i="7"/>
  <c r="I33" i="7"/>
  <c r="F67" i="1"/>
  <c r="I38" i="7"/>
  <c r="R38" i="7"/>
  <c r="D75" i="7"/>
  <c r="E74" i="7"/>
  <c r="J74" i="7"/>
  <c r="K84" i="7"/>
  <c r="K87" i="7"/>
  <c r="K23" i="7"/>
  <c r="N8" i="7"/>
  <c r="K68" i="1"/>
  <c r="K123" i="1" s="1"/>
  <c r="K185" i="1" s="1"/>
  <c r="K38" i="7"/>
  <c r="L44" i="7"/>
  <c r="D57" i="7"/>
  <c r="D56" i="7"/>
  <c r="K57" i="7"/>
  <c r="K56" i="7"/>
  <c r="I68" i="7"/>
  <c r="K68" i="7"/>
  <c r="O68" i="7"/>
  <c r="O74" i="7"/>
  <c r="K80" i="7"/>
  <c r="N80" i="7"/>
  <c r="K140" i="1"/>
  <c r="K202" i="1"/>
  <c r="O86" i="7"/>
  <c r="Q86" i="7"/>
  <c r="N89" i="7"/>
  <c r="N20" i="7"/>
  <c r="D12" i="13"/>
  <c r="M29" i="13"/>
  <c r="M27" i="13"/>
  <c r="Q24" i="8"/>
  <c r="E18" i="8"/>
  <c r="R18" i="8"/>
  <c r="Q30" i="8"/>
  <c r="R13" i="8"/>
  <c r="H24" i="8"/>
  <c r="H23" i="8"/>
  <c r="N24" i="8"/>
  <c r="J36" i="8"/>
  <c r="E49" i="8"/>
  <c r="E61" i="8"/>
  <c r="I61" i="8"/>
  <c r="M75" i="8"/>
  <c r="M27" i="8"/>
  <c r="M83" i="8"/>
  <c r="M126" i="8"/>
  <c r="D126" i="8"/>
  <c r="M135" i="8"/>
  <c r="M134" i="8"/>
  <c r="D144" i="8"/>
  <c r="D211" i="8"/>
  <c r="M210" i="8"/>
  <c r="M209" i="8"/>
  <c r="J66" i="1"/>
  <c r="U66" i="1" s="1"/>
  <c r="G18" i="8"/>
  <c r="J45" i="8"/>
  <c r="J44" i="8"/>
  <c r="H16" i="10"/>
  <c r="M49" i="8"/>
  <c r="M22" i="8"/>
  <c r="O75" i="8"/>
  <c r="O74" i="8"/>
  <c r="M81" i="8"/>
  <c r="M86" i="8"/>
  <c r="M85" i="8"/>
  <c r="D86" i="8"/>
  <c r="D85" i="8"/>
  <c r="J94" i="8"/>
  <c r="J91" i="8"/>
  <c r="H13" i="10"/>
  <c r="I94" i="8"/>
  <c r="I91" i="8"/>
  <c r="G13" i="10"/>
  <c r="J100" i="8"/>
  <c r="J97" i="8"/>
  <c r="I100" i="8"/>
  <c r="I97" i="8"/>
  <c r="D28" i="8"/>
  <c r="M28" i="8"/>
  <c r="M120" i="8"/>
  <c r="M123" i="8"/>
  <c r="D123" i="8"/>
  <c r="F179" i="8"/>
  <c r="J179" i="8"/>
  <c r="L210" i="8"/>
  <c r="L209" i="8"/>
  <c r="M213" i="8"/>
  <c r="M212" i="8"/>
  <c r="D214" i="8"/>
  <c r="D194" i="8"/>
  <c r="D190" i="8"/>
  <c r="J79" i="1"/>
  <c r="D158" i="8"/>
  <c r="D152" i="8"/>
  <c r="Q13" i="5"/>
  <c r="E33" i="5"/>
  <c r="F84" i="5"/>
  <c r="J84" i="5"/>
  <c r="G13" i="5"/>
  <c r="F27" i="5"/>
  <c r="D39" i="10"/>
  <c r="H27" i="5"/>
  <c r="F39" i="10"/>
  <c r="J27" i="5"/>
  <c r="H39" i="10"/>
  <c r="L27" i="5"/>
  <c r="J39" i="10"/>
  <c r="E30" i="5"/>
  <c r="E27" i="5"/>
  <c r="G38" i="5"/>
  <c r="I38" i="5"/>
  <c r="K38" i="5"/>
  <c r="E48" i="5"/>
  <c r="E47" i="5"/>
  <c r="P84" i="5"/>
  <c r="K104" i="5"/>
  <c r="G22" i="5"/>
  <c r="G11" i="5"/>
  <c r="I22" i="5"/>
  <c r="I11" i="5"/>
  <c r="K22" i="5"/>
  <c r="K11" i="5"/>
  <c r="P22" i="5"/>
  <c r="R22" i="5"/>
  <c r="D85" i="9"/>
  <c r="O24" i="4"/>
  <c r="S17" i="4"/>
  <c r="P68" i="1"/>
  <c r="M62" i="4"/>
  <c r="M63" i="4"/>
  <c r="N67" i="4"/>
  <c r="D68" i="4"/>
  <c r="D28" i="4"/>
  <c r="L104" i="4"/>
  <c r="O104" i="4"/>
  <c r="F23" i="4"/>
  <c r="K42" i="4"/>
  <c r="K41" i="4" s="1"/>
  <c r="G54" i="4"/>
  <c r="K54" i="4"/>
  <c r="D26" i="4"/>
  <c r="D71" i="4"/>
  <c r="H23" i="4"/>
  <c r="I54" i="4"/>
  <c r="O37" i="6"/>
  <c r="N42" i="6"/>
  <c r="L20" i="10"/>
  <c r="P42" i="6"/>
  <c r="N20" i="10"/>
  <c r="M73" i="6"/>
  <c r="M254" i="6"/>
  <c r="M253" i="6"/>
  <c r="M240" i="6"/>
  <c r="M258" i="6"/>
  <c r="M257" i="6" s="1"/>
  <c r="J102" i="1" s="1"/>
  <c r="M243" i="6"/>
  <c r="M242" i="6"/>
  <c r="M241" i="6" s="1"/>
  <c r="M71" i="6"/>
  <c r="M246" i="6"/>
  <c r="M245" i="6"/>
  <c r="M236" i="6"/>
  <c r="P74" i="3"/>
  <c r="P176" i="3"/>
  <c r="W21" i="10"/>
  <c r="N48" i="3"/>
  <c r="E52" i="3"/>
  <c r="M57" i="3"/>
  <c r="D57" i="3" s="1"/>
  <c r="I52" i="3"/>
  <c r="D64" i="3"/>
  <c r="M26" i="3"/>
  <c r="M25" i="3"/>
  <c r="D46" i="3"/>
  <c r="D45" i="3" s="1"/>
  <c r="K52" i="3"/>
  <c r="K9" i="3" s="1"/>
  <c r="N69" i="3"/>
  <c r="N68" i="3"/>
  <c r="I69" i="3"/>
  <c r="I68" i="3"/>
  <c r="M70" i="3"/>
  <c r="M71" i="3"/>
  <c r="D71" i="3"/>
  <c r="M73" i="3"/>
  <c r="M76" i="3"/>
  <c r="G74" i="3"/>
  <c r="J77" i="3"/>
  <c r="K77" i="3"/>
  <c r="N77" i="3"/>
  <c r="N74" i="3"/>
  <c r="L81" i="3"/>
  <c r="M93" i="3"/>
  <c r="Q92" i="3"/>
  <c r="M121" i="3"/>
  <c r="M124" i="3"/>
  <c r="L129" i="3"/>
  <c r="F134" i="3"/>
  <c r="J135" i="3"/>
  <c r="O137" i="3"/>
  <c r="O134" i="3"/>
  <c r="F140" i="3"/>
  <c r="F10" i="3"/>
  <c r="H140" i="3"/>
  <c r="H10" i="3"/>
  <c r="J140" i="3"/>
  <c r="J10" i="3"/>
  <c r="L141" i="3"/>
  <c r="L140" i="3"/>
  <c r="L10" i="3"/>
  <c r="M142" i="3"/>
  <c r="G140" i="3"/>
  <c r="G10" i="3"/>
  <c r="I140" i="3"/>
  <c r="I10" i="3"/>
  <c r="M150" i="3"/>
  <c r="I22" i="10"/>
  <c r="Q182" i="3"/>
  <c r="E201" i="3"/>
  <c r="L209" i="3"/>
  <c r="L206" i="3"/>
  <c r="M213" i="3"/>
  <c r="M216" i="3"/>
  <c r="D216" i="3"/>
  <c r="J74" i="3"/>
  <c r="M78" i="3"/>
  <c r="M81" i="3"/>
  <c r="P80" i="3"/>
  <c r="M99" i="3"/>
  <c r="M98" i="3"/>
  <c r="L117" i="3"/>
  <c r="L116" i="3"/>
  <c r="M119" i="3"/>
  <c r="P116" i="3"/>
  <c r="M126" i="3"/>
  <c r="H129" i="3"/>
  <c r="H128" i="3"/>
  <c r="G132" i="3"/>
  <c r="L132" i="3"/>
  <c r="L137" i="3"/>
  <c r="L134" i="3"/>
  <c r="D145" i="3"/>
  <c r="M144" i="3"/>
  <c r="J22" i="10"/>
  <c r="D201" i="3"/>
  <c r="F200" i="3"/>
  <c r="H200" i="3"/>
  <c r="J200" i="3"/>
  <c r="L200" i="3"/>
  <c r="O200" i="3"/>
  <c r="Q200" i="3"/>
  <c r="J218" i="3"/>
  <c r="L218" i="3"/>
  <c r="F585" i="2"/>
  <c r="F584" i="2"/>
  <c r="K147" i="2"/>
  <c r="K146" i="2"/>
  <c r="H184" i="2"/>
  <c r="E383" i="2"/>
  <c r="G382" i="2"/>
  <c r="K125" i="2"/>
  <c r="N128" i="2"/>
  <c r="G140" i="2"/>
  <c r="K140" i="2"/>
  <c r="P140" i="2"/>
  <c r="L388" i="2"/>
  <c r="G146" i="2"/>
  <c r="O146" i="2"/>
  <c r="O184" i="2"/>
  <c r="F215" i="2"/>
  <c r="H215" i="2"/>
  <c r="K215" i="2"/>
  <c r="N215" i="2"/>
  <c r="P215" i="2"/>
  <c r="O215" i="2"/>
  <c r="O430" i="2"/>
  <c r="F438" i="2"/>
  <c r="F521" i="2"/>
  <c r="J521" i="2"/>
  <c r="L533" i="2"/>
  <c r="O533" i="2"/>
  <c r="L545" i="2"/>
  <c r="P544" i="2"/>
  <c r="N544" i="2"/>
  <c r="N565" i="2"/>
  <c r="N564" i="2"/>
  <c r="L666" i="2"/>
  <c r="L665" i="2"/>
  <c r="M62" i="2"/>
  <c r="D62" i="2"/>
  <c r="M72" i="2"/>
  <c r="D74" i="2"/>
  <c r="D72" i="2"/>
  <c r="D135" i="2"/>
  <c r="D134" i="2"/>
  <c r="M209" i="2"/>
  <c r="M208" i="2"/>
  <c r="D209" i="2"/>
  <c r="O209" i="2"/>
  <c r="O208" i="2"/>
  <c r="O566" i="2"/>
  <c r="D614" i="2"/>
  <c r="D613" i="2"/>
  <c r="M657" i="2"/>
  <c r="M656" i="2"/>
  <c r="D657" i="2"/>
  <c r="D656" i="2"/>
  <c r="M666" i="2"/>
  <c r="M665" i="2"/>
  <c r="D667" i="2"/>
  <c r="D666" i="2"/>
  <c r="D665" i="2"/>
  <c r="M122" i="2"/>
  <c r="O268" i="2"/>
  <c r="O179" i="2"/>
  <c r="O178" i="2"/>
  <c r="F199" i="2"/>
  <c r="H199" i="2"/>
  <c r="J199" i="2"/>
  <c r="L215" i="2"/>
  <c r="M221" i="2"/>
  <c r="M220" i="2"/>
  <c r="D221" i="2"/>
  <c r="D220" i="2"/>
  <c r="G438" i="2"/>
  <c r="N438" i="2"/>
  <c r="P438" i="2"/>
  <c r="G521" i="2"/>
  <c r="G520" i="2"/>
  <c r="K521" i="2"/>
  <c r="P521" i="2"/>
  <c r="R521" i="2"/>
  <c r="D25" i="2"/>
  <c r="N537" i="2"/>
  <c r="N536" i="2"/>
  <c r="D545" i="2"/>
  <c r="N566" i="2"/>
  <c r="N570" i="2"/>
  <c r="N573" i="2"/>
  <c r="N572" i="2"/>
  <c r="N578" i="2"/>
  <c r="N577" i="2"/>
  <c r="Q585" i="2"/>
  <c r="Q584" i="2" s="1"/>
  <c r="P614" i="2"/>
  <c r="P613" i="2"/>
  <c r="Z613" i="2"/>
  <c r="Z637" i="2"/>
  <c r="Z652" i="2"/>
  <c r="Z669" i="2"/>
  <c r="D34" i="2"/>
  <c r="D15" i="2"/>
  <c r="D22" i="2"/>
  <c r="N184" i="2"/>
  <c r="P184" i="2"/>
  <c r="G554" i="2"/>
  <c r="K554" i="2"/>
  <c r="G184" i="2"/>
  <c r="I184" i="2"/>
  <c r="K184" i="2"/>
  <c r="G199" i="2"/>
  <c r="K199" i="2"/>
  <c r="M80" i="2"/>
  <c r="D261" i="2"/>
  <c r="G113" i="2"/>
  <c r="K113" i="2"/>
  <c r="N554" i="2"/>
  <c r="N10" i="2"/>
  <c r="O113" i="2"/>
  <c r="D140" i="2"/>
  <c r="F119" i="2"/>
  <c r="J119" i="2"/>
  <c r="D269" i="2"/>
  <c r="D268" i="2"/>
  <c r="L419" i="2"/>
  <c r="O419" i="2"/>
  <c r="L376" i="2"/>
  <c r="F382" i="2"/>
  <c r="H382" i="2"/>
  <c r="K382" i="2"/>
  <c r="N382" i="2"/>
  <c r="P382" i="2"/>
  <c r="L128" i="2"/>
  <c r="F146" i="2"/>
  <c r="H146" i="2"/>
  <c r="D541" i="2"/>
  <c r="O555" i="2"/>
  <c r="E557" i="2"/>
  <c r="Q563" i="2"/>
  <c r="O40" i="10"/>
  <c r="W40" i="10"/>
  <c r="E606" i="2"/>
  <c r="E605" i="2"/>
  <c r="E583" i="2"/>
  <c r="O606" i="2"/>
  <c r="O605" i="2"/>
  <c r="O583" i="2"/>
  <c r="N119" i="2"/>
  <c r="L397" i="2"/>
  <c r="L394" i="2"/>
  <c r="L155" i="2"/>
  <c r="L152" i="2"/>
  <c r="P169" i="2"/>
  <c r="F169" i="2"/>
  <c r="H169" i="2"/>
  <c r="J169" i="2"/>
  <c r="L175" i="2"/>
  <c r="L174" i="2"/>
  <c r="L187" i="2"/>
  <c r="L184" i="2"/>
  <c r="F190" i="2"/>
  <c r="H190" i="2"/>
  <c r="E196" i="2"/>
  <c r="E195" i="2"/>
  <c r="E216" i="2"/>
  <c r="E215" i="2"/>
  <c r="I215" i="2"/>
  <c r="M606" i="2"/>
  <c r="M605" i="2"/>
  <c r="M588" i="2"/>
  <c r="Z633" i="2"/>
  <c r="M638" i="2"/>
  <c r="M637" i="2"/>
  <c r="K22" i="6"/>
  <c r="K21" i="6" s="1"/>
  <c r="J25" i="6"/>
  <c r="J21" i="6" s="1"/>
  <c r="K73" i="6"/>
  <c r="K70" i="6"/>
  <c r="I246" i="6"/>
  <c r="I245" i="6"/>
  <c r="I236" i="6"/>
  <c r="N246" i="6"/>
  <c r="N245" i="6"/>
  <c r="N236" i="6"/>
  <c r="D250" i="6"/>
  <c r="D249" i="6"/>
  <c r="J243" i="6"/>
  <c r="J242" i="6" s="1"/>
  <c r="J241" i="6" s="1"/>
  <c r="I16" i="6"/>
  <c r="J240" i="6"/>
  <c r="D240" i="6"/>
  <c r="O28" i="6"/>
  <c r="I239" i="6"/>
  <c r="I238" i="6"/>
  <c r="I237" i="6"/>
  <c r="O238" i="6"/>
  <c r="O237" i="6"/>
  <c r="P70" i="6"/>
  <c r="Q75" i="6"/>
  <c r="G70" i="6"/>
  <c r="F75" i="6"/>
  <c r="D31" i="10" s="1"/>
  <c r="J75" i="6"/>
  <c r="H31" i="10" s="1"/>
  <c r="K78" i="6"/>
  <c r="P239" i="6"/>
  <c r="M65" i="1"/>
  <c r="D63" i="3"/>
  <c r="L70" i="6"/>
  <c r="O70" i="6"/>
  <c r="D132" i="8"/>
  <c r="D131" i="8"/>
  <c r="N30" i="8"/>
  <c r="N23" i="8"/>
  <c r="AA18" i="4"/>
  <c r="N41" i="4"/>
  <c r="N22" i="5"/>
  <c r="L22" i="5"/>
  <c r="L11" i="5"/>
  <c r="N33" i="5"/>
  <c r="O119" i="2"/>
  <c r="L190" i="2"/>
  <c r="J190" i="2"/>
  <c r="P18" i="8"/>
  <c r="N69" i="8"/>
  <c r="O56" i="7"/>
  <c r="L14" i="4"/>
  <c r="L13" i="4" s="1"/>
  <c r="N38" i="7"/>
  <c r="J68" i="2"/>
  <c r="N260" i="2"/>
  <c r="O125" i="2"/>
  <c r="E152" i="2"/>
  <c r="G152" i="2"/>
  <c r="I152" i="2"/>
  <c r="K152" i="2"/>
  <c r="N55" i="2"/>
  <c r="N54" i="2"/>
  <c r="E57" i="2"/>
  <c r="M57" i="2"/>
  <c r="D57" i="2"/>
  <c r="E69" i="2"/>
  <c r="N69" i="2"/>
  <c r="N68" i="2"/>
  <c r="L76" i="2"/>
  <c r="L75" i="2"/>
  <c r="L109" i="2"/>
  <c r="L106" i="2"/>
  <c r="E122" i="2"/>
  <c r="G119" i="2"/>
  <c r="I119" i="2"/>
  <c r="K119" i="2"/>
  <c r="P119" i="2"/>
  <c r="E405" i="2"/>
  <c r="E409" i="2"/>
  <c r="E406" i="2"/>
  <c r="E268" i="2"/>
  <c r="G268" i="2"/>
  <c r="I268" i="2"/>
  <c r="K268" i="2"/>
  <c r="N268" i="2"/>
  <c r="P268" i="2"/>
  <c r="E275" i="2"/>
  <c r="E277" i="2"/>
  <c r="J412" i="2"/>
  <c r="F419" i="2"/>
  <c r="H419" i="2"/>
  <c r="J419" i="2"/>
  <c r="O376" i="2"/>
  <c r="E385" i="2"/>
  <c r="I382" i="2"/>
  <c r="J126" i="2"/>
  <c r="J125" i="2"/>
  <c r="N126" i="2"/>
  <c r="F125" i="2"/>
  <c r="H125" i="2"/>
  <c r="G134" i="2"/>
  <c r="I134" i="2"/>
  <c r="K134" i="2"/>
  <c r="N134" i="2"/>
  <c r="P134" i="2"/>
  <c r="E392" i="2"/>
  <c r="E150" i="2"/>
  <c r="E146" i="2"/>
  <c r="I146" i="2"/>
  <c r="N152" i="2"/>
  <c r="P152" i="2"/>
  <c r="F32" i="3"/>
  <c r="J32" i="3"/>
  <c r="J9" i="3" s="1"/>
  <c r="E75" i="3"/>
  <c r="E74" i="3"/>
  <c r="O74" i="3"/>
  <c r="F80" i="3"/>
  <c r="H80" i="3"/>
  <c r="J80" i="3"/>
  <c r="L80" i="3"/>
  <c r="O84" i="3"/>
  <c r="O80" i="3"/>
  <c r="Z80" i="3"/>
  <c r="N86" i="3"/>
  <c r="L96" i="3"/>
  <c r="N98" i="3"/>
  <c r="P98" i="3"/>
  <c r="N116" i="3"/>
  <c r="L122" i="3"/>
  <c r="E129" i="3"/>
  <c r="F38" i="10"/>
  <c r="E172" i="2"/>
  <c r="E169" i="2"/>
  <c r="I169" i="2"/>
  <c r="N182" i="2"/>
  <c r="D191" i="2"/>
  <c r="D190" i="2"/>
  <c r="E200" i="2"/>
  <c r="N209" i="2"/>
  <c r="N208" i="2"/>
  <c r="G215" i="2"/>
  <c r="E439" i="2"/>
  <c r="E441" i="2"/>
  <c r="E444" i="2"/>
  <c r="E443" i="2"/>
  <c r="N521" i="2"/>
  <c r="Z617" i="2"/>
  <c r="Z625" i="2"/>
  <c r="N653" i="2"/>
  <c r="N652" i="2"/>
  <c r="Z685" i="2"/>
  <c r="K74" i="3"/>
  <c r="D81" i="3"/>
  <c r="E120" i="3"/>
  <c r="E116" i="3"/>
  <c r="O122" i="3"/>
  <c r="N134" i="3"/>
  <c r="I134" i="3"/>
  <c r="N140" i="3"/>
  <c r="N10" i="3"/>
  <c r="G21" i="10"/>
  <c r="F22" i="10"/>
  <c r="E24" i="4"/>
  <c r="G24" i="4"/>
  <c r="I24" i="4"/>
  <c r="K24" i="4"/>
  <c r="O27" i="5"/>
  <c r="Q27" i="5"/>
  <c r="O39" i="10"/>
  <c r="P83" i="5"/>
  <c r="G12" i="7"/>
  <c r="G11" i="7"/>
  <c r="I12" i="7"/>
  <c r="I11" i="7"/>
  <c r="E17" i="7"/>
  <c r="I17" i="7"/>
  <c r="D41" i="7"/>
  <c r="E41" i="7"/>
  <c r="E38" i="7"/>
  <c r="Q44" i="7"/>
  <c r="D210" i="8"/>
  <c r="D209" i="8"/>
  <c r="J116" i="3"/>
  <c r="G116" i="3"/>
  <c r="F122" i="3"/>
  <c r="H122" i="3"/>
  <c r="F129" i="3"/>
  <c r="F128" i="3"/>
  <c r="J129" i="3"/>
  <c r="J128" i="3"/>
  <c r="J134" i="3"/>
  <c r="D21" i="10"/>
  <c r="F21" i="10"/>
  <c r="C21" i="10"/>
  <c r="P188" i="3"/>
  <c r="Q188" i="3"/>
  <c r="E207" i="3"/>
  <c r="G206" i="3"/>
  <c r="I206" i="3"/>
  <c r="K206" i="3"/>
  <c r="N206" i="3"/>
  <c r="P206" i="3"/>
  <c r="F206" i="3"/>
  <c r="H206" i="3"/>
  <c r="J206" i="3"/>
  <c r="O206" i="3"/>
  <c r="Q206" i="3"/>
  <c r="K10" i="4"/>
  <c r="R10" i="4"/>
  <c r="G14" i="4"/>
  <c r="G13" i="4"/>
  <c r="I14" i="4"/>
  <c r="I13" i="4"/>
  <c r="R14" i="4"/>
  <c r="H14" i="4"/>
  <c r="H13" i="4" s="1"/>
  <c r="D48" i="4"/>
  <c r="J62" i="4"/>
  <c r="J63" i="4"/>
  <c r="N80" i="4"/>
  <c r="N79" i="4" s="1"/>
  <c r="D85" i="4"/>
  <c r="D84" i="4" s="1"/>
  <c r="E23" i="5"/>
  <c r="E22" i="5"/>
  <c r="E39" i="5"/>
  <c r="N38" i="5"/>
  <c r="E45" i="5"/>
  <c r="E44" i="5"/>
  <c r="L78" i="5"/>
  <c r="I71" i="1"/>
  <c r="E84" i="5"/>
  <c r="G84" i="5"/>
  <c r="I84" i="5"/>
  <c r="N108" i="5"/>
  <c r="N104" i="5"/>
  <c r="K76" i="6"/>
  <c r="N75" i="6"/>
  <c r="N435" i="2"/>
  <c r="N432" i="2"/>
  <c r="Q234" i="6"/>
  <c r="J239" i="6"/>
  <c r="L239" i="6"/>
  <c r="B60" i="1"/>
  <c r="G235" i="6"/>
  <c r="D60" i="1"/>
  <c r="I235" i="6"/>
  <c r="F60" i="1"/>
  <c r="Q32" i="7"/>
  <c r="L50" i="7"/>
  <c r="E53" i="7"/>
  <c r="E50" i="7"/>
  <c r="O50" i="7"/>
  <c r="O179" i="8"/>
  <c r="P68" i="7"/>
  <c r="R68" i="7"/>
  <c r="I74" i="1"/>
  <c r="I73" i="1" s="1"/>
  <c r="O15" i="7"/>
  <c r="K86" i="7"/>
  <c r="N86" i="7"/>
  <c r="G12" i="8"/>
  <c r="G16" i="10"/>
  <c r="G18" i="10"/>
  <c r="K16" i="8"/>
  <c r="H20" i="1"/>
  <c r="H125" i="1"/>
  <c r="H191" i="1" s="1"/>
  <c r="L30" i="8"/>
  <c r="O30" i="8"/>
  <c r="F125" i="8"/>
  <c r="E152" i="8"/>
  <c r="G152" i="8"/>
  <c r="I152" i="8"/>
  <c r="K152" i="8"/>
  <c r="N152" i="8"/>
  <c r="P152" i="8"/>
  <c r="R152" i="8"/>
  <c r="E165" i="8"/>
  <c r="I165" i="8"/>
  <c r="K165" i="8"/>
  <c r="D172" i="8"/>
  <c r="D171" i="8"/>
  <c r="G190" i="8"/>
  <c r="G189" i="8"/>
  <c r="I190" i="8"/>
  <c r="I189" i="8"/>
  <c r="K190" i="8"/>
  <c r="K189" i="8"/>
  <c r="E179" i="8"/>
  <c r="I179" i="8"/>
  <c r="K179" i="8"/>
  <c r="I32" i="7"/>
  <c r="J38" i="7"/>
  <c r="L38" i="7"/>
  <c r="O38" i="7"/>
  <c r="Q38" i="7"/>
  <c r="K44" i="7"/>
  <c r="N44" i="7"/>
  <c r="J50" i="7"/>
  <c r="Q50" i="7"/>
  <c r="D72" i="7"/>
  <c r="N75" i="7"/>
  <c r="R74" i="7"/>
  <c r="F18" i="8"/>
  <c r="H18" i="8"/>
  <c r="H12" i="8"/>
  <c r="E24" i="8"/>
  <c r="G24" i="8"/>
  <c r="I24" i="8"/>
  <c r="L35" i="8"/>
  <c r="E40" i="8"/>
  <c r="J40" i="8"/>
  <c r="O40" i="8"/>
  <c r="O35" i="8"/>
  <c r="L45" i="8"/>
  <c r="L44" i="8"/>
  <c r="O45" i="8"/>
  <c r="O44" i="8"/>
  <c r="K55" i="8"/>
  <c r="K54" i="8"/>
  <c r="L61" i="8"/>
  <c r="O61" i="8"/>
  <c r="K69" i="8"/>
  <c r="P69" i="8"/>
  <c r="O80" i="8"/>
  <c r="H111" i="8"/>
  <c r="F14" i="10"/>
  <c r="K115" i="8"/>
  <c r="K111" i="8"/>
  <c r="D138" i="8"/>
  <c r="E138" i="8"/>
  <c r="G138" i="8"/>
  <c r="I138" i="8"/>
  <c r="K138" i="8"/>
  <c r="N138" i="8"/>
  <c r="P138" i="8"/>
  <c r="R138" i="8"/>
  <c r="H179" i="8"/>
  <c r="G179" i="8"/>
  <c r="D34" i="10"/>
  <c r="F34" i="10"/>
  <c r="H204" i="9"/>
  <c r="L204" i="9"/>
  <c r="K62" i="9"/>
  <c r="K61" i="9" s="1"/>
  <c r="I84" i="9"/>
  <c r="D204" i="9"/>
  <c r="F204" i="9"/>
  <c r="J204" i="9"/>
  <c r="D275" i="2"/>
  <c r="D51" i="2"/>
  <c r="D575" i="2"/>
  <c r="N666" i="2"/>
  <c r="N665" i="2"/>
  <c r="N33" i="3"/>
  <c r="N39" i="3"/>
  <c r="I75" i="3"/>
  <c r="I74" i="3"/>
  <c r="N96" i="3"/>
  <c r="N92" i="3"/>
  <c r="Z104" i="3"/>
  <c r="I125" i="3"/>
  <c r="I122" i="3"/>
  <c r="E132" i="3"/>
  <c r="E128" i="3"/>
  <c r="O132" i="3"/>
  <c r="O128" i="3"/>
  <c r="G137" i="3"/>
  <c r="G134" i="3"/>
  <c r="L55" i="2"/>
  <c r="L54" i="2"/>
  <c r="E64" i="2"/>
  <c r="E61" i="2"/>
  <c r="E78" i="2"/>
  <c r="E75" i="2"/>
  <c r="I100" i="2"/>
  <c r="N100" i="2"/>
  <c r="N99" i="2"/>
  <c r="I103" i="2"/>
  <c r="G404" i="2"/>
  <c r="N377" i="2"/>
  <c r="D377" i="2"/>
  <c r="E380" i="2"/>
  <c r="E376" i="2"/>
  <c r="L126" i="2"/>
  <c r="I128" i="2"/>
  <c r="I125" i="2"/>
  <c r="E138" i="2"/>
  <c r="I388" i="2"/>
  <c r="L169" i="2"/>
  <c r="O169" i="2"/>
  <c r="N172" i="2"/>
  <c r="L182" i="2"/>
  <c r="L209" i="2"/>
  <c r="L212" i="2"/>
  <c r="O598" i="2"/>
  <c r="O597" i="2"/>
  <c r="N618" i="2"/>
  <c r="N617" i="2"/>
  <c r="E626" i="2"/>
  <c r="E625" i="2"/>
  <c r="L657" i="2"/>
  <c r="L656" i="2"/>
  <c r="L582" i="2"/>
  <c r="Z25" i="3"/>
  <c r="E33" i="3"/>
  <c r="E32" i="3"/>
  <c r="E9" i="3" s="1"/>
  <c r="D99" i="3"/>
  <c r="D98" i="3"/>
  <c r="L99" i="3"/>
  <c r="L98" i="3"/>
  <c r="J21" i="10"/>
  <c r="G128" i="3"/>
  <c r="I128" i="3"/>
  <c r="B34" i="1"/>
  <c r="E216" i="3"/>
  <c r="F14" i="4"/>
  <c r="F13" i="4" s="1"/>
  <c r="J14" i="4"/>
  <c r="E55" i="4"/>
  <c r="E17" i="4"/>
  <c r="B68" i="1" s="1"/>
  <c r="B123" i="1" s="1"/>
  <c r="N55" i="4"/>
  <c r="N54" i="4" s="1"/>
  <c r="N20" i="4"/>
  <c r="K69" i="1" s="1"/>
  <c r="J38" i="10"/>
  <c r="D38" i="10"/>
  <c r="H38" i="10"/>
  <c r="D25" i="5"/>
  <c r="D22" i="5"/>
  <c r="E38" i="10"/>
  <c r="G10" i="5"/>
  <c r="G38" i="10"/>
  <c r="I10" i="5"/>
  <c r="I38" i="10"/>
  <c r="K10" i="5"/>
  <c r="D39" i="5"/>
  <c r="E38" i="5"/>
  <c r="L105" i="5"/>
  <c r="L104" i="5"/>
  <c r="L86" i="5"/>
  <c r="L61" i="5"/>
  <c r="N254" i="6"/>
  <c r="N253" i="6"/>
  <c r="N235" i="6"/>
  <c r="N239" i="6"/>
  <c r="K65" i="1"/>
  <c r="J254" i="6"/>
  <c r="J253" i="6"/>
  <c r="J29" i="7"/>
  <c r="J28" i="7"/>
  <c r="L29" i="7"/>
  <c r="L28" i="7"/>
  <c r="I83" i="1"/>
  <c r="I82" i="1" s="1"/>
  <c r="E33" i="7"/>
  <c r="E32" i="7"/>
  <c r="N36" i="7"/>
  <c r="N32" i="7"/>
  <c r="K53" i="7"/>
  <c r="K50" i="7"/>
  <c r="K20" i="7"/>
  <c r="N53" i="7"/>
  <c r="N50" i="7"/>
  <c r="AA21" i="7"/>
  <c r="L80" i="7"/>
  <c r="O80" i="7"/>
  <c r="O8" i="7"/>
  <c r="AA8" i="7"/>
  <c r="J18" i="8"/>
  <c r="O18" i="8"/>
  <c r="Q18" i="8"/>
  <c r="F15" i="10"/>
  <c r="I40" i="8"/>
  <c r="I35" i="8"/>
  <c r="I21" i="8"/>
  <c r="F30" i="1"/>
  <c r="F130" i="1"/>
  <c r="F192" i="1"/>
  <c r="F16" i="10"/>
  <c r="E45" i="8"/>
  <c r="E44" i="8"/>
  <c r="W17" i="10"/>
  <c r="E204" i="3"/>
  <c r="E200" i="3"/>
  <c r="E221" i="3"/>
  <c r="O71" i="4"/>
  <c r="N30" i="5"/>
  <c r="D92" i="5"/>
  <c r="I91" i="5"/>
  <c r="I90" i="5"/>
  <c r="D90" i="5"/>
  <c r="I80" i="5"/>
  <c r="I77" i="5"/>
  <c r="I76" i="5"/>
  <c r="D95" i="5"/>
  <c r="J94" i="5"/>
  <c r="D94" i="5"/>
  <c r="L112" i="5"/>
  <c r="L111" i="5"/>
  <c r="L79" i="5"/>
  <c r="L77" i="5"/>
  <c r="L76" i="5"/>
  <c r="E19" i="10"/>
  <c r="L76" i="6"/>
  <c r="O76" i="6"/>
  <c r="O75" i="6"/>
  <c r="K17" i="7"/>
  <c r="E24" i="7"/>
  <c r="E23" i="7"/>
  <c r="E45" i="7"/>
  <c r="E44" i="7"/>
  <c r="D77" i="7"/>
  <c r="D74" i="7"/>
  <c r="N77" i="7"/>
  <c r="N74" i="7"/>
  <c r="J14" i="8"/>
  <c r="K62" i="8"/>
  <c r="K25" i="8"/>
  <c r="K65" i="8"/>
  <c r="H11" i="8"/>
  <c r="E106" i="8"/>
  <c r="M106" i="8"/>
  <c r="D106" i="8"/>
  <c r="F105" i="8"/>
  <c r="F104" i="8"/>
  <c r="F10" i="8"/>
  <c r="J112" i="8"/>
  <c r="J26" i="8"/>
  <c r="G36" i="1"/>
  <c r="L112" i="8"/>
  <c r="L111" i="8"/>
  <c r="L26" i="8"/>
  <c r="I36" i="1"/>
  <c r="O112" i="8"/>
  <c r="O111" i="8"/>
  <c r="J115" i="8"/>
  <c r="J32" i="8"/>
  <c r="G44" i="1"/>
  <c r="D128" i="8"/>
  <c r="D125" i="8"/>
  <c r="I128" i="8"/>
  <c r="I125" i="8"/>
  <c r="M116" i="8"/>
  <c r="K135" i="8"/>
  <c r="K134" i="8"/>
  <c r="R11" i="8"/>
  <c r="E34" i="10"/>
  <c r="J12" i="9"/>
  <c r="J11" i="9" s="1"/>
  <c r="J68" i="3"/>
  <c r="L68" i="3"/>
  <c r="O68" i="3"/>
  <c r="Z68" i="3"/>
  <c r="N81" i="3"/>
  <c r="N80" i="3"/>
  <c r="L93" i="3"/>
  <c r="L92" i="3"/>
  <c r="J122" i="3"/>
  <c r="K128" i="3"/>
  <c r="P128" i="3"/>
  <c r="Z140" i="3"/>
  <c r="D143" i="3"/>
  <c r="E141" i="3"/>
  <c r="E140" i="3"/>
  <c r="E10" i="3"/>
  <c r="C22" i="10"/>
  <c r="E209" i="3"/>
  <c r="E213" i="3"/>
  <c r="E218" i="3"/>
  <c r="N218" i="3"/>
  <c r="N14" i="4"/>
  <c r="AA26" i="4"/>
  <c r="P24" i="4"/>
  <c r="M103" i="1" s="1"/>
  <c r="K17" i="4"/>
  <c r="E46" i="4"/>
  <c r="J10" i="4"/>
  <c r="O68" i="4"/>
  <c r="O67" i="4" s="1"/>
  <c r="N25" i="4"/>
  <c r="K77" i="1" s="1"/>
  <c r="N76" i="4"/>
  <c r="N28" i="4"/>
  <c r="K83" i="1" s="1"/>
  <c r="K82" i="1" s="1"/>
  <c r="D80" i="4"/>
  <c r="D79" i="4" s="1"/>
  <c r="E80" i="4"/>
  <c r="E79" i="4" s="1"/>
  <c r="E16" i="4"/>
  <c r="E15" i="5"/>
  <c r="N15" i="5"/>
  <c r="D79" i="5"/>
  <c r="N99" i="5"/>
  <c r="N98" i="5"/>
  <c r="K85" i="5"/>
  <c r="K84" i="5"/>
  <c r="N84" i="5"/>
  <c r="N83" i="5"/>
  <c r="K88" i="5"/>
  <c r="E71" i="6"/>
  <c r="E70" i="6" s="1"/>
  <c r="E75" i="6"/>
  <c r="C31" i="10" s="1"/>
  <c r="G75" i="6"/>
  <c r="E31" i="10" s="1"/>
  <c r="I75" i="6"/>
  <c r="G31" i="10" s="1"/>
  <c r="P75" i="6"/>
  <c r="O246" i="6"/>
  <c r="O245" i="6"/>
  <c r="O236" i="6"/>
  <c r="J250" i="6"/>
  <c r="J249" i="6"/>
  <c r="J235" i="6"/>
  <c r="O250" i="6"/>
  <c r="O249" i="6"/>
  <c r="O235" i="6"/>
  <c r="J33" i="7"/>
  <c r="J32" i="7"/>
  <c r="G68" i="1"/>
  <c r="G123" i="1" s="1"/>
  <c r="G185" i="1" s="1"/>
  <c r="L33" i="7"/>
  <c r="L32" i="7"/>
  <c r="I68" i="1"/>
  <c r="I123" i="1" s="1"/>
  <c r="I185" i="1" s="1"/>
  <c r="O33" i="7"/>
  <c r="O32" i="7"/>
  <c r="F18" i="7"/>
  <c r="H18" i="7"/>
  <c r="L80" i="1"/>
  <c r="L140" i="1"/>
  <c r="L202" i="1"/>
  <c r="D69" i="7"/>
  <c r="D68" i="7"/>
  <c r="N69" i="7"/>
  <c r="N68" i="7"/>
  <c r="I74" i="7"/>
  <c r="K74" i="7"/>
  <c r="P74" i="7"/>
  <c r="E80" i="7"/>
  <c r="Q80" i="7"/>
  <c r="K14" i="8"/>
  <c r="N14" i="8"/>
  <c r="L13" i="8"/>
  <c r="Q13" i="8"/>
  <c r="P24" i="8"/>
  <c r="P23" i="8"/>
  <c r="R24" i="8"/>
  <c r="K33" i="8"/>
  <c r="H45" i="1"/>
  <c r="H145" i="1"/>
  <c r="H207" i="1"/>
  <c r="E36" i="8"/>
  <c r="E16" i="8"/>
  <c r="B20" i="1"/>
  <c r="B125" i="1"/>
  <c r="B191" i="1" s="1"/>
  <c r="K40" i="8"/>
  <c r="K35" i="8"/>
  <c r="K20" i="8"/>
  <c r="K18" i="8"/>
  <c r="N40" i="8"/>
  <c r="N35" i="8"/>
  <c r="J25" i="8"/>
  <c r="G34" i="1"/>
  <c r="E54" i="8"/>
  <c r="I54" i="8"/>
  <c r="N54" i="8"/>
  <c r="J72" i="8"/>
  <c r="J69" i="8"/>
  <c r="O72" i="8"/>
  <c r="E18" i="10"/>
  <c r="I18" i="10"/>
  <c r="L81" i="8"/>
  <c r="L80" i="8"/>
  <c r="P81" i="8"/>
  <c r="P17" i="8"/>
  <c r="M22" i="1"/>
  <c r="F13" i="10"/>
  <c r="K91" i="8"/>
  <c r="I13" i="10"/>
  <c r="J14" i="10"/>
  <c r="I16" i="8"/>
  <c r="F20" i="1"/>
  <c r="F125" i="1"/>
  <c r="F191" i="1" s="1"/>
  <c r="N14" i="9"/>
  <c r="P14" i="9"/>
  <c r="P11" i="9" s="1"/>
  <c r="R14" i="9"/>
  <c r="R11" i="9" s="1"/>
  <c r="L14" i="9"/>
  <c r="O204" i="9"/>
  <c r="E39" i="10"/>
  <c r="G39" i="10"/>
  <c r="I39" i="10"/>
  <c r="C17" i="10"/>
  <c r="N77" i="8"/>
  <c r="N74" i="8"/>
  <c r="D83" i="8"/>
  <c r="K83" i="8"/>
  <c r="K80" i="8"/>
  <c r="I17" i="10"/>
  <c r="N83" i="8"/>
  <c r="N80" i="8"/>
  <c r="N91" i="8"/>
  <c r="K97" i="8"/>
  <c r="E14" i="10"/>
  <c r="E115" i="8"/>
  <c r="E111" i="8"/>
  <c r="C14" i="10"/>
  <c r="N119" i="8"/>
  <c r="L13" i="10"/>
  <c r="D120" i="8"/>
  <c r="L120" i="8"/>
  <c r="L119" i="8"/>
  <c r="N210" i="8"/>
  <c r="N209" i="8"/>
  <c r="N181" i="8"/>
  <c r="L213" i="8"/>
  <c r="L212" i="8"/>
  <c r="I79" i="1"/>
  <c r="D197" i="8"/>
  <c r="D196" i="8"/>
  <c r="Q204" i="9"/>
  <c r="N103" i="1"/>
  <c r="X21" i="2"/>
  <c r="D203" i="2"/>
  <c r="D197" i="2"/>
  <c r="D181" i="8"/>
  <c r="M181" i="8"/>
  <c r="M179" i="8"/>
  <c r="L181" i="8"/>
  <c r="L179" i="8"/>
  <c r="D188" i="8"/>
  <c r="D183" i="8"/>
  <c r="D182" i="8"/>
  <c r="F17" i="10"/>
  <c r="L12" i="8"/>
  <c r="D119" i="8"/>
  <c r="E11" i="8"/>
  <c r="E35" i="8"/>
  <c r="G10" i="8"/>
  <c r="J35" i="8"/>
  <c r="J15" i="10"/>
  <c r="G23" i="8"/>
  <c r="O13" i="8"/>
  <c r="D14" i="10"/>
  <c r="M72" i="8"/>
  <c r="M108" i="8"/>
  <c r="I29" i="1"/>
  <c r="L10" i="8"/>
  <c r="O69" i="8"/>
  <c r="D179" i="8"/>
  <c r="G11" i="8"/>
  <c r="M405" i="2"/>
  <c r="D405" i="2"/>
  <c r="D43" i="2"/>
  <c r="J582" i="2"/>
  <c r="M420" i="2"/>
  <c r="D149" i="2"/>
  <c r="D611" i="2"/>
  <c r="D594" i="2"/>
  <c r="M594" i="2"/>
  <c r="J78" i="1"/>
  <c r="U78" i="1" s="1"/>
  <c r="N582" i="2"/>
  <c r="U80" i="1"/>
  <c r="L583" i="2"/>
  <c r="X16" i="2"/>
  <c r="L12" i="3"/>
  <c r="O14" i="4"/>
  <c r="O23" i="4"/>
  <c r="N22" i="1"/>
  <c r="X17" i="2"/>
  <c r="M21" i="8"/>
  <c r="J30" i="1"/>
  <c r="X30" i="1"/>
  <c r="J13" i="10"/>
  <c r="P80" i="8"/>
  <c r="M14" i="10"/>
  <c r="M128" i="8"/>
  <c r="E17" i="10"/>
  <c r="M16" i="8"/>
  <c r="J20" i="1"/>
  <c r="L14" i="10"/>
  <c r="F23" i="8"/>
  <c r="Q11" i="8"/>
  <c r="M140" i="1"/>
  <c r="M202" i="1"/>
  <c r="M80" i="8"/>
  <c r="V61" i="1"/>
  <c r="V68" i="1"/>
  <c r="N19" i="10"/>
  <c r="M19" i="10"/>
  <c r="M65" i="3"/>
  <c r="M23" i="3"/>
  <c r="D19" i="7"/>
  <c r="Z214" i="3"/>
  <c r="E30" i="10"/>
  <c r="H30" i="10"/>
  <c r="I30" i="10"/>
  <c r="D30" i="10"/>
  <c r="J30" i="10"/>
  <c r="N45" i="3"/>
  <c r="D82" i="9"/>
  <c r="G34" i="10"/>
  <c r="D84" i="9"/>
  <c r="Z597" i="2"/>
  <c r="O582" i="2"/>
  <c r="N583" i="2"/>
  <c r="M586" i="2"/>
  <c r="P583" i="2"/>
  <c r="E401" i="2"/>
  <c r="N376" i="2"/>
  <c r="N406" i="2"/>
  <c r="M32" i="3"/>
  <c r="D260" i="2"/>
  <c r="D253" i="2"/>
  <c r="M120" i="2"/>
  <c r="O21" i="2"/>
  <c r="Z536" i="2"/>
  <c r="O21" i="3"/>
  <c r="O18" i="3"/>
  <c r="D445" i="2"/>
  <c r="Z436" i="2"/>
  <c r="K16" i="2"/>
  <c r="H21" i="1"/>
  <c r="H126" i="1"/>
  <c r="H187" i="1" s="1"/>
  <c r="D551" i="2"/>
  <c r="D549" i="2"/>
  <c r="D544" i="2"/>
  <c r="E16" i="2"/>
  <c r="B21" i="1"/>
  <c r="B126" i="1"/>
  <c r="B187" i="1" s="1"/>
  <c r="E119" i="2"/>
  <c r="E113" i="2"/>
  <c r="M549" i="2"/>
  <c r="D585" i="2"/>
  <c r="H60" i="1"/>
  <c r="D206" i="2"/>
  <c r="D404" i="2"/>
  <c r="L145" i="1"/>
  <c r="L207" i="1"/>
  <c r="E23" i="8"/>
  <c r="R23" i="8"/>
  <c r="C16" i="10"/>
  <c r="F30" i="10"/>
  <c r="M16" i="13"/>
  <c r="X17" i="13"/>
  <c r="X16" i="13"/>
  <c r="X12" i="13"/>
  <c r="E11" i="5"/>
  <c r="E10" i="5"/>
  <c r="X70" i="1"/>
  <c r="X72" i="1"/>
  <c r="J136" i="1"/>
  <c r="J198" i="1"/>
  <c r="U35" i="1"/>
  <c r="U136" i="1"/>
  <c r="U198" i="1"/>
  <c r="X66" i="1"/>
  <c r="D127" i="2"/>
  <c r="D126" i="2"/>
  <c r="D414" i="2"/>
  <c r="M413" i="2"/>
  <c r="D422" i="2"/>
  <c r="J24" i="2"/>
  <c r="E134" i="2"/>
  <c r="L125" i="2"/>
  <c r="O554" i="2"/>
  <c r="O33" i="2"/>
  <c r="O30" i="2"/>
  <c r="E388" i="2"/>
  <c r="E554" i="2"/>
  <c r="M545" i="2"/>
  <c r="I24" i="2"/>
  <c r="F24" i="2"/>
  <c r="M531" i="2"/>
  <c r="M27" i="2"/>
  <c r="J38" i="1"/>
  <c r="O36" i="2"/>
  <c r="J581" i="2"/>
  <c r="M385" i="2"/>
  <c r="E68" i="2"/>
  <c r="L544" i="2"/>
  <c r="H520" i="2"/>
  <c r="F11" i="10"/>
  <c r="M103" i="2"/>
  <c r="P563" i="2"/>
  <c r="N40" i="10"/>
  <c r="V40" i="10"/>
  <c r="K37" i="2"/>
  <c r="P36" i="2"/>
  <c r="X525" i="2"/>
  <c r="Z68" i="2"/>
  <c r="Z82" i="2"/>
  <c r="R24" i="2"/>
  <c r="D557" i="2"/>
  <c r="M170" i="2"/>
  <c r="P24" i="2"/>
  <c r="E252" i="2"/>
  <c r="N33" i="2"/>
  <c r="K51" i="1"/>
  <c r="G37" i="2"/>
  <c r="D390" i="2"/>
  <c r="D389" i="2"/>
  <c r="M389" i="2"/>
  <c r="K24" i="2"/>
  <c r="J520" i="2"/>
  <c r="H11" i="10"/>
  <c r="G24" i="2"/>
  <c r="M64" i="2"/>
  <c r="M61" i="2"/>
  <c r="O24" i="2"/>
  <c r="H24" i="2"/>
  <c r="D573" i="2"/>
  <c r="D572" i="2"/>
  <c r="N528" i="2"/>
  <c r="P30" i="2"/>
  <c r="M557" i="2"/>
  <c r="N76" i="1"/>
  <c r="N75" i="1" s="1"/>
  <c r="N86" i="1" s="1"/>
  <c r="G137" i="1"/>
  <c r="G199" i="1" s="1"/>
  <c r="G210" i="1" s="1"/>
  <c r="C76" i="1"/>
  <c r="C75" i="1" s="1"/>
  <c r="C86" i="1" s="1"/>
  <c r="D64" i="1"/>
  <c r="D63" i="1" s="1"/>
  <c r="D85" i="1" s="1"/>
  <c r="O585" i="2"/>
  <c r="O584" i="2"/>
  <c r="E33" i="1"/>
  <c r="F34" i="1"/>
  <c r="F137" i="1" s="1"/>
  <c r="I19" i="10"/>
  <c r="M76" i="6"/>
  <c r="M75" i="6" s="1"/>
  <c r="M250" i="6"/>
  <c r="M249" i="6"/>
  <c r="M235" i="6"/>
  <c r="M139" i="1"/>
  <c r="M201" i="1" s="1"/>
  <c r="D139" i="1"/>
  <c r="D201" i="1"/>
  <c r="D533" i="2"/>
  <c r="N127" i="1"/>
  <c r="N188" i="1" s="1"/>
  <c r="I50" i="2"/>
  <c r="I44" i="2"/>
  <c r="B37" i="1"/>
  <c r="B33" i="1"/>
  <c r="E45" i="2"/>
  <c r="I37" i="2"/>
  <c r="I36" i="2"/>
  <c r="X37" i="2"/>
  <c r="N45" i="2"/>
  <c r="N27" i="2"/>
  <c r="K38" i="1"/>
  <c r="K139" i="1"/>
  <c r="K201" i="1" s="1"/>
  <c r="L27" i="2"/>
  <c r="I38" i="1"/>
  <c r="I139" i="1"/>
  <c r="I201" i="1"/>
  <c r="I37" i="1"/>
  <c r="I138" i="1"/>
  <c r="I200" i="1" s="1"/>
  <c r="L45" i="2"/>
  <c r="L44" i="2"/>
  <c r="H37" i="2"/>
  <c r="E140" i="2"/>
  <c r="E58" i="2"/>
  <c r="M60" i="2"/>
  <c r="D60" i="2"/>
  <c r="D58" i="2"/>
  <c r="D579" i="2"/>
  <c r="Z579" i="2"/>
  <c r="M570" i="2"/>
  <c r="M569" i="2"/>
  <c r="M568" i="2"/>
  <c r="K41" i="10"/>
  <c r="V41" i="10"/>
  <c r="M578" i="2"/>
  <c r="M577" i="2"/>
  <c r="D556" i="2"/>
  <c r="M522" i="2"/>
  <c r="M26" i="2"/>
  <c r="M257" i="2"/>
  <c r="D257" i="2"/>
  <c r="D236" i="2"/>
  <c r="D232" i="2"/>
  <c r="M236" i="2"/>
  <c r="M232" i="2"/>
  <c r="D230" i="2"/>
  <c r="D225" i="2"/>
  <c r="M230" i="2"/>
  <c r="M225" i="2"/>
  <c r="O51" i="1"/>
  <c r="O52" i="1" s="1"/>
  <c r="D440" i="2"/>
  <c r="D380" i="2"/>
  <c r="D376" i="2"/>
  <c r="M380" i="2"/>
  <c r="M376" i="2"/>
  <c r="M47" i="2"/>
  <c r="M28" i="2"/>
  <c r="J39" i="1"/>
  <c r="U39" i="1"/>
  <c r="N60" i="1"/>
  <c r="E32" i="2"/>
  <c r="B45" i="1"/>
  <c r="B145" i="1"/>
  <c r="B207" i="1"/>
  <c r="E435" i="2"/>
  <c r="E17" i="3"/>
  <c r="E15" i="3" s="1"/>
  <c r="G61" i="1"/>
  <c r="C61" i="1"/>
  <c r="C59" i="1" s="1"/>
  <c r="C87" i="1" s="1"/>
  <c r="E61" i="1"/>
  <c r="E59" i="1" s="1"/>
  <c r="M68" i="7"/>
  <c r="D239" i="6"/>
  <c r="D238" i="6"/>
  <c r="D237" i="6"/>
  <c r="M239" i="6"/>
  <c r="J65" i="1"/>
  <c r="N11" i="5"/>
  <c r="N10" i="5"/>
  <c r="O38" i="10"/>
  <c r="J11" i="5"/>
  <c r="F11" i="5"/>
  <c r="N38" i="10"/>
  <c r="H11" i="5"/>
  <c r="D20" i="5"/>
  <c r="M19" i="5"/>
  <c r="M18" i="5"/>
  <c r="M22" i="4"/>
  <c r="M21" i="4" s="1"/>
  <c r="L28" i="1"/>
  <c r="E46" i="1"/>
  <c r="E147" i="1" s="1"/>
  <c r="E209" i="1" s="1"/>
  <c r="L126" i="1"/>
  <c r="L187" i="1" s="1"/>
  <c r="E137" i="3"/>
  <c r="E134" i="3"/>
  <c r="E23" i="3"/>
  <c r="E21" i="3"/>
  <c r="D144" i="3"/>
  <c r="P76" i="5"/>
  <c r="I80" i="1"/>
  <c r="I140" i="1"/>
  <c r="I202" i="1"/>
  <c r="O147" i="1"/>
  <c r="O209" i="1" s="1"/>
  <c r="D112" i="5"/>
  <c r="D75" i="5"/>
  <c r="D73" i="5"/>
  <c r="L38" i="10"/>
  <c r="M38" i="10"/>
  <c r="L84" i="5"/>
  <c r="L83" i="5"/>
  <c r="P38" i="10"/>
  <c r="M76" i="1"/>
  <c r="M75" i="1" s="1"/>
  <c r="M86" i="1" s="1"/>
  <c r="E76" i="1"/>
  <c r="L128" i="1"/>
  <c r="L189" i="1" s="1"/>
  <c r="L68" i="1"/>
  <c r="D90" i="3"/>
  <c r="D89" i="3"/>
  <c r="M89" i="3"/>
  <c r="D130" i="3"/>
  <c r="G46" i="1"/>
  <c r="G147" i="1" s="1"/>
  <c r="G209" i="1" s="1"/>
  <c r="E103" i="1"/>
  <c r="E101" i="1" s="1"/>
  <c r="M18" i="7"/>
  <c r="L74" i="1"/>
  <c r="L76" i="1"/>
  <c r="G76" i="1"/>
  <c r="G75" i="1" s="1"/>
  <c r="G86" i="1" s="1"/>
  <c r="H61" i="1"/>
  <c r="C103" i="1"/>
  <c r="C101" i="1" s="1"/>
  <c r="F76" i="1"/>
  <c r="H83" i="1"/>
  <c r="H82" i="1" s="1"/>
  <c r="X30" i="10"/>
  <c r="I65" i="1"/>
  <c r="I64" i="1" s="1"/>
  <c r="X19" i="10"/>
  <c r="F65" i="1"/>
  <c r="F64" i="1" s="1"/>
  <c r="AA16" i="4"/>
  <c r="B67" i="1"/>
  <c r="B74" i="1"/>
  <c r="B73" i="1" s="1"/>
  <c r="L82" i="1"/>
  <c r="N21" i="4"/>
  <c r="N13" i="4"/>
  <c r="F103" i="1"/>
  <c r="F101" i="1" s="1"/>
  <c r="H68" i="1"/>
  <c r="H123" i="1" s="1"/>
  <c r="H185" i="1" s="1"/>
  <c r="P123" i="1"/>
  <c r="D103" i="1"/>
  <c r="D101" i="1" s="1"/>
  <c r="Z92" i="3"/>
  <c r="K34" i="1"/>
  <c r="I34" i="1"/>
  <c r="N145" i="1"/>
  <c r="N207" i="1" s="1"/>
  <c r="G128" i="1"/>
  <c r="G189" i="1"/>
  <c r="M145" i="1"/>
  <c r="M207" i="1" s="1"/>
  <c r="M41" i="1"/>
  <c r="I581" i="2"/>
  <c r="F61" i="1"/>
  <c r="F59" i="1" s="1"/>
  <c r="F87" i="1" s="1"/>
  <c r="E591" i="2"/>
  <c r="E590" i="2"/>
  <c r="B103" i="1"/>
  <c r="B101" i="1" s="1"/>
  <c r="B78" i="1"/>
  <c r="B76" i="1" s="1"/>
  <c r="B75" i="1" s="1"/>
  <c r="B86" i="1" s="1"/>
  <c r="U42" i="1"/>
  <c r="B143" i="1"/>
  <c r="B205" i="1"/>
  <c r="K30" i="2"/>
  <c r="H46" i="1"/>
  <c r="F19" i="2"/>
  <c r="J585" i="2"/>
  <c r="J584" i="2"/>
  <c r="G65" i="1"/>
  <c r="G64" i="1" s="1"/>
  <c r="G63" i="1" s="1"/>
  <c r="G85" i="1" s="1"/>
  <c r="M28" i="1"/>
  <c r="X28" i="1"/>
  <c r="K138" i="1"/>
  <c r="K200" i="1" s="1"/>
  <c r="I30" i="2"/>
  <c r="K585" i="2"/>
  <c r="K584" i="2"/>
  <c r="H65" i="1"/>
  <c r="H64" i="1" s="1"/>
  <c r="H63" i="1" s="1"/>
  <c r="H85" i="1" s="1"/>
  <c r="G581" i="2"/>
  <c r="D61" i="1"/>
  <c r="D59" i="1" s="1"/>
  <c r="D87" i="1" s="1"/>
  <c r="L127" i="1"/>
  <c r="L188" i="1" s="1"/>
  <c r="O41" i="1"/>
  <c r="G142" i="1"/>
  <c r="G204" i="1"/>
  <c r="R10" i="8"/>
  <c r="P13" i="10"/>
  <c r="U20" i="1"/>
  <c r="C141" i="1"/>
  <c r="C203" i="1"/>
  <c r="O207" i="1"/>
  <c r="I141" i="1"/>
  <c r="I203" i="1"/>
  <c r="G141" i="1"/>
  <c r="G203" i="1"/>
  <c r="G33" i="1"/>
  <c r="P10" i="8"/>
  <c r="N13" i="10"/>
  <c r="Q10" i="8"/>
  <c r="O13" i="10"/>
  <c r="W13" i="10"/>
  <c r="U30" i="1"/>
  <c r="U130" i="1"/>
  <c r="U192" i="1"/>
  <c r="J130" i="1"/>
  <c r="J192" i="1"/>
  <c r="M13" i="10"/>
  <c r="E142" i="1"/>
  <c r="E204" i="1"/>
  <c r="C142" i="1"/>
  <c r="C204" i="1"/>
  <c r="R11" i="5"/>
  <c r="M14" i="5"/>
  <c r="I128" i="1"/>
  <c r="I189" i="1"/>
  <c r="AA20" i="4"/>
  <c r="D109" i="4"/>
  <c r="D104" i="4" s="1"/>
  <c r="M109" i="4"/>
  <c r="M104" i="4" s="1"/>
  <c r="D98" i="4"/>
  <c r="D94" i="4" s="1"/>
  <c r="M98" i="4"/>
  <c r="M94" i="4" s="1"/>
  <c r="D46" i="4"/>
  <c r="M46" i="4"/>
  <c r="M67" i="4"/>
  <c r="M12" i="13"/>
  <c r="M33" i="7"/>
  <c r="M36" i="7"/>
  <c r="D89" i="7"/>
  <c r="M89" i="7"/>
  <c r="D84" i="7"/>
  <c r="M84" i="7"/>
  <c r="M80" i="7"/>
  <c r="D48" i="7"/>
  <c r="M48" i="7"/>
  <c r="M44" i="7"/>
  <c r="D39" i="7"/>
  <c r="D38" i="7"/>
  <c r="M39" i="7"/>
  <c r="M38" i="7"/>
  <c r="J67" i="1"/>
  <c r="M24" i="7"/>
  <c r="M23" i="7"/>
  <c r="M8" i="7"/>
  <c r="M87" i="7"/>
  <c r="D80" i="7"/>
  <c r="D53" i="7"/>
  <c r="D50" i="7"/>
  <c r="M53" i="7"/>
  <c r="M50" i="7"/>
  <c r="H20" i="10"/>
  <c r="F234" i="6"/>
  <c r="G20" i="10"/>
  <c r="D18" i="4"/>
  <c r="D220" i="3"/>
  <c r="D219" i="3"/>
  <c r="M219" i="3"/>
  <c r="M218" i="3"/>
  <c r="D208" i="3"/>
  <c r="D207" i="3"/>
  <c r="M207" i="3"/>
  <c r="E206" i="3"/>
  <c r="D116" i="8"/>
  <c r="M32" i="8"/>
  <c r="J44" i="1"/>
  <c r="U44" i="1"/>
  <c r="D59" i="8"/>
  <c r="D58" i="8"/>
  <c r="M58" i="8"/>
  <c r="D47" i="8"/>
  <c r="M26" i="8"/>
  <c r="J36" i="1"/>
  <c r="U36" i="1"/>
  <c r="M61" i="8"/>
  <c r="M54" i="8"/>
  <c r="M20" i="8"/>
  <c r="D46" i="8"/>
  <c r="M25" i="8"/>
  <c r="M119" i="8"/>
  <c r="D22" i="8"/>
  <c r="E11" i="10"/>
  <c r="I520" i="2"/>
  <c r="G11" i="10"/>
  <c r="O19" i="2"/>
  <c r="Z200" i="3"/>
  <c r="M238" i="6"/>
  <c r="M237" i="6"/>
  <c r="H234" i="6"/>
  <c r="J20" i="10"/>
  <c r="I20" i="10"/>
  <c r="K75" i="6"/>
  <c r="G234" i="6"/>
  <c r="E20" i="10"/>
  <c r="C19" i="10"/>
  <c r="X238" i="6"/>
  <c r="X237" i="6"/>
  <c r="K39" i="10"/>
  <c r="V39" i="10"/>
  <c r="E41" i="4"/>
  <c r="AB43" i="4" s="1"/>
  <c r="X521" i="2"/>
  <c r="X520" i="2"/>
  <c r="X563" i="2"/>
  <c r="X42" i="2"/>
  <c r="X18" i="2"/>
  <c r="E212" i="3"/>
  <c r="L128" i="3"/>
  <c r="M190" i="8"/>
  <c r="M189" i="8"/>
  <c r="M182" i="8"/>
  <c r="I9" i="3"/>
  <c r="I8" i="3" s="1"/>
  <c r="H10" i="10"/>
  <c r="H28" i="10"/>
  <c r="I20" i="2"/>
  <c r="F29" i="1"/>
  <c r="F128" i="1"/>
  <c r="F189" i="1"/>
  <c r="J528" i="2"/>
  <c r="H12" i="10"/>
  <c r="AA16" i="7"/>
  <c r="E528" i="2"/>
  <c r="C12" i="10"/>
  <c r="R30" i="2"/>
  <c r="F11" i="9"/>
  <c r="Z208" i="2"/>
  <c r="E20" i="2"/>
  <c r="B29" i="1"/>
  <c r="O563" i="2"/>
  <c r="M40" i="10"/>
  <c r="P520" i="2"/>
  <c r="M202" i="2"/>
  <c r="D103" i="2"/>
  <c r="G30" i="2"/>
  <c r="E382" i="2"/>
  <c r="E260" i="2"/>
  <c r="F30" i="2"/>
  <c r="F23" i="2"/>
  <c r="O14" i="2"/>
  <c r="Q23" i="8"/>
  <c r="R19" i="2"/>
  <c r="R528" i="2"/>
  <c r="Z605" i="2"/>
  <c r="E55" i="2"/>
  <c r="Z572" i="2"/>
  <c r="E199" i="2"/>
  <c r="R581" i="2"/>
  <c r="Q30" i="2"/>
  <c r="Q23" i="2"/>
  <c r="N563" i="2"/>
  <c r="L40" i="10"/>
  <c r="D564" i="2"/>
  <c r="L33" i="2"/>
  <c r="I46" i="1"/>
  <c r="I147" i="1" s="1"/>
  <c r="I209" i="1" s="1"/>
  <c r="P13" i="2"/>
  <c r="P12" i="2" s="1"/>
  <c r="L529" i="2"/>
  <c r="L520" i="2"/>
  <c r="J11" i="10"/>
  <c r="Q520" i="2"/>
  <c r="W11" i="10"/>
  <c r="E585" i="2"/>
  <c r="E584" i="2"/>
  <c r="D537" i="2"/>
  <c r="D536" i="2"/>
  <c r="E404" i="2"/>
  <c r="N14" i="2"/>
  <c r="N13" i="2"/>
  <c r="N12" i="2" s="1"/>
  <c r="R44" i="2"/>
  <c r="L532" i="2"/>
  <c r="Z215" i="2"/>
  <c r="H528" i="2"/>
  <c r="F12" i="10"/>
  <c r="Q528" i="2"/>
  <c r="P528" i="2"/>
  <c r="K520" i="2"/>
  <c r="I11" i="10"/>
  <c r="P44" i="2"/>
  <c r="Z54" i="2"/>
  <c r="N125" i="2"/>
  <c r="R520" i="2"/>
  <c r="O520" i="2"/>
  <c r="F520" i="2"/>
  <c r="D11" i="10"/>
  <c r="L585" i="2"/>
  <c r="L584" i="2"/>
  <c r="J30" i="2"/>
  <c r="E50" i="2"/>
  <c r="D61" i="2"/>
  <c r="I61" i="1"/>
  <c r="Z190" i="2"/>
  <c r="H30" i="2"/>
  <c r="J50" i="2"/>
  <c r="J44" i="2"/>
  <c r="E24" i="2"/>
  <c r="S14" i="4"/>
  <c r="S13" i="4" s="1"/>
  <c r="E33" i="2"/>
  <c r="L21" i="2"/>
  <c r="L42" i="2"/>
  <c r="L36" i="2"/>
  <c r="J7" i="10"/>
  <c r="K21" i="2"/>
  <c r="K42" i="2"/>
  <c r="G21" i="2"/>
  <c r="D31" i="1"/>
  <c r="D132" i="1" s="1"/>
  <c r="D194" i="1" s="1"/>
  <c r="G42" i="2"/>
  <c r="J21" i="2"/>
  <c r="J42" i="2"/>
  <c r="J36" i="2"/>
  <c r="H21" i="2"/>
  <c r="H42" i="2"/>
  <c r="O207" i="9"/>
  <c r="D91" i="5"/>
  <c r="D85" i="5"/>
  <c r="M85" i="5"/>
  <c r="M84" i="5"/>
  <c r="M36" i="5"/>
  <c r="M33" i="5"/>
  <c r="M16" i="5"/>
  <c r="M13" i="5"/>
  <c r="C39" i="10"/>
  <c r="M111" i="5"/>
  <c r="D111" i="5"/>
  <c r="M87" i="5"/>
  <c r="M105" i="5"/>
  <c r="M104" i="5"/>
  <c r="M81" i="5"/>
  <c r="M99" i="5"/>
  <c r="M98" i="5"/>
  <c r="M78" i="5"/>
  <c r="L16" i="5"/>
  <c r="L13" i="5"/>
  <c r="H44" i="2"/>
  <c r="O44" i="2"/>
  <c r="Q44" i="2"/>
  <c r="F44" i="2"/>
  <c r="N21" i="2"/>
  <c r="AA21" i="2"/>
  <c r="Q19" i="2"/>
  <c r="P19" i="2"/>
  <c r="I60" i="1"/>
  <c r="E42" i="2"/>
  <c r="Q581" i="2"/>
  <c r="N525" i="2"/>
  <c r="N520" i="2"/>
  <c r="N50" i="2"/>
  <c r="N44" i="2"/>
  <c r="F528" i="2"/>
  <c r="D12" i="10"/>
  <c r="K50" i="2"/>
  <c r="K44" i="2"/>
  <c r="L28" i="2"/>
  <c r="I39" i="1"/>
  <c r="I143" i="1"/>
  <c r="I205" i="1"/>
  <c r="O532" i="2"/>
  <c r="O528" i="2"/>
  <c r="D435" i="2"/>
  <c r="D432" i="2"/>
  <c r="L435" i="2"/>
  <c r="L32" i="2"/>
  <c r="I45" i="1"/>
  <c r="J14" i="2"/>
  <c r="M661" i="2"/>
  <c r="M660" i="2"/>
  <c r="K14" i="2"/>
  <c r="K13" i="2" s="1"/>
  <c r="K12" i="2" s="1"/>
  <c r="L14" i="2"/>
  <c r="M62" i="9"/>
  <c r="M61" i="9" s="1"/>
  <c r="D62" i="9"/>
  <c r="D61" i="9"/>
  <c r="D46" i="9"/>
  <c r="D45" i="9"/>
  <c r="M46" i="9"/>
  <c r="M45" i="9" s="1"/>
  <c r="M28" i="9"/>
  <c r="M27" i="9" s="1"/>
  <c r="D28" i="9"/>
  <c r="D27" i="9"/>
  <c r="N18" i="7"/>
  <c r="N17" i="7"/>
  <c r="N12" i="7"/>
  <c r="N11" i="7"/>
  <c r="M26" i="13"/>
  <c r="P11" i="8"/>
  <c r="I11" i="8"/>
  <c r="Q12" i="8"/>
  <c r="O12" i="8"/>
  <c r="R12" i="8"/>
  <c r="M115" i="8"/>
  <c r="D31" i="8"/>
  <c r="M100" i="8"/>
  <c r="M98" i="8"/>
  <c r="D92" i="8"/>
  <c r="M92" i="8"/>
  <c r="D49" i="8"/>
  <c r="M74" i="8"/>
  <c r="V18" i="10"/>
  <c r="D70" i="8"/>
  <c r="M70" i="8"/>
  <c r="M17" i="8"/>
  <c r="M40" i="8"/>
  <c r="D14" i="8"/>
  <c r="M105" i="8"/>
  <c r="M104" i="8"/>
  <c r="M94" i="8"/>
  <c r="D94" i="8"/>
  <c r="D25" i="8"/>
  <c r="M45" i="8"/>
  <c r="M44" i="8"/>
  <c r="M125" i="8"/>
  <c r="M112" i="8"/>
  <c r="Z107" i="8"/>
  <c r="M19" i="8"/>
  <c r="J27" i="1"/>
  <c r="X27" i="1"/>
  <c r="M77" i="8"/>
  <c r="M33" i="8"/>
  <c r="D27" i="8"/>
  <c r="D75" i="8"/>
  <c r="D74" i="8"/>
  <c r="D21" i="8"/>
  <c r="M36" i="8"/>
  <c r="M14" i="8"/>
  <c r="M13" i="8"/>
  <c r="N27" i="4"/>
  <c r="M42" i="4"/>
  <c r="M41" i="4" s="1"/>
  <c r="M22" i="6"/>
  <c r="D19" i="10"/>
  <c r="Z116" i="3"/>
  <c r="D204" i="3"/>
  <c r="D200" i="3"/>
  <c r="M204" i="3"/>
  <c r="M200" i="3"/>
  <c r="M137" i="3"/>
  <c r="M132" i="3"/>
  <c r="M117" i="3"/>
  <c r="D119" i="3"/>
  <c r="D117" i="3"/>
  <c r="M96" i="3"/>
  <c r="D96" i="3"/>
  <c r="D92" i="3"/>
  <c r="M87" i="3"/>
  <c r="M86" i="3"/>
  <c r="D87" i="3"/>
  <c r="D86" i="3"/>
  <c r="D78" i="3"/>
  <c r="D77" i="3"/>
  <c r="M77" i="3"/>
  <c r="M212" i="3"/>
  <c r="M209" i="3"/>
  <c r="M206" i="3"/>
  <c r="M135" i="3"/>
  <c r="D124" i="3"/>
  <c r="D123" i="3"/>
  <c r="M123" i="3"/>
  <c r="D84" i="3"/>
  <c r="D80" i="3"/>
  <c r="M84" i="3"/>
  <c r="M80" i="3"/>
  <c r="M69" i="3"/>
  <c r="D70" i="3"/>
  <c r="D69" i="3"/>
  <c r="D58" i="3"/>
  <c r="M125" i="3"/>
  <c r="D126" i="3"/>
  <c r="D125" i="3"/>
  <c r="D221" i="3"/>
  <c r="D218" i="3" s="1"/>
  <c r="M149" i="3"/>
  <c r="M146" i="3"/>
  <c r="D150" i="3"/>
  <c r="D149" i="3"/>
  <c r="D146" i="3"/>
  <c r="M141" i="3"/>
  <c r="M140" i="3"/>
  <c r="D142" i="3"/>
  <c r="M120" i="3"/>
  <c r="D121" i="3"/>
  <c r="D120" i="3"/>
  <c r="M92" i="3"/>
  <c r="M75" i="3"/>
  <c r="D76" i="3"/>
  <c r="D75" i="3"/>
  <c r="M72" i="3"/>
  <c r="D73" i="3"/>
  <c r="D72" i="3"/>
  <c r="D29" i="3"/>
  <c r="D28" i="3"/>
  <c r="M29" i="3"/>
  <c r="M28" i="3"/>
  <c r="D10" i="10"/>
  <c r="D23" i="3"/>
  <c r="D21" i="3" s="1"/>
  <c r="F10" i="10"/>
  <c r="D119" i="2"/>
  <c r="M55" i="2"/>
  <c r="M40" i="2"/>
  <c r="M18" i="2"/>
  <c r="J24" i="1"/>
  <c r="D55" i="2"/>
  <c r="M560" i="2"/>
  <c r="D560" i="2"/>
  <c r="D559" i="2"/>
  <c r="M185" i="2"/>
  <c r="D185" i="2"/>
  <c r="M179" i="2"/>
  <c r="D179" i="2"/>
  <c r="M172" i="2"/>
  <c r="D172" i="2"/>
  <c r="D169" i="2"/>
  <c r="M153" i="2"/>
  <c r="M417" i="2"/>
  <c r="D417" i="2"/>
  <c r="M412" i="2"/>
  <c r="D416" i="2"/>
  <c r="M653" i="2"/>
  <c r="M652" i="2"/>
  <c r="D653" i="2"/>
  <c r="D652" i="2"/>
  <c r="D626" i="2"/>
  <c r="D625" i="2"/>
  <c r="M610" i="2"/>
  <c r="M609" i="2"/>
  <c r="M205" i="2"/>
  <c r="M204" i="2"/>
  <c r="D205" i="2"/>
  <c r="D204" i="2"/>
  <c r="M200" i="2"/>
  <c r="D200" i="2"/>
  <c r="M196" i="2"/>
  <c r="M195" i="2"/>
  <c r="D196" i="2"/>
  <c r="D195" i="2"/>
  <c r="M182" i="2"/>
  <c r="D182" i="2"/>
  <c r="M392" i="2"/>
  <c r="D392" i="2"/>
  <c r="M131" i="2"/>
  <c r="M130" i="2"/>
  <c r="D131" i="2"/>
  <c r="D130" i="2"/>
  <c r="M76" i="2"/>
  <c r="D77" i="2"/>
  <c r="M107" i="2"/>
  <c r="D107" i="2"/>
  <c r="M78" i="2"/>
  <c r="D80" i="2"/>
  <c r="M187" i="2"/>
  <c r="D187" i="2"/>
  <c r="D25" i="10"/>
  <c r="E40" i="2"/>
  <c r="E18" i="2"/>
  <c r="B24" i="1"/>
  <c r="B129" i="1"/>
  <c r="B190" i="1"/>
  <c r="N569" i="2"/>
  <c r="N568" i="2"/>
  <c r="L41" i="10"/>
  <c r="M441" i="2"/>
  <c r="M218" i="2"/>
  <c r="D218" i="2"/>
  <c r="M175" i="2"/>
  <c r="M174" i="2"/>
  <c r="D175" i="2"/>
  <c r="D174" i="2"/>
  <c r="M48" i="2"/>
  <c r="M29" i="2"/>
  <c r="J40" i="1"/>
  <c r="U40" i="1"/>
  <c r="M155" i="2"/>
  <c r="D155" i="2"/>
  <c r="M147" i="2"/>
  <c r="D147" i="2"/>
  <c r="M126" i="2"/>
  <c r="M409" i="2"/>
  <c r="M634" i="2"/>
  <c r="M633" i="2"/>
  <c r="D634" i="2"/>
  <c r="D633" i="2"/>
  <c r="M618" i="2"/>
  <c r="M617" i="2"/>
  <c r="M583" i="2"/>
  <c r="D618" i="2"/>
  <c r="D617" i="2"/>
  <c r="M212" i="2"/>
  <c r="M211" i="2"/>
  <c r="D212" i="2"/>
  <c r="D211" i="2"/>
  <c r="M150" i="2"/>
  <c r="D150" i="2"/>
  <c r="M128" i="2"/>
  <c r="D128" i="2"/>
  <c r="M69" i="2"/>
  <c r="M68" i="2"/>
  <c r="D71" i="2"/>
  <c r="D69" i="2"/>
  <c r="D68" i="2"/>
  <c r="M117" i="2"/>
  <c r="D117" i="2"/>
  <c r="M109" i="2"/>
  <c r="D109" i="2"/>
  <c r="M100" i="2"/>
  <c r="D100" i="2"/>
  <c r="D529" i="2"/>
  <c r="M216" i="2"/>
  <c r="D216" i="2"/>
  <c r="M423" i="2"/>
  <c r="D423" i="2"/>
  <c r="N32" i="2"/>
  <c r="K45" i="1"/>
  <c r="M397" i="2"/>
  <c r="D397" i="2"/>
  <c r="D394" i="2"/>
  <c r="M119" i="2"/>
  <c r="E438" i="2"/>
  <c r="E274" i="2"/>
  <c r="M533" i="2"/>
  <c r="M541" i="2"/>
  <c r="M526" i="2"/>
  <c r="M524" i="2"/>
  <c r="M17" i="2"/>
  <c r="M537" i="2"/>
  <c r="G400" i="2"/>
  <c r="M444" i="2"/>
  <c r="M443" i="2"/>
  <c r="M555" i="2"/>
  <c r="M439" i="2"/>
  <c r="M114" i="2"/>
  <c r="J19" i="10"/>
  <c r="D243" i="6"/>
  <c r="D242" i="6" s="1"/>
  <c r="D241" i="6" s="1"/>
  <c r="D258" i="6"/>
  <c r="D257" i="6"/>
  <c r="G19" i="10"/>
  <c r="D76" i="6"/>
  <c r="P238" i="6"/>
  <c r="P237" i="6"/>
  <c r="D209" i="3"/>
  <c r="D206" i="3"/>
  <c r="L18" i="9"/>
  <c r="L17" i="9" s="1"/>
  <c r="L10" i="5"/>
  <c r="N36" i="2"/>
  <c r="D45" i="7"/>
  <c r="D44" i="7"/>
  <c r="J10" i="8"/>
  <c r="H15" i="10"/>
  <c r="O10" i="8"/>
  <c r="I14" i="10"/>
  <c r="L238" i="6"/>
  <c r="L237" i="6"/>
  <c r="Z188" i="3"/>
  <c r="F20" i="10"/>
  <c r="K23" i="4"/>
  <c r="G23" i="4"/>
  <c r="E520" i="2"/>
  <c r="C11" i="10"/>
  <c r="N178" i="2"/>
  <c r="K14" i="4"/>
  <c r="K13" i="4" s="1"/>
  <c r="D61" i="8"/>
  <c r="N32" i="3"/>
  <c r="J16" i="10"/>
  <c r="L15" i="7"/>
  <c r="I234" i="6"/>
  <c r="E234" i="6"/>
  <c r="J238" i="6"/>
  <c r="J237" i="6"/>
  <c r="D20" i="10"/>
  <c r="I23" i="4"/>
  <c r="E23" i="4"/>
  <c r="J18" i="9"/>
  <c r="J17" i="9" s="1"/>
  <c r="N179" i="8"/>
  <c r="L190" i="8"/>
  <c r="L189" i="8"/>
  <c r="N11" i="9"/>
  <c r="L11" i="8"/>
  <c r="L9" i="8"/>
  <c r="D72" i="8"/>
  <c r="D69" i="8"/>
  <c r="J24" i="8"/>
  <c r="N18" i="8"/>
  <c r="C15" i="10"/>
  <c r="N13" i="8"/>
  <c r="L18" i="7"/>
  <c r="H17" i="7"/>
  <c r="O12" i="7"/>
  <c r="O11" i="7"/>
  <c r="J12" i="7"/>
  <c r="J11" i="7"/>
  <c r="E238" i="6"/>
  <c r="E237" i="6"/>
  <c r="O25" i="6"/>
  <c r="O21" i="6" s="1"/>
  <c r="K87" i="5"/>
  <c r="K83" i="5"/>
  <c r="E19" i="5"/>
  <c r="E18" i="5"/>
  <c r="N16" i="5"/>
  <c r="N14" i="5"/>
  <c r="E14" i="5"/>
  <c r="N24" i="4"/>
  <c r="E21" i="4"/>
  <c r="E14" i="4"/>
  <c r="D213" i="3"/>
  <c r="D212" i="3" s="1"/>
  <c r="L12" i="9"/>
  <c r="D135" i="8"/>
  <c r="D134" i="8"/>
  <c r="J111" i="8"/>
  <c r="D13" i="10"/>
  <c r="F9" i="8"/>
  <c r="K61" i="8"/>
  <c r="I16" i="10"/>
  <c r="D36" i="8"/>
  <c r="I13" i="8"/>
  <c r="K12" i="7"/>
  <c r="K11" i="7"/>
  <c r="E8" i="7"/>
  <c r="D12" i="7"/>
  <c r="D24" i="7"/>
  <c r="D23" i="7"/>
  <c r="D8" i="7"/>
  <c r="L22" i="6"/>
  <c r="N27" i="5"/>
  <c r="L39" i="10"/>
  <c r="D30" i="5"/>
  <c r="O21" i="4"/>
  <c r="O13" i="4" s="1"/>
  <c r="AA28" i="4"/>
  <c r="K11" i="8"/>
  <c r="G15" i="10"/>
  <c r="I10" i="8"/>
  <c r="L12" i="7"/>
  <c r="L11" i="7"/>
  <c r="E12" i="7"/>
  <c r="E11" i="7"/>
  <c r="L20" i="7"/>
  <c r="E16" i="5"/>
  <c r="C38" i="10"/>
  <c r="AA25" i="4"/>
  <c r="D135" i="3"/>
  <c r="Z176" i="3"/>
  <c r="D598" i="2"/>
  <c r="D597" i="2"/>
  <c r="L208" i="2"/>
  <c r="D208" i="2"/>
  <c r="L178" i="2"/>
  <c r="Z128" i="3"/>
  <c r="H581" i="2"/>
  <c r="E14" i="2"/>
  <c r="I34" i="10"/>
  <c r="D213" i="8"/>
  <c r="D212" i="8"/>
  <c r="D189" i="8"/>
  <c r="N11" i="8"/>
  <c r="G9" i="8"/>
  <c r="P13" i="8"/>
  <c r="P12" i="8"/>
  <c r="D81" i="8"/>
  <c r="D80" i="8"/>
  <c r="D17" i="8"/>
  <c r="O11" i="8"/>
  <c r="H17" i="10"/>
  <c r="J11" i="8"/>
  <c r="J17" i="10"/>
  <c r="D45" i="8"/>
  <c r="D44" i="8"/>
  <c r="N10" i="8"/>
  <c r="I15" i="10"/>
  <c r="K10" i="8"/>
  <c r="K13" i="8"/>
  <c r="K12" i="8"/>
  <c r="O18" i="7"/>
  <c r="L103" i="1"/>
  <c r="F17" i="7"/>
  <c r="AA14" i="7"/>
  <c r="D246" i="6"/>
  <c r="D245" i="6"/>
  <c r="D236" i="6"/>
  <c r="D71" i="6"/>
  <c r="L25" i="6"/>
  <c r="D88" i="5"/>
  <c r="D87" i="5"/>
  <c r="D108" i="5"/>
  <c r="D34" i="5"/>
  <c r="D14" i="5"/>
  <c r="D76" i="4"/>
  <c r="D73" i="4" s="1"/>
  <c r="D27" i="4"/>
  <c r="D42" i="4"/>
  <c r="P23" i="4"/>
  <c r="J34" i="10"/>
  <c r="J25" i="10" s="1"/>
  <c r="H34" i="10"/>
  <c r="H25" i="10" s="1"/>
  <c r="R9" i="8"/>
  <c r="I115" i="8"/>
  <c r="I111" i="8"/>
  <c r="I32" i="8"/>
  <c r="F44" i="1"/>
  <c r="J30" i="8"/>
  <c r="O24" i="8"/>
  <c r="O23" i="8"/>
  <c r="L24" i="8"/>
  <c r="L23" i="8"/>
  <c r="F13" i="8"/>
  <c r="F12" i="8"/>
  <c r="E105" i="8"/>
  <c r="E104" i="8"/>
  <c r="C13" i="10"/>
  <c r="E14" i="8"/>
  <c r="E13" i="8"/>
  <c r="E12" i="8"/>
  <c r="K24" i="8"/>
  <c r="J13" i="8"/>
  <c r="J12" i="8"/>
  <c r="K30" i="8"/>
  <c r="K8" i="7"/>
  <c r="D80" i="5"/>
  <c r="N19" i="5"/>
  <c r="N18" i="5"/>
  <c r="I18" i="8"/>
  <c r="H9" i="8"/>
  <c r="AA13" i="7"/>
  <c r="D29" i="7"/>
  <c r="D28" i="7"/>
  <c r="D20" i="7"/>
  <c r="AA15" i="7"/>
  <c r="N238" i="6"/>
  <c r="N237" i="6"/>
  <c r="D254" i="6"/>
  <c r="D253" i="6"/>
  <c r="D235" i="6"/>
  <c r="D86" i="5"/>
  <c r="D84" i="5"/>
  <c r="O10" i="5"/>
  <c r="J13" i="4"/>
  <c r="AA14" i="4"/>
  <c r="Z677" i="2"/>
  <c r="L211" i="2"/>
  <c r="N169" i="2"/>
  <c r="I99" i="2"/>
  <c r="D566" i="2"/>
  <c r="D31" i="2"/>
  <c r="F581" i="2"/>
  <c r="D274" i="2"/>
  <c r="D252" i="2"/>
  <c r="D202" i="2"/>
  <c r="D199" i="2"/>
  <c r="F178" i="8"/>
  <c r="I9" i="8"/>
  <c r="P9" i="8"/>
  <c r="D420" i="2"/>
  <c r="W30" i="10"/>
  <c r="N23" i="4"/>
  <c r="Q9" i="8"/>
  <c r="X10" i="8"/>
  <c r="X11" i="8"/>
  <c r="W38" i="10"/>
  <c r="M69" i="8"/>
  <c r="M11" i="5"/>
  <c r="H36" i="2"/>
  <c r="D73" i="6"/>
  <c r="D78" i="6"/>
  <c r="D75" i="6" s="1"/>
  <c r="D70" i="6"/>
  <c r="M582" i="2"/>
  <c r="D606" i="2"/>
  <c r="D605" i="2"/>
  <c r="D583" i="2"/>
  <c r="D584" i="2"/>
  <c r="M406" i="2"/>
  <c r="M252" i="2"/>
  <c r="M382" i="2"/>
  <c r="O10" i="2"/>
  <c r="M394" i="2"/>
  <c r="M419" i="2"/>
  <c r="M559" i="2"/>
  <c r="M10" i="13"/>
  <c r="V35" i="10"/>
  <c r="D16" i="2"/>
  <c r="M404" i="2"/>
  <c r="D444" i="2"/>
  <c r="D443" i="2"/>
  <c r="Z554" i="2"/>
  <c r="K581" i="2"/>
  <c r="L51" i="1"/>
  <c r="L46" i="1"/>
  <c r="L41" i="1" s="1"/>
  <c r="M42" i="2"/>
  <c r="M134" i="3"/>
  <c r="M16" i="2"/>
  <c r="J21" i="1"/>
  <c r="L432" i="2"/>
  <c r="J29" i="10"/>
  <c r="E432" i="2"/>
  <c r="C29" i="10"/>
  <c r="K9" i="2"/>
  <c r="M544" i="2"/>
  <c r="D42" i="2"/>
  <c r="K46" i="1"/>
  <c r="K52" i="1" s="1"/>
  <c r="Z563" i="2"/>
  <c r="K9" i="8"/>
  <c r="Z47" i="9"/>
  <c r="D83" i="5"/>
  <c r="J50" i="1"/>
  <c r="J22" i="1"/>
  <c r="D41" i="4"/>
  <c r="D413" i="2"/>
  <c r="D412" i="2"/>
  <c r="V28" i="1"/>
  <c r="L73" i="1"/>
  <c r="Y30" i="1"/>
  <c r="U27" i="1"/>
  <c r="X71" i="1"/>
  <c r="Y70" i="1"/>
  <c r="O23" i="2"/>
  <c r="P23" i="2"/>
  <c r="D419" i="2"/>
  <c r="H23" i="2"/>
  <c r="J23" i="2"/>
  <c r="G36" i="2"/>
  <c r="K36" i="2"/>
  <c r="G23" i="2"/>
  <c r="M529" i="2"/>
  <c r="E54" i="2"/>
  <c r="O9" i="2"/>
  <c r="I23" i="2"/>
  <c r="K23" i="2"/>
  <c r="R23" i="2"/>
  <c r="M438" i="2"/>
  <c r="M554" i="2"/>
  <c r="M99" i="2"/>
  <c r="D184" i="2"/>
  <c r="M169" i="2"/>
  <c r="Z36" i="2"/>
  <c r="D99" i="2"/>
  <c r="M58" i="2"/>
  <c r="M199" i="2"/>
  <c r="N24" i="2"/>
  <c r="X36" i="2"/>
  <c r="L131" i="1"/>
  <c r="L193" i="1"/>
  <c r="X19" i="2"/>
  <c r="I31" i="10"/>
  <c r="H19" i="10"/>
  <c r="G41" i="1"/>
  <c r="L528" i="2"/>
  <c r="J12" i="10"/>
  <c r="K33" i="1"/>
  <c r="E37" i="2"/>
  <c r="E36" i="2"/>
  <c r="M45" i="2"/>
  <c r="M37" i="2"/>
  <c r="W9" i="10"/>
  <c r="J139" i="1"/>
  <c r="J201" i="1" s="1"/>
  <c r="J144" i="1"/>
  <c r="J206" i="1"/>
  <c r="U144" i="1"/>
  <c r="U206" i="1"/>
  <c r="D522" i="2"/>
  <c r="D521" i="2"/>
  <c r="D555" i="2"/>
  <c r="D554" i="2"/>
  <c r="D570" i="2"/>
  <c r="D569" i="2"/>
  <c r="D568" i="2"/>
  <c r="D578" i="2"/>
  <c r="D577" i="2"/>
  <c r="D133" i="3"/>
  <c r="D132" i="3"/>
  <c r="D65" i="3"/>
  <c r="D62" i="3"/>
  <c r="D20" i="3"/>
  <c r="D19" i="3" s="1"/>
  <c r="K38" i="10"/>
  <c r="V38" i="10"/>
  <c r="D41" i="5"/>
  <c r="D38" i="5"/>
  <c r="J143" i="1"/>
  <c r="J205" i="1"/>
  <c r="U143" i="1"/>
  <c r="U205" i="1"/>
  <c r="D141" i="3"/>
  <c r="D140" i="3"/>
  <c r="D138" i="3"/>
  <c r="M77" i="5"/>
  <c r="M76" i="5"/>
  <c r="L64" i="1"/>
  <c r="D21" i="4"/>
  <c r="L123" i="1"/>
  <c r="L185" i="1" s="1"/>
  <c r="L124" i="1"/>
  <c r="L186" i="1" s="1"/>
  <c r="V131" i="1"/>
  <c r="U28" i="1"/>
  <c r="U131" i="1"/>
  <c r="U193" i="1"/>
  <c r="M15" i="7"/>
  <c r="J74" i="1"/>
  <c r="M20" i="7"/>
  <c r="M17" i="7"/>
  <c r="J83" i="1"/>
  <c r="U83" i="1" s="1"/>
  <c r="U82" i="1" s="1"/>
  <c r="J140" i="1"/>
  <c r="J202" i="1"/>
  <c r="U140" i="1"/>
  <c r="U202" i="1"/>
  <c r="P185" i="1"/>
  <c r="K103" i="1"/>
  <c r="B138" i="1"/>
  <c r="B200" i="1" s="1"/>
  <c r="I145" i="1"/>
  <c r="I207" i="1"/>
  <c r="I41" i="1"/>
  <c r="K145" i="1"/>
  <c r="L13" i="2"/>
  <c r="L12" i="2" s="1"/>
  <c r="K19" i="2"/>
  <c r="L19" i="2"/>
  <c r="I33" i="1"/>
  <c r="J129" i="1"/>
  <c r="J190" i="1"/>
  <c r="E30" i="2"/>
  <c r="E23" i="2"/>
  <c r="E581" i="2"/>
  <c r="B61" i="1"/>
  <c r="B59" i="1" s="1"/>
  <c r="O13" i="2"/>
  <c r="O12" i="2" s="1"/>
  <c r="B128" i="1"/>
  <c r="B189" i="1"/>
  <c r="M131" i="1"/>
  <c r="M193" i="1"/>
  <c r="F142" i="1"/>
  <c r="F204" i="1"/>
  <c r="M111" i="8"/>
  <c r="G14" i="10"/>
  <c r="J9" i="8"/>
  <c r="Z9" i="8"/>
  <c r="J141" i="1"/>
  <c r="J203" i="1" s="1"/>
  <c r="U142" i="1"/>
  <c r="U204" i="1"/>
  <c r="J142" i="1"/>
  <c r="J204" i="1"/>
  <c r="F10" i="5"/>
  <c r="H10" i="5"/>
  <c r="J10" i="5"/>
  <c r="Q10" i="5"/>
  <c r="P10" i="5"/>
  <c r="R10" i="5"/>
  <c r="V123" i="1"/>
  <c r="M9" i="13"/>
  <c r="M12" i="7"/>
  <c r="D36" i="7"/>
  <c r="D15" i="7"/>
  <c r="D11" i="7"/>
  <c r="D33" i="7"/>
  <c r="D32" i="7"/>
  <c r="AB11" i="7"/>
  <c r="D18" i="7"/>
  <c r="D17" i="7"/>
  <c r="D87" i="7"/>
  <c r="D86" i="7"/>
  <c r="M86" i="7"/>
  <c r="M32" i="7"/>
  <c r="M97" i="8"/>
  <c r="D20" i="8"/>
  <c r="Z31" i="8"/>
  <c r="D16" i="8"/>
  <c r="D55" i="8"/>
  <c r="D54" i="8"/>
  <c r="D15" i="8"/>
  <c r="Z25" i="8"/>
  <c r="M35" i="8"/>
  <c r="M10" i="8"/>
  <c r="X10" i="5"/>
  <c r="E8" i="3"/>
  <c r="D106" i="2"/>
  <c r="M152" i="2"/>
  <c r="M74" i="3"/>
  <c r="D115" i="8"/>
  <c r="D32" i="8"/>
  <c r="Z32" i="8"/>
  <c r="D112" i="8"/>
  <c r="D26" i="8"/>
  <c r="D24" i="8"/>
  <c r="D74" i="3"/>
  <c r="E10" i="10"/>
  <c r="Z27" i="8"/>
  <c r="Z17" i="8"/>
  <c r="I19" i="2"/>
  <c r="D439" i="2"/>
  <c r="N12" i="8"/>
  <c r="E400" i="2"/>
  <c r="E44" i="2"/>
  <c r="D113" i="2"/>
  <c r="D563" i="2"/>
  <c r="L581" i="2"/>
  <c r="M113" i="2"/>
  <c r="D40" i="2"/>
  <c r="D18" i="2"/>
  <c r="Z520" i="2"/>
  <c r="E21" i="2"/>
  <c r="S10" i="4"/>
  <c r="H19" i="2"/>
  <c r="G19" i="2"/>
  <c r="J19" i="2"/>
  <c r="D78" i="2"/>
  <c r="D105" i="5"/>
  <c r="N13" i="5"/>
  <c r="D104" i="5"/>
  <c r="D78" i="5"/>
  <c r="D77" i="5"/>
  <c r="D76" i="5"/>
  <c r="D99" i="5"/>
  <c r="D98" i="5"/>
  <c r="M10" i="5"/>
  <c r="D36" i="5"/>
  <c r="D33" i="5"/>
  <c r="D11" i="5"/>
  <c r="D16" i="5"/>
  <c r="D13" i="5"/>
  <c r="M83" i="5"/>
  <c r="N19" i="2"/>
  <c r="D178" i="2"/>
  <c r="D54" i="2"/>
  <c r="M106" i="2"/>
  <c r="L24" i="2"/>
  <c r="D400" i="2"/>
  <c r="D661" i="2"/>
  <c r="D660" i="2"/>
  <c r="L30" i="2"/>
  <c r="M18" i="9"/>
  <c r="M17" i="9" s="1"/>
  <c r="D18" i="9"/>
  <c r="D17" i="9"/>
  <c r="M12" i="9"/>
  <c r="M14" i="9"/>
  <c r="M11" i="9" s="1"/>
  <c r="M24" i="8"/>
  <c r="M18" i="8"/>
  <c r="M12" i="8"/>
  <c r="M585" i="2"/>
  <c r="M584" i="2"/>
  <c r="D33" i="8"/>
  <c r="D77" i="8"/>
  <c r="D19" i="8"/>
  <c r="D108" i="8"/>
  <c r="M91" i="8"/>
  <c r="K13" i="10"/>
  <c r="V13" i="10"/>
  <c r="M30" i="8"/>
  <c r="D100" i="8"/>
  <c r="K23" i="8"/>
  <c r="Z18" i="8"/>
  <c r="D40" i="8"/>
  <c r="D35" i="8"/>
  <c r="M11" i="8"/>
  <c r="D91" i="8"/>
  <c r="D98" i="8"/>
  <c r="D68" i="3"/>
  <c r="M122" i="3"/>
  <c r="M129" i="3"/>
  <c r="M128" i="3"/>
  <c r="M116" i="3"/>
  <c r="M68" i="3"/>
  <c r="D122" i="3"/>
  <c r="D116" i="3"/>
  <c r="M125" i="2"/>
  <c r="M146" i="2"/>
  <c r="M521" i="2"/>
  <c r="M532" i="2"/>
  <c r="D532" i="2"/>
  <c r="D528" i="2"/>
  <c r="N30" i="2"/>
  <c r="M33" i="2"/>
  <c r="M50" i="2"/>
  <c r="D48" i="2"/>
  <c r="D29" i="2"/>
  <c r="M430" i="2"/>
  <c r="J37" i="1"/>
  <c r="U37" i="1"/>
  <c r="M75" i="2"/>
  <c r="D388" i="2"/>
  <c r="D153" i="2"/>
  <c r="D152" i="2"/>
  <c r="D26" i="2"/>
  <c r="M54" i="2"/>
  <c r="M536" i="2"/>
  <c r="M525" i="2"/>
  <c r="D525" i="2"/>
  <c r="D215" i="2"/>
  <c r="D409" i="2"/>
  <c r="D406" i="2"/>
  <c r="D125" i="2"/>
  <c r="D146" i="2"/>
  <c r="M215" i="2"/>
  <c r="D441" i="2"/>
  <c r="D76" i="2"/>
  <c r="D47" i="2"/>
  <c r="D28" i="2"/>
  <c r="D610" i="2"/>
  <c r="M388" i="2"/>
  <c r="M178" i="2"/>
  <c r="M184" i="2"/>
  <c r="M435" i="2"/>
  <c r="F19" i="10"/>
  <c r="E13" i="2"/>
  <c r="E12" i="2" s="1"/>
  <c r="D105" i="8"/>
  <c r="Z106" i="8"/>
  <c r="N9" i="8"/>
  <c r="O9" i="8"/>
  <c r="D27" i="5"/>
  <c r="I12" i="8"/>
  <c r="E13" i="4"/>
  <c r="AA12" i="7"/>
  <c r="L17" i="7"/>
  <c r="E10" i="8"/>
  <c r="E9" i="8"/>
  <c r="J23" i="8"/>
  <c r="O581" i="2"/>
  <c r="AA20" i="7"/>
  <c r="I30" i="8"/>
  <c r="I23" i="8"/>
  <c r="O17" i="7"/>
  <c r="AA17" i="7"/>
  <c r="N581" i="2"/>
  <c r="D13" i="8"/>
  <c r="H14" i="10"/>
  <c r="E13" i="5"/>
  <c r="K19" i="6"/>
  <c r="D11" i="2"/>
  <c r="X21" i="1"/>
  <c r="X74" i="1"/>
  <c r="U74" i="1"/>
  <c r="U73" i="1" s="1"/>
  <c r="X22" i="1"/>
  <c r="V17" i="10"/>
  <c r="M11" i="7"/>
  <c r="L147" i="1"/>
  <c r="L209" i="1" s="1"/>
  <c r="M400" i="2"/>
  <c r="D37" i="2"/>
  <c r="D36" i="2"/>
  <c r="V34" i="10"/>
  <c r="M21" i="2"/>
  <c r="G9" i="2"/>
  <c r="K147" i="1"/>
  <c r="K209" i="1" s="1"/>
  <c r="M432" i="2"/>
  <c r="Z23" i="2"/>
  <c r="D104" i="8"/>
  <c r="D11" i="8"/>
  <c r="X9" i="8"/>
  <c r="D30" i="8"/>
  <c r="Z23" i="8"/>
  <c r="D19" i="5"/>
  <c r="D18" i="5"/>
  <c r="Z20" i="5"/>
  <c r="Y27" i="1"/>
  <c r="Y28" i="1"/>
  <c r="N23" i="2"/>
  <c r="M528" i="2"/>
  <c r="M44" i="2"/>
  <c r="D438" i="2"/>
  <c r="D45" i="2"/>
  <c r="W43" i="1"/>
  <c r="J127" i="1"/>
  <c r="J188" i="1" s="1"/>
  <c r="Z16" i="8"/>
  <c r="J138" i="1"/>
  <c r="J200" i="1" s="1"/>
  <c r="M21" i="3"/>
  <c r="D137" i="3"/>
  <c r="D134" i="3"/>
  <c r="Z26" i="8"/>
  <c r="J82" i="1"/>
  <c r="J73" i="1"/>
  <c r="J145" i="1"/>
  <c r="U138" i="1"/>
  <c r="U200" i="1" s="1"/>
  <c r="K207" i="1"/>
  <c r="E19" i="2"/>
  <c r="K14" i="10"/>
  <c r="V14" i="10"/>
  <c r="Z23" i="3"/>
  <c r="AB12" i="7"/>
  <c r="D129" i="3"/>
  <c r="D128" i="3"/>
  <c r="D111" i="8"/>
  <c r="D23" i="8"/>
  <c r="Z15" i="8"/>
  <c r="Z33" i="8"/>
  <c r="W36" i="1"/>
  <c r="M23" i="8"/>
  <c r="D75" i="2"/>
  <c r="D609" i="2"/>
  <c r="L23" i="2"/>
  <c r="Z43" i="2"/>
  <c r="M19" i="2"/>
  <c r="D21" i="2"/>
  <c r="I9" i="2"/>
  <c r="Z40" i="2"/>
  <c r="M36" i="2"/>
  <c r="M581" i="2"/>
  <c r="M30" i="2"/>
  <c r="M9" i="8"/>
  <c r="M24" i="2"/>
  <c r="D10" i="8"/>
  <c r="D18" i="8"/>
  <c r="D12" i="8"/>
  <c r="D97" i="8"/>
  <c r="Z39" i="2"/>
  <c r="D24" i="2"/>
  <c r="M520" i="2"/>
  <c r="D430" i="2"/>
  <c r="D19" i="2"/>
  <c r="D33" i="2"/>
  <c r="D50" i="2"/>
  <c r="D520" i="2"/>
  <c r="N9" i="2"/>
  <c r="C20" i="10"/>
  <c r="V29" i="10"/>
  <c r="D30" i="2"/>
  <c r="D23" i="2"/>
  <c r="J128" i="1"/>
  <c r="J189" i="1"/>
  <c r="D9" i="8"/>
  <c r="J207" i="1"/>
  <c r="D10" i="5"/>
  <c r="E9" i="2"/>
  <c r="W44" i="1"/>
  <c r="M23" i="2"/>
  <c r="D44" i="2"/>
  <c r="Y15" i="1"/>
  <c r="J591" i="2"/>
  <c r="J590" i="2"/>
  <c r="G103" i="1"/>
  <c r="K591" i="2"/>
  <c r="K590" i="2"/>
  <c r="H103" i="1"/>
  <c r="H101" i="1" s="1"/>
  <c r="L591" i="2"/>
  <c r="L590" i="2"/>
  <c r="M591" i="2"/>
  <c r="M590" i="2"/>
  <c r="G101" i="1"/>
  <c r="Z593" i="2"/>
  <c r="D53" i="6"/>
  <c r="Q216" i="6"/>
  <c r="O20" i="10"/>
  <c r="Q99" i="1"/>
  <c r="D121" i="6"/>
  <c r="I59" i="1"/>
  <c r="I87" i="1" s="1"/>
  <c r="H59" i="1"/>
  <c r="H87" i="1" s="1"/>
  <c r="N59" i="1"/>
  <c r="L125" i="1"/>
  <c r="L191" i="1" s="1"/>
  <c r="X121" i="6"/>
  <c r="X120" i="6" s="1"/>
  <c r="U115" i="6"/>
  <c r="V24" i="1"/>
  <c r="V129" i="1"/>
  <c r="N129" i="1"/>
  <c r="N190" i="1"/>
  <c r="X24" i="1"/>
  <c r="U22" i="1"/>
  <c r="U21" i="1"/>
  <c r="H147" i="1"/>
  <c r="H209" i="1" s="1"/>
  <c r="H41" i="1"/>
  <c r="C137" i="1"/>
  <c r="C199" i="1" s="1"/>
  <c r="C210" i="1" s="1"/>
  <c r="N126" i="1"/>
  <c r="N187" i="1" s="1"/>
  <c r="X20" i="1"/>
  <c r="J125" i="1"/>
  <c r="J191" i="1" s="1"/>
  <c r="V72" i="1"/>
  <c r="V125" i="1" s="1"/>
  <c r="M125" i="1"/>
  <c r="M191" i="1" s="1"/>
  <c r="U141" i="1"/>
  <c r="U203" i="1" s="1"/>
  <c r="U72" i="1"/>
  <c r="Y72" i="1" s="1"/>
  <c r="K101" i="1"/>
  <c r="W19" i="10"/>
  <c r="G32" i="1"/>
  <c r="G49" i="1" s="1"/>
  <c r="U24" i="1"/>
  <c r="U38" i="1"/>
  <c r="V22" i="1"/>
  <c r="D234" i="6"/>
  <c r="M234" i="6"/>
  <c r="J60" i="1"/>
  <c r="J234" i="6"/>
  <c r="G60" i="1"/>
  <c r="N234" i="6"/>
  <c r="K60" i="1"/>
  <c r="L60" i="1"/>
  <c r="O234" i="6"/>
  <c r="C30" i="10"/>
  <c r="C25" i="10" s="1"/>
  <c r="L19" i="10"/>
  <c r="P234" i="6"/>
  <c r="O60" i="1"/>
  <c r="O59" i="1" s="1"/>
  <c r="R234" i="6"/>
  <c r="L234" i="6"/>
  <c r="O64" i="1"/>
  <c r="O63" i="1" s="1"/>
  <c r="O85" i="1" s="1"/>
  <c r="P60" i="1"/>
  <c r="P59" i="1" s="1"/>
  <c r="S234" i="6"/>
  <c r="Q60" i="1"/>
  <c r="Q59" i="1" s="1"/>
  <c r="T234" i="6"/>
  <c r="R46" i="1"/>
  <c r="R147" i="1" s="1"/>
  <c r="R209" i="1" s="1"/>
  <c r="R51" i="1"/>
  <c r="U25" i="6"/>
  <c r="U21" i="6"/>
  <c r="T46" i="1"/>
  <c r="T147" i="1" s="1"/>
  <c r="T209" i="1" s="1"/>
  <c r="T51" i="1"/>
  <c r="W25" i="6"/>
  <c r="W21" i="6" s="1"/>
  <c r="Y20" i="1"/>
  <c r="K234" i="6"/>
  <c r="V25" i="6"/>
  <c r="S46" i="1"/>
  <c r="S147" i="1" s="1"/>
  <c r="S209" i="1" s="1"/>
  <c r="S51" i="1"/>
  <c r="D98" i="6"/>
  <c r="D32" i="6"/>
  <c r="D31" i="6"/>
  <c r="D28" i="6"/>
  <c r="M31" i="6"/>
  <c r="M29" i="6"/>
  <c r="M28" i="6"/>
  <c r="M34" i="6"/>
  <c r="M33" i="6"/>
  <c r="D35" i="6"/>
  <c r="I26" i="6"/>
  <c r="I146" i="6"/>
  <c r="I143" i="6" s="1"/>
  <c r="F26" i="6"/>
  <c r="F146" i="6"/>
  <c r="X197" i="6"/>
  <c r="X193" i="6" s="1"/>
  <c r="M193" i="6"/>
  <c r="D197" i="6"/>
  <c r="X236" i="6"/>
  <c r="X234" i="6"/>
  <c r="T238" i="6"/>
  <c r="T237" i="6"/>
  <c r="F143" i="6"/>
  <c r="N134" i="6"/>
  <c r="V201" i="6"/>
  <c r="D204" i="6"/>
  <c r="D201" i="6" s="1"/>
  <c r="E26" i="6"/>
  <c r="E146" i="6"/>
  <c r="E143" i="6" s="1"/>
  <c r="M147" i="6"/>
  <c r="U188" i="6"/>
  <c r="D189" i="6"/>
  <c r="D188" i="6" s="1"/>
  <c r="D113" i="6"/>
  <c r="D112" i="6" s="1"/>
  <c r="D111" i="6" s="1"/>
  <c r="D263" i="6" s="1"/>
  <c r="M49" i="6"/>
  <c r="D50" i="6"/>
  <c r="M60" i="6"/>
  <c r="D61" i="6"/>
  <c r="M62" i="6"/>
  <c r="D63" i="6"/>
  <c r="D62" i="6"/>
  <c r="M67" i="6"/>
  <c r="D68" i="6"/>
  <c r="M134" i="6"/>
  <c r="M65" i="6"/>
  <c r="D66" i="6"/>
  <c r="D65" i="6"/>
  <c r="D216" i="6"/>
  <c r="Q16" i="6"/>
  <c r="Y24" i="1"/>
  <c r="W39" i="1"/>
  <c r="U129" i="1"/>
  <c r="U190" i="1"/>
  <c r="U139" i="1"/>
  <c r="U201" i="1" s="1"/>
  <c r="W38" i="1"/>
  <c r="T41" i="1"/>
  <c r="R59" i="1"/>
  <c r="S41" i="1"/>
  <c r="U23" i="1"/>
  <c r="U275" i="6"/>
  <c r="M15" i="6"/>
  <c r="M91" i="6"/>
  <c r="D92" i="6"/>
  <c r="D276" i="6"/>
  <c r="X276" i="6" s="1"/>
  <c r="D120" i="6"/>
  <c r="Q91" i="6"/>
  <c r="S91" i="6"/>
  <c r="S90" i="6" s="1"/>
  <c r="O91" i="6"/>
  <c r="O15" i="6"/>
  <c r="T98" i="1"/>
  <c r="R98" i="1"/>
  <c r="U91" i="6"/>
  <c r="W91" i="6"/>
  <c r="W90" i="6" s="1"/>
  <c r="D582" i="2"/>
  <c r="D581" i="2" s="1"/>
  <c r="D591" i="2"/>
  <c r="D590" i="2"/>
  <c r="Z656" i="2"/>
  <c r="P582" i="2"/>
  <c r="Q93" i="1"/>
  <c r="W81" i="1"/>
  <c r="Y22" i="1"/>
  <c r="W37" i="1"/>
  <c r="Y21" i="1"/>
  <c r="M59" i="6"/>
  <c r="M48" i="6"/>
  <c r="D147" i="6"/>
  <c r="D146" i="6" s="1"/>
  <c r="D143" i="6" s="1"/>
  <c r="M146" i="6"/>
  <c r="M26" i="6"/>
  <c r="M25" i="6" s="1"/>
  <c r="M21" i="6" s="1"/>
  <c r="E25" i="6"/>
  <c r="E21" i="6"/>
  <c r="B46" i="1"/>
  <c r="B41" i="1" s="1"/>
  <c r="Z190" i="6"/>
  <c r="D193" i="6"/>
  <c r="F25" i="6"/>
  <c r="F21" i="6" s="1"/>
  <c r="C46" i="1"/>
  <c r="C147" i="1" s="1"/>
  <c r="C209" i="1" s="1"/>
  <c r="I25" i="6"/>
  <c r="I21" i="6" s="1"/>
  <c r="F46" i="1"/>
  <c r="F147" i="1" s="1"/>
  <c r="F209" i="1" s="1"/>
  <c r="G59" i="1"/>
  <c r="G87" i="1" s="1"/>
  <c r="D60" i="6"/>
  <c r="D59" i="6"/>
  <c r="D23" i="6"/>
  <c r="D22" i="6" s="1"/>
  <c r="D49" i="6"/>
  <c r="D48" i="6"/>
  <c r="D16" i="6"/>
  <c r="D34" i="6"/>
  <c r="D33" i="6"/>
  <c r="R41" i="1"/>
  <c r="D268" i="6"/>
  <c r="D15" i="6"/>
  <c r="D91" i="6"/>
  <c r="D271" i="6"/>
  <c r="M60" i="1"/>
  <c r="P581" i="2"/>
  <c r="M143" i="6"/>
  <c r="K19" i="10"/>
  <c r="V19" i="10"/>
  <c r="B147" i="1"/>
  <c r="B209" i="1" s="1"/>
  <c r="J51" i="1"/>
  <c r="B100" i="1" l="1"/>
  <c r="K126" i="1"/>
  <c r="K187" i="1" s="1"/>
  <c r="K64" i="1"/>
  <c r="K63" i="1" s="1"/>
  <c r="K85" i="1" s="1"/>
  <c r="B185" i="1"/>
  <c r="A133" i="1"/>
  <c r="D76" i="1"/>
  <c r="D137" i="1"/>
  <c r="K137" i="1"/>
  <c r="K199" i="1" s="1"/>
  <c r="B87" i="1"/>
  <c r="F75" i="1"/>
  <c r="F86" i="1" s="1"/>
  <c r="U23" i="4"/>
  <c r="Y74" i="1"/>
  <c r="I76" i="1"/>
  <c r="I75" i="1" s="1"/>
  <c r="I86" i="1" s="1"/>
  <c r="E64" i="1"/>
  <c r="E63" i="1" s="1"/>
  <c r="E85" i="1" s="1"/>
  <c r="H76" i="1"/>
  <c r="I137" i="1"/>
  <c r="H75" i="1"/>
  <c r="H86" i="1" s="1"/>
  <c r="R13" i="4"/>
  <c r="D67" i="4"/>
  <c r="X73" i="1"/>
  <c r="Y73" i="1" s="1"/>
  <c r="W104" i="4"/>
  <c r="O12" i="4"/>
  <c r="G100" i="1"/>
  <c r="E87" i="1"/>
  <c r="D75" i="1"/>
  <c r="D86" i="1" s="1"/>
  <c r="L24" i="4"/>
  <c r="J27" i="4"/>
  <c r="J23" i="4" s="1"/>
  <c r="J55" i="4"/>
  <c r="J54" i="4" s="1"/>
  <c r="E54" i="4"/>
  <c r="H100" i="1"/>
  <c r="Y71" i="1"/>
  <c r="F63" i="1"/>
  <c r="F85" i="1" s="1"/>
  <c r="I63" i="1"/>
  <c r="I85" i="1" s="1"/>
  <c r="F100" i="1"/>
  <c r="E75" i="1"/>
  <c r="E86" i="1" s="1"/>
  <c r="E100" i="1" s="1"/>
  <c r="C100" i="1"/>
  <c r="C64" i="1"/>
  <c r="C63" i="1" s="1"/>
  <c r="C85" i="1" s="1"/>
  <c r="Q100" i="1"/>
  <c r="D100" i="1"/>
  <c r="L75" i="1"/>
  <c r="L86" i="1" s="1"/>
  <c r="B63" i="1"/>
  <c r="B85" i="1" s="1"/>
  <c r="U125" i="1"/>
  <c r="L63" i="1"/>
  <c r="L85" i="1" s="1"/>
  <c r="V60" i="1"/>
  <c r="B137" i="1"/>
  <c r="L93" i="1"/>
  <c r="E137" i="1"/>
  <c r="L137" i="1"/>
  <c r="L101" i="1"/>
  <c r="B93" i="1"/>
  <c r="D93" i="1"/>
  <c r="F93" i="1"/>
  <c r="H93" i="1"/>
  <c r="K93" i="1"/>
  <c r="O101" i="1"/>
  <c r="V70" i="1"/>
  <c r="G124" i="1"/>
  <c r="M17" i="4"/>
  <c r="D57" i="4"/>
  <c r="M59" i="4"/>
  <c r="M12" i="4" s="1"/>
  <c r="N12" i="4"/>
  <c r="D64" i="4"/>
  <c r="M25" i="4"/>
  <c r="N101" i="1"/>
  <c r="P100" i="1"/>
  <c r="X120" i="4"/>
  <c r="Q143" i="4"/>
  <c r="Q15" i="4"/>
  <c r="D16" i="4"/>
  <c r="T59" i="1"/>
  <c r="D124" i="1"/>
  <c r="D186" i="1" s="1"/>
  <c r="S76" i="1"/>
  <c r="S75" i="1" s="1"/>
  <c r="S86" i="1" s="1"/>
  <c r="P12" i="4"/>
  <c r="P17" i="4"/>
  <c r="X12" i="4"/>
  <c r="D17" i="4"/>
  <c r="S59" i="1"/>
  <c r="S101" i="1"/>
  <c r="R76" i="1"/>
  <c r="R75" i="1" s="1"/>
  <c r="R86" i="1" s="1"/>
  <c r="R101" i="1"/>
  <c r="T76" i="1"/>
  <c r="T75" i="1" s="1"/>
  <c r="T86" i="1" s="1"/>
  <c r="T101" i="1"/>
  <c r="K122" i="1"/>
  <c r="K184" i="1" s="1"/>
  <c r="X11" i="4"/>
  <c r="X67" i="1"/>
  <c r="U67" i="1"/>
  <c r="D130" i="4"/>
  <c r="D128" i="4" s="1"/>
  <c r="D127" i="4" s="1"/>
  <c r="X15" i="4"/>
  <c r="X14" i="4" s="1"/>
  <c r="X13" i="4" s="1"/>
  <c r="X10" i="4"/>
  <c r="V59" i="1"/>
  <c r="M127" i="4"/>
  <c r="X13" i="9"/>
  <c r="X12" i="9" s="1"/>
  <c r="U102" i="1"/>
  <c r="M101" i="1"/>
  <c r="L100" i="1"/>
  <c r="N100" i="1"/>
  <c r="R92" i="1"/>
  <c r="T92" i="1"/>
  <c r="O100" i="1"/>
  <c r="K76" i="1"/>
  <c r="K75" i="1" s="1"/>
  <c r="K86" i="1" s="1"/>
  <c r="K100" i="1" s="1"/>
  <c r="S100" i="1"/>
  <c r="R100" i="1"/>
  <c r="V52" i="3"/>
  <c r="P52" i="3"/>
  <c r="V11" i="3"/>
  <c r="R52" i="3"/>
  <c r="D53" i="3"/>
  <c r="X53" i="3"/>
  <c r="L52" i="3"/>
  <c r="L9" i="3" s="1"/>
  <c r="F52" i="3"/>
  <c r="F9" i="3" s="1"/>
  <c r="O12" i="3"/>
  <c r="X52" i="3"/>
  <c r="D52" i="3"/>
  <c r="D199" i="1"/>
  <c r="D210" i="1" s="1"/>
  <c r="D148" i="1"/>
  <c r="E199" i="1"/>
  <c r="E210" i="1" s="1"/>
  <c r="E148" i="1"/>
  <c r="C148" i="1"/>
  <c r="S52" i="3"/>
  <c r="D14" i="3"/>
  <c r="U11" i="3"/>
  <c r="P18" i="3"/>
  <c r="X17" i="3"/>
  <c r="B32" i="1"/>
  <c r="B49" i="1" s="1"/>
  <c r="L33" i="1"/>
  <c r="L32" i="1" s="1"/>
  <c r="I32" i="1"/>
  <c r="I49" i="1" s="1"/>
  <c r="I91" i="1" s="1"/>
  <c r="O9" i="3"/>
  <c r="O8" i="3" s="1"/>
  <c r="G31" i="1"/>
  <c r="G132" i="1" s="1"/>
  <c r="G194" i="1" s="1"/>
  <c r="H34" i="1"/>
  <c r="M13" i="3"/>
  <c r="M53" i="3"/>
  <c r="G11" i="3"/>
  <c r="E9" i="10" s="1"/>
  <c r="K31" i="1"/>
  <c r="V9" i="3"/>
  <c r="V8" i="3" s="1"/>
  <c r="M17" i="3"/>
  <c r="T52" i="3"/>
  <c r="Q58" i="3"/>
  <c r="S13" i="3"/>
  <c r="M14" i="3"/>
  <c r="M20" i="3"/>
  <c r="M19" i="3" s="1"/>
  <c r="M18" i="3" s="1"/>
  <c r="J98" i="1" s="1"/>
  <c r="J92" i="1" s="1"/>
  <c r="D151" i="9"/>
  <c r="X151" i="9"/>
  <c r="X11" i="9"/>
  <c r="L11" i="9"/>
  <c r="B18" i="1"/>
  <c r="B122" i="1" s="1"/>
  <c r="B184" i="1" s="1"/>
  <c r="D9" i="9"/>
  <c r="R151" i="9"/>
  <c r="Q151" i="9"/>
  <c r="N36" i="10"/>
  <c r="K36" i="10"/>
  <c r="S9" i="9"/>
  <c r="P9" i="9"/>
  <c r="L9" i="9"/>
  <c r="H9" i="9"/>
  <c r="F9" i="9"/>
  <c r="U8" i="9"/>
  <c r="L36" i="10"/>
  <c r="M36" i="10"/>
  <c r="O10" i="9"/>
  <c r="O8" i="9" s="1"/>
  <c r="D164" i="9"/>
  <c r="T10" i="9"/>
  <c r="S164" i="9"/>
  <c r="R164" i="9"/>
  <c r="P10" i="9"/>
  <c r="P8" i="9" s="1"/>
  <c r="N10" i="9"/>
  <c r="I10" i="9"/>
  <c r="E10" i="9"/>
  <c r="D15" i="9"/>
  <c r="U36" i="10"/>
  <c r="U25" i="10" s="1"/>
  <c r="T36" i="10"/>
  <c r="T25" i="10" s="1"/>
  <c r="S36" i="10"/>
  <c r="R36" i="10"/>
  <c r="S10" i="9"/>
  <c r="S8" i="9" s="1"/>
  <c r="O36" i="10"/>
  <c r="Q10" i="9"/>
  <c r="M10" i="9"/>
  <c r="L10" i="9"/>
  <c r="L8" i="9" s="1"/>
  <c r="X60" i="1"/>
  <c r="K148" i="1"/>
  <c r="T52" i="1"/>
  <c r="K41" i="1"/>
  <c r="G26" i="1"/>
  <c r="T64" i="1"/>
  <c r="T63" i="1" s="1"/>
  <c r="T85" i="1" s="1"/>
  <c r="T106" i="1" s="1"/>
  <c r="O106" i="1"/>
  <c r="P138" i="9"/>
  <c r="C41" i="1"/>
  <c r="C32" i="1" s="1"/>
  <c r="K10" i="9"/>
  <c r="I7" i="10"/>
  <c r="K37" i="10"/>
  <c r="L26" i="10"/>
  <c r="D161" i="9"/>
  <c r="W160" i="9"/>
  <c r="V160" i="9"/>
  <c r="U160" i="9"/>
  <c r="T160" i="9"/>
  <c r="R37" i="10" s="1"/>
  <c r="S160" i="9"/>
  <c r="R160" i="9"/>
  <c r="P37" i="10" s="1"/>
  <c r="Q160" i="9"/>
  <c r="D170" i="9"/>
  <c r="T169" i="9"/>
  <c r="S169" i="9"/>
  <c r="R169" i="9"/>
  <c r="Q169" i="9"/>
  <c r="W169" i="9"/>
  <c r="V169" i="9"/>
  <c r="U169" i="9"/>
  <c r="Y67" i="1"/>
  <c r="V129" i="9"/>
  <c r="R64" i="1"/>
  <c r="R63" i="1" s="1"/>
  <c r="R85" i="1" s="1"/>
  <c r="R106" i="1" s="1"/>
  <c r="N9" i="9"/>
  <c r="N8" i="9" s="1"/>
  <c r="R102" i="9"/>
  <c r="V66" i="1"/>
  <c r="V127" i="1" s="1"/>
  <c r="M127" i="1"/>
  <c r="M188" i="1" s="1"/>
  <c r="I93" i="9"/>
  <c r="D94" i="9"/>
  <c r="M129" i="9"/>
  <c r="O129" i="9"/>
  <c r="P64" i="1"/>
  <c r="P63" i="1" s="1"/>
  <c r="P85" i="1" s="1"/>
  <c r="P106" i="1" s="1"/>
  <c r="K98" i="1"/>
  <c r="K92" i="1" s="1"/>
  <c r="C99" i="1"/>
  <c r="C93" i="1" s="1"/>
  <c r="E99" i="1"/>
  <c r="E93" i="1" s="1"/>
  <c r="Q139" i="1"/>
  <c r="Q201" i="1" s="1"/>
  <c r="Q127" i="1"/>
  <c r="Q188" i="1" s="1"/>
  <c r="D130" i="9"/>
  <c r="T139" i="1"/>
  <c r="T201" i="1" s="1"/>
  <c r="S98" i="1"/>
  <c r="S92" i="1" s="1"/>
  <c r="G7" i="10"/>
  <c r="C7" i="10"/>
  <c r="J10" i="9"/>
  <c r="H7" i="10"/>
  <c r="H10" i="9"/>
  <c r="H8" i="9" s="1"/>
  <c r="F7" i="10"/>
  <c r="E7" i="10"/>
  <c r="G10" i="9"/>
  <c r="D7" i="10"/>
  <c r="F10" i="9"/>
  <c r="F8" i="9" s="1"/>
  <c r="J8" i="10"/>
  <c r="H8" i="10"/>
  <c r="W8" i="9"/>
  <c r="S64" i="1"/>
  <c r="S63" i="1" s="1"/>
  <c r="S85" i="1" s="1"/>
  <c r="S106" i="1" s="1"/>
  <c r="J9" i="9"/>
  <c r="J8" i="9" s="1"/>
  <c r="G98" i="1"/>
  <c r="G92" i="1" s="1"/>
  <c r="G99" i="1"/>
  <c r="G93" i="1" s="1"/>
  <c r="C35" i="10"/>
  <c r="G35" i="10"/>
  <c r="H35" i="10"/>
  <c r="C8" i="10"/>
  <c r="E8" i="10"/>
  <c r="G8" i="10"/>
  <c r="D93" i="9"/>
  <c r="I138" i="9"/>
  <c r="D139" i="9"/>
  <c r="R138" i="9"/>
  <c r="R133" i="9" s="1"/>
  <c r="I9" i="9"/>
  <c r="I8" i="9" s="1"/>
  <c r="E9" i="9"/>
  <c r="E8" i="9" s="1"/>
  <c r="H98" i="1"/>
  <c r="H92" i="1" s="1"/>
  <c r="L98" i="1"/>
  <c r="L92" i="1" s="1"/>
  <c r="I8" i="10"/>
  <c r="I35" i="10"/>
  <c r="I99" i="1"/>
  <c r="D8" i="10"/>
  <c r="F8" i="10"/>
  <c r="P111" i="9"/>
  <c r="N129" i="9"/>
  <c r="J129" i="9"/>
  <c r="S129" i="9"/>
  <c r="D138" i="9"/>
  <c r="I147" i="9"/>
  <c r="D148" i="9"/>
  <c r="D147" i="9"/>
  <c r="O120" i="9"/>
  <c r="V8" i="9"/>
  <c r="M9" i="9"/>
  <c r="M8" i="9" s="1"/>
  <c r="G9" i="9"/>
  <c r="G8" i="9" s="1"/>
  <c r="D13" i="1"/>
  <c r="D89" i="1" s="1"/>
  <c r="S139" i="1"/>
  <c r="S201" i="1" s="1"/>
  <c r="T9" i="9"/>
  <c r="T8" i="9" s="1"/>
  <c r="Q9" i="9"/>
  <c r="Q8" i="9" s="1"/>
  <c r="M100" i="1"/>
  <c r="Y66" i="1"/>
  <c r="W79" i="1"/>
  <c r="U127" i="1"/>
  <c r="U188" i="1" s="1"/>
  <c r="J35" i="10"/>
  <c r="Q106" i="1"/>
  <c r="L97" i="1"/>
  <c r="I44" i="10"/>
  <c r="D35" i="10"/>
  <c r="F35" i="10"/>
  <c r="R52" i="1"/>
  <c r="I26" i="10"/>
  <c r="G26" i="10"/>
  <c r="C26" i="10"/>
  <c r="D26" i="10"/>
  <c r="R9" i="9"/>
  <c r="K9" i="9"/>
  <c r="K8" i="9" s="1"/>
  <c r="E26" i="10"/>
  <c r="H26" i="10"/>
  <c r="I122" i="1"/>
  <c r="I184" i="1" s="1"/>
  <c r="K127" i="1"/>
  <c r="K188" i="1" s="1"/>
  <c r="D10" i="9"/>
  <c r="D8" i="9" s="1"/>
  <c r="V115" i="6"/>
  <c r="W115" i="6"/>
  <c r="M117" i="6"/>
  <c r="J14" i="6"/>
  <c r="T18" i="6"/>
  <c r="Q25" i="1" s="1"/>
  <c r="R18" i="6"/>
  <c r="O25" i="1" s="1"/>
  <c r="P18" i="6"/>
  <c r="M25" i="1" s="1"/>
  <c r="U101" i="6"/>
  <c r="U14" i="6"/>
  <c r="K14" i="6"/>
  <c r="E90" i="6"/>
  <c r="I90" i="6"/>
  <c r="P91" i="6"/>
  <c r="T275" i="6"/>
  <c r="V91" i="6"/>
  <c r="V90" i="6" s="1"/>
  <c r="T99" i="1"/>
  <c r="W278" i="6"/>
  <c r="W289" i="6" s="1"/>
  <c r="T278" i="6"/>
  <c r="T289" i="6" s="1"/>
  <c r="W19" i="6"/>
  <c r="T31" i="1"/>
  <c r="T132" i="1" s="1"/>
  <c r="D264" i="6"/>
  <c r="G14" i="6"/>
  <c r="G13" i="6" s="1"/>
  <c r="S278" i="6"/>
  <c r="S289" i="6" s="1"/>
  <c r="Q278" i="6"/>
  <c r="Q289" i="6" s="1"/>
  <c r="Q275" i="6"/>
  <c r="F115" i="6"/>
  <c r="F12" i="6" s="1"/>
  <c r="C14" i="1" s="1"/>
  <c r="C90" i="1" s="1"/>
  <c r="V275" i="6"/>
  <c r="U278" i="6"/>
  <c r="U289" i="6" s="1"/>
  <c r="P98" i="1"/>
  <c r="P92" i="1" s="1"/>
  <c r="O98" i="1"/>
  <c r="O92" i="1" s="1"/>
  <c r="L52" i="1"/>
  <c r="R278" i="6"/>
  <c r="R289" i="6" s="1"/>
  <c r="L90" i="6"/>
  <c r="L11" i="6" s="1"/>
  <c r="J90" i="6"/>
  <c r="J11" i="6" s="1"/>
  <c r="H90" i="6"/>
  <c r="F90" i="6"/>
  <c r="V278" i="6"/>
  <c r="V289" i="6" s="1"/>
  <c r="X90" i="6"/>
  <c r="M102" i="6"/>
  <c r="P19" i="6"/>
  <c r="M31" i="1"/>
  <c r="M132" i="1" s="1"/>
  <c r="M194" i="1" s="1"/>
  <c r="H26" i="1"/>
  <c r="H132" i="1"/>
  <c r="H194" i="1" s="1"/>
  <c r="K132" i="1"/>
  <c r="K194" i="1" s="1"/>
  <c r="K26" i="1"/>
  <c r="Q19" i="6"/>
  <c r="N31" i="1"/>
  <c r="N132" i="1" s="1"/>
  <c r="N194" i="1" s="1"/>
  <c r="O19" i="6"/>
  <c r="L31" i="1"/>
  <c r="D265" i="6"/>
  <c r="U90" i="6"/>
  <c r="Q90" i="6"/>
  <c r="Q11" i="6" s="1"/>
  <c r="R90" i="6"/>
  <c r="P101" i="6"/>
  <c r="N19" i="6"/>
  <c r="I31" i="1"/>
  <c r="I132" i="1" s="1"/>
  <c r="I194" i="1" s="1"/>
  <c r="C31" i="1"/>
  <c r="O101" i="6"/>
  <c r="O275" i="6"/>
  <c r="P275" i="6"/>
  <c r="H47" i="10"/>
  <c r="G119" i="1"/>
  <c r="G91" i="1"/>
  <c r="G135" i="1"/>
  <c r="M99" i="1"/>
  <c r="M93" i="1" s="1"/>
  <c r="P278" i="6"/>
  <c r="P289" i="6" s="1"/>
  <c r="T93" i="1"/>
  <c r="T97" i="1"/>
  <c r="K8" i="10"/>
  <c r="S99" i="1"/>
  <c r="H115" i="6"/>
  <c r="H12" i="6" s="1"/>
  <c r="T8" i="10"/>
  <c r="R8" i="10"/>
  <c r="P99" i="1"/>
  <c r="P93" i="1" s="1"/>
  <c r="L8" i="10"/>
  <c r="D278" i="6"/>
  <c r="L115" i="6"/>
  <c r="L12" i="6" s="1"/>
  <c r="I115" i="6"/>
  <c r="I12" i="6" s="1"/>
  <c r="F14" i="1" s="1"/>
  <c r="F90" i="1" s="1"/>
  <c r="G115" i="6"/>
  <c r="G12" i="6" s="1"/>
  <c r="N8" i="10"/>
  <c r="Q8" i="10"/>
  <c r="M8" i="10"/>
  <c r="S8" i="10"/>
  <c r="N99" i="1"/>
  <c r="N93" i="1" s="1"/>
  <c r="V12" i="6"/>
  <c r="S14" i="1" s="1"/>
  <c r="S90" i="1" s="1"/>
  <c r="O8" i="10"/>
  <c r="L44" i="10"/>
  <c r="R19" i="6"/>
  <c r="O31" i="1"/>
  <c r="O132" i="1" s="1"/>
  <c r="O194" i="1" s="1"/>
  <c r="X20" i="6"/>
  <c r="X19" i="6" s="1"/>
  <c r="U19" i="6"/>
  <c r="R31" i="1"/>
  <c r="P31" i="1"/>
  <c r="P132" i="1" s="1"/>
  <c r="P194" i="1" s="1"/>
  <c r="S19" i="6"/>
  <c r="Q31" i="1"/>
  <c r="Q132" i="1" s="1"/>
  <c r="Q194" i="1" s="1"/>
  <c r="T19" i="6"/>
  <c r="E11" i="6"/>
  <c r="F11" i="6"/>
  <c r="U13" i="6"/>
  <c r="H11" i="6"/>
  <c r="S14" i="6"/>
  <c r="P25" i="1"/>
  <c r="U11" i="6"/>
  <c r="U279" i="6"/>
  <c r="U290" i="6" s="1"/>
  <c r="W11" i="6"/>
  <c r="T13" i="1" s="1"/>
  <c r="T89" i="1" s="1"/>
  <c r="W279" i="6"/>
  <c r="W290" i="6" s="1"/>
  <c r="S11" i="6"/>
  <c r="S25" i="1"/>
  <c r="V14" i="6"/>
  <c r="V13" i="6" s="1"/>
  <c r="O14" i="6"/>
  <c r="O13" i="6" s="1"/>
  <c r="I14" i="6"/>
  <c r="M18" i="1"/>
  <c r="P14" i="6"/>
  <c r="P13" i="6" s="1"/>
  <c r="T14" i="6"/>
  <c r="Q18" i="1"/>
  <c r="Q122" i="1" s="1"/>
  <c r="Q184" i="1" s="1"/>
  <c r="X15" i="6"/>
  <c r="R14" i="6"/>
  <c r="R13" i="6" s="1"/>
  <c r="W14" i="6"/>
  <c r="T18" i="1"/>
  <c r="T122" i="1" s="1"/>
  <c r="T184" i="1" s="1"/>
  <c r="U7" i="10"/>
  <c r="T7" i="10"/>
  <c r="S7" i="10"/>
  <c r="X185" i="6"/>
  <c r="X182" i="6" s="1"/>
  <c r="N182" i="6"/>
  <c r="D185" i="6"/>
  <c r="D182" i="6" s="1"/>
  <c r="M166" i="6"/>
  <c r="D166" i="6" s="1"/>
  <c r="D170" i="6"/>
  <c r="X170" i="6"/>
  <c r="X166" i="6" s="1"/>
  <c r="N51" i="1"/>
  <c r="Q25" i="6"/>
  <c r="N46" i="1"/>
  <c r="P152" i="6"/>
  <c r="D156" i="6"/>
  <c r="X156" i="6"/>
  <c r="N14" i="6"/>
  <c r="N13" i="6" s="1"/>
  <c r="X134" i="6"/>
  <c r="W143" i="6"/>
  <c r="U8" i="10" s="1"/>
  <c r="D159" i="6"/>
  <c r="D135" i="6"/>
  <c r="M174" i="6"/>
  <c r="R99" i="1"/>
  <c r="R97" i="1" s="1"/>
  <c r="S97" i="1"/>
  <c r="S93" i="1"/>
  <c r="X152" i="6"/>
  <c r="X11" i="6" s="1"/>
  <c r="D152" i="6"/>
  <c r="D138" i="6"/>
  <c r="R93" i="1"/>
  <c r="S52" i="1"/>
  <c r="R143" i="6"/>
  <c r="P8" i="10" s="1"/>
  <c r="P97" i="1"/>
  <c r="V22" i="6"/>
  <c r="V21" i="6" s="1"/>
  <c r="T22" i="6"/>
  <c r="R22" i="6"/>
  <c r="P22" i="6"/>
  <c r="P21" i="6" s="1"/>
  <c r="G10" i="6"/>
  <c r="D14" i="1"/>
  <c r="E19" i="6"/>
  <c r="B31" i="1"/>
  <c r="B132" i="1" s="1"/>
  <c r="B194" i="1" s="1"/>
  <c r="E120" i="6"/>
  <c r="E115" i="6" s="1"/>
  <c r="E12" i="6" s="1"/>
  <c r="B14" i="1" s="1"/>
  <c r="B90" i="1" s="1"/>
  <c r="I20" i="6"/>
  <c r="H20" i="6"/>
  <c r="K115" i="6"/>
  <c r="K12" i="6" s="1"/>
  <c r="H14" i="1" s="1"/>
  <c r="H90" i="1" s="1"/>
  <c r="N115" i="6"/>
  <c r="P115" i="6"/>
  <c r="R115" i="6"/>
  <c r="T115" i="6"/>
  <c r="R7" i="10" s="1"/>
  <c r="S31" i="1"/>
  <c r="J13" i="6"/>
  <c r="O115" i="6"/>
  <c r="O12" i="6" s="1"/>
  <c r="L14" i="1" s="1"/>
  <c r="Q115" i="6"/>
  <c r="Q12" i="6" s="1"/>
  <c r="Q10" i="6" s="1"/>
  <c r="S115" i="6"/>
  <c r="Q7" i="10" s="1"/>
  <c r="X115" i="6"/>
  <c r="X12" i="6" s="1"/>
  <c r="E14" i="1"/>
  <c r="E90" i="1" s="1"/>
  <c r="H10" i="6"/>
  <c r="L7" i="10"/>
  <c r="N12" i="6"/>
  <c r="K14" i="1" s="1"/>
  <c r="P12" i="6"/>
  <c r="R12" i="6"/>
  <c r="R279" i="6"/>
  <c r="R290" i="6" s="1"/>
  <c r="G14" i="1"/>
  <c r="G90" i="1" s="1"/>
  <c r="J10" i="6"/>
  <c r="L10" i="6"/>
  <c r="I14" i="1"/>
  <c r="S12" i="6"/>
  <c r="W12" i="6"/>
  <c r="U12" i="6"/>
  <c r="U43" i="10"/>
  <c r="T43" i="10"/>
  <c r="P7" i="10"/>
  <c r="J46" i="1"/>
  <c r="J52" i="1" s="1"/>
  <c r="W13" i="6"/>
  <c r="E44" i="10"/>
  <c r="E10" i="6"/>
  <c r="D44" i="10"/>
  <c r="M70" i="6"/>
  <c r="F10" i="6"/>
  <c r="H75" i="6"/>
  <c r="T70" i="6"/>
  <c r="T11" i="6" s="1"/>
  <c r="S19" i="1"/>
  <c r="S124" i="1" s="1"/>
  <c r="S186" i="1" s="1"/>
  <c r="Q19" i="1"/>
  <c r="Q124" i="1" s="1"/>
  <c r="Q186" i="1" s="1"/>
  <c r="K97" i="1"/>
  <c r="H44" i="10"/>
  <c r="P34" i="1"/>
  <c r="N34" i="1"/>
  <c r="D13" i="9"/>
  <c r="D12" i="9" s="1"/>
  <c r="R10" i="9"/>
  <c r="O14" i="1" s="1"/>
  <c r="K32" i="1"/>
  <c r="K96" i="1" s="1"/>
  <c r="L21" i="6"/>
  <c r="G97" i="1"/>
  <c r="G96" i="1" s="1"/>
  <c r="K13" i="6"/>
  <c r="I70" i="6"/>
  <c r="B119" i="1"/>
  <c r="B91" i="1"/>
  <c r="C47" i="10"/>
  <c r="B135" i="1"/>
  <c r="M122" i="1"/>
  <c r="M184" i="1" s="1"/>
  <c r="N19" i="1"/>
  <c r="N124" i="1" s="1"/>
  <c r="N186" i="1" s="1"/>
  <c r="X16" i="6"/>
  <c r="X14" i="6" s="1"/>
  <c r="X13" i="6" s="1"/>
  <c r="Q14" i="6"/>
  <c r="Q13" i="6" s="1"/>
  <c r="D67" i="6"/>
  <c r="D26" i="6"/>
  <c r="D25" i="6" s="1"/>
  <c r="D21" i="6" s="1"/>
  <c r="J47" i="10"/>
  <c r="I119" i="1"/>
  <c r="I135" i="1"/>
  <c r="P41" i="1"/>
  <c r="P147" i="1"/>
  <c r="P209" i="1" s="1"/>
  <c r="C49" i="1"/>
  <c r="F41" i="1"/>
  <c r="M64" i="6"/>
  <c r="S13" i="6"/>
  <c r="K49" i="1"/>
  <c r="V30" i="10"/>
  <c r="V31" i="1"/>
  <c r="V132" i="1" s="1"/>
  <c r="K210" i="1"/>
  <c r="H97" i="1"/>
  <c r="H50" i="10"/>
  <c r="B26" i="1"/>
  <c r="D26" i="1"/>
  <c r="G148" i="1"/>
  <c r="G149" i="1" s="1"/>
  <c r="E41" i="1"/>
  <c r="E32" i="1" s="1"/>
  <c r="F33" i="1"/>
  <c r="F32" i="1" s="1"/>
  <c r="F49" i="1" s="1"/>
  <c r="D98" i="1"/>
  <c r="L18" i="1"/>
  <c r="C98" i="1"/>
  <c r="L75" i="6"/>
  <c r="J31" i="10" s="1"/>
  <c r="J26" i="10" s="1"/>
  <c r="D64" i="6"/>
  <c r="Z21" i="6" s="1"/>
  <c r="R64" i="6"/>
  <c r="Q21" i="6"/>
  <c r="E14" i="6"/>
  <c r="E13" i="6" s="1"/>
  <c r="L14" i="6"/>
  <c r="L13" i="6" s="1"/>
  <c r="M98" i="1"/>
  <c r="Q46" i="1"/>
  <c r="Q51" i="1"/>
  <c r="T25" i="6"/>
  <c r="T21" i="6" s="1"/>
  <c r="G94" i="1"/>
  <c r="B13" i="1"/>
  <c r="B89" i="1" s="1"/>
  <c r="B88" i="1" s="1"/>
  <c r="E19" i="1"/>
  <c r="E124" i="1" s="1"/>
  <c r="H14" i="6"/>
  <c r="N70" i="6"/>
  <c r="V31" i="10"/>
  <c r="Q98" i="1"/>
  <c r="F14" i="6"/>
  <c r="F13" i="6" s="1"/>
  <c r="C19" i="1"/>
  <c r="C124" i="1" s="1"/>
  <c r="C186" i="1" s="1"/>
  <c r="P51" i="1"/>
  <c r="P52" i="1" s="1"/>
  <c r="S25" i="6"/>
  <c r="S21" i="6" s="1"/>
  <c r="G25" i="6"/>
  <c r="G21" i="6" s="1"/>
  <c r="D46" i="1"/>
  <c r="R21" i="6"/>
  <c r="N21" i="6"/>
  <c r="P19" i="1"/>
  <c r="P124" i="1" s="1"/>
  <c r="P186" i="1" s="1"/>
  <c r="S34" i="1"/>
  <c r="M34" i="1"/>
  <c r="M26" i="10"/>
  <c r="M44" i="10" s="1"/>
  <c r="I25" i="10"/>
  <c r="M51" i="1"/>
  <c r="M52" i="1" s="1"/>
  <c r="P26" i="10"/>
  <c r="R19" i="1"/>
  <c r="R124" i="1" s="1"/>
  <c r="R186" i="1" s="1"/>
  <c r="M19" i="1"/>
  <c r="M124" i="1" s="1"/>
  <c r="M186" i="1" s="1"/>
  <c r="J19" i="1"/>
  <c r="J124" i="1" s="1"/>
  <c r="J186" i="1" s="1"/>
  <c r="T34" i="1"/>
  <c r="Q34" i="1"/>
  <c r="O34" i="1"/>
  <c r="J34" i="1"/>
  <c r="R34" i="1"/>
  <c r="J13" i="2"/>
  <c r="J12" i="2" s="1"/>
  <c r="G18" i="1"/>
  <c r="D506" i="2"/>
  <c r="D505" i="2" s="1"/>
  <c r="D10" i="2" s="1"/>
  <c r="D9" i="2" s="1"/>
  <c r="D428" i="2"/>
  <c r="R506" i="2"/>
  <c r="R428" i="2"/>
  <c r="X507" i="2"/>
  <c r="X506" i="2" s="1"/>
  <c r="X505" i="2" s="1"/>
  <c r="G427" i="2"/>
  <c r="G426" i="2" s="1"/>
  <c r="E28" i="10" s="1"/>
  <c r="E25" i="10" s="1"/>
  <c r="E43" i="10" s="1"/>
  <c r="G14" i="2"/>
  <c r="H18" i="1"/>
  <c r="H122" i="1" s="1"/>
  <c r="H184" i="1" s="1"/>
  <c r="I14" i="2"/>
  <c r="M14" i="2"/>
  <c r="M427" i="2"/>
  <c r="M426" i="2" s="1"/>
  <c r="F13" i="2"/>
  <c r="F12" i="2" s="1"/>
  <c r="C18" i="1"/>
  <c r="V13" i="2"/>
  <c r="V12" i="2" s="1"/>
  <c r="S18" i="1"/>
  <c r="E13" i="1"/>
  <c r="S428" i="2"/>
  <c r="S506" i="2"/>
  <c r="U427" i="2"/>
  <c r="U426" i="2" s="1"/>
  <c r="U14" i="2"/>
  <c r="H427" i="2"/>
  <c r="H426" i="2" s="1"/>
  <c r="F28" i="10" s="1"/>
  <c r="F25" i="10" s="1"/>
  <c r="H14" i="2"/>
  <c r="Q428" i="2"/>
  <c r="Q506" i="2"/>
  <c r="M505" i="2"/>
  <c r="M25" i="10"/>
  <c r="C119" i="1"/>
  <c r="G47" i="10"/>
  <c r="M15" i="3"/>
  <c r="I26" i="1"/>
  <c r="D15" i="3"/>
  <c r="B12" i="1"/>
  <c r="B107" i="1" s="1"/>
  <c r="J8" i="3"/>
  <c r="G13" i="1"/>
  <c r="N9" i="3"/>
  <c r="F8" i="3"/>
  <c r="C13" i="1"/>
  <c r="L8" i="3"/>
  <c r="I13" i="1"/>
  <c r="B19" i="1"/>
  <c r="B17" i="1" s="1"/>
  <c r="E12" i="3"/>
  <c r="E186" i="1"/>
  <c r="N12" i="3"/>
  <c r="K19" i="1"/>
  <c r="K12" i="3"/>
  <c r="K11" i="3" s="1"/>
  <c r="I9" i="10" s="1"/>
  <c r="I43" i="10" s="1"/>
  <c r="H19" i="1"/>
  <c r="T19" i="1"/>
  <c r="W12" i="3"/>
  <c r="W11" i="3" s="1"/>
  <c r="K8" i="3"/>
  <c r="H13" i="1"/>
  <c r="I12" i="3"/>
  <c r="I11" i="3" s="1"/>
  <c r="G9" i="10" s="1"/>
  <c r="F19" i="1"/>
  <c r="O19" i="1"/>
  <c r="X14" i="3"/>
  <c r="E11" i="3"/>
  <c r="C9" i="10" s="1"/>
  <c r="C43" i="10" s="1"/>
  <c r="L11" i="3"/>
  <c r="J9" i="10" s="1"/>
  <c r="J43" i="10" s="1"/>
  <c r="N11" i="3"/>
  <c r="O11" i="3"/>
  <c r="F11" i="3"/>
  <c r="D9" i="10" s="1"/>
  <c r="D43" i="10" s="1"/>
  <c r="H11" i="3"/>
  <c r="F9" i="10" s="1"/>
  <c r="F43" i="10" s="1"/>
  <c r="J11" i="3"/>
  <c r="H9" i="10" s="1"/>
  <c r="H43" i="10" s="1"/>
  <c r="R9" i="3"/>
  <c r="T9" i="3"/>
  <c r="S12" i="3"/>
  <c r="X33" i="3"/>
  <c r="X32" i="3" s="1"/>
  <c r="D34" i="3"/>
  <c r="D33" i="3" s="1"/>
  <c r="D32" i="3" s="1"/>
  <c r="D9" i="3" s="1"/>
  <c r="S32" i="3"/>
  <c r="R25" i="10"/>
  <c r="D39" i="3"/>
  <c r="M29" i="1"/>
  <c r="P15" i="3"/>
  <c r="P11" i="3" s="1"/>
  <c r="T194" i="1"/>
  <c r="G186" i="1"/>
  <c r="J10" i="10"/>
  <c r="J44" i="10" s="1"/>
  <c r="I98" i="1"/>
  <c r="I17" i="1"/>
  <c r="I124" i="1"/>
  <c r="B98" i="1"/>
  <c r="C10" i="10"/>
  <c r="C44" i="10" s="1"/>
  <c r="D13" i="3"/>
  <c r="D12" i="3" s="1"/>
  <c r="I199" i="1"/>
  <c r="I210" i="1" s="1"/>
  <c r="I148" i="1"/>
  <c r="I149" i="1" s="1"/>
  <c r="F199" i="1"/>
  <c r="F210" i="1" s="1"/>
  <c r="F148" i="1"/>
  <c r="B199" i="1"/>
  <c r="B210" i="1" s="1"/>
  <c r="B148" i="1"/>
  <c r="B149" i="1" s="1"/>
  <c r="F98" i="1"/>
  <c r="G10" i="10"/>
  <c r="G44" i="10" s="1"/>
  <c r="A148" i="1"/>
  <c r="L148" i="1"/>
  <c r="L199" i="1"/>
  <c r="L210" i="1" s="1"/>
  <c r="B124" i="1"/>
  <c r="N44" i="10"/>
  <c r="S25" i="10"/>
  <c r="S43" i="10" s="1"/>
  <c r="U9" i="3"/>
  <c r="U19" i="1"/>
  <c r="T33" i="1"/>
  <c r="T32" i="1" s="1"/>
  <c r="T137" i="1"/>
  <c r="Q33" i="1"/>
  <c r="Q137" i="1"/>
  <c r="U34" i="1"/>
  <c r="U45" i="1"/>
  <c r="D18" i="3"/>
  <c r="V33" i="10"/>
  <c r="P33" i="1"/>
  <c r="P32" i="1" s="1"/>
  <c r="P137" i="1"/>
  <c r="T15" i="3"/>
  <c r="T11" i="3" s="1"/>
  <c r="Q29" i="1"/>
  <c r="P29" i="1"/>
  <c r="S15" i="3"/>
  <c r="S11" i="3" s="1"/>
  <c r="R15" i="3"/>
  <c r="R11" i="3" s="1"/>
  <c r="O29" i="1"/>
  <c r="X16" i="3"/>
  <c r="X15" i="3" s="1"/>
  <c r="N29" i="1"/>
  <c r="Q15" i="3"/>
  <c r="Q11" i="3" s="1"/>
  <c r="Z40" i="3"/>
  <c r="Q32" i="3"/>
  <c r="P32" i="3"/>
  <c r="N92" i="1"/>
  <c r="Q224" i="3"/>
  <c r="M209" i="1"/>
  <c r="U51" i="1"/>
  <c r="D224" i="3"/>
  <c r="D10" i="3" s="1"/>
  <c r="P10" i="3"/>
  <c r="M14" i="1" s="1"/>
  <c r="Z216" i="3"/>
  <c r="X13" i="3"/>
  <c r="V8" i="10"/>
  <c r="X212" i="3"/>
  <c r="Z212" i="3"/>
  <c r="Q279" i="6"/>
  <c r="Q290" i="6" s="1"/>
  <c r="M97" i="1"/>
  <c r="M92" i="1"/>
  <c r="D289" i="6"/>
  <c r="X289" i="6" s="1"/>
  <c r="X278" i="6"/>
  <c r="T100" i="1" l="1"/>
  <c r="T26" i="1"/>
  <c r="S279" i="6"/>
  <c r="S290" i="6" s="1"/>
  <c r="T12" i="6"/>
  <c r="Q14" i="1" s="1"/>
  <c r="Q90" i="1" s="1"/>
  <c r="I103" i="1"/>
  <c r="I101" i="1" s="1"/>
  <c r="I100" i="1" s="1"/>
  <c r="L23" i="4"/>
  <c r="O10" i="4"/>
  <c r="L61" i="1"/>
  <c r="L59" i="1" s="1"/>
  <c r="L106" i="1" s="1"/>
  <c r="M10" i="4"/>
  <c r="J61" i="1"/>
  <c r="J59" i="1" s="1"/>
  <c r="P10" i="4"/>
  <c r="AA10" i="4" s="1"/>
  <c r="AB10" i="4" s="1"/>
  <c r="M61" i="1"/>
  <c r="M24" i="4"/>
  <c r="J77" i="1"/>
  <c r="N10" i="4"/>
  <c r="K61" i="1"/>
  <c r="M68" i="1"/>
  <c r="P14" i="4"/>
  <c r="P13" i="4" s="1"/>
  <c r="AA17" i="4"/>
  <c r="AB17" i="4" s="1"/>
  <c r="Q14" i="4"/>
  <c r="Q13" i="4" s="1"/>
  <c r="N65" i="1"/>
  <c r="D120" i="4"/>
  <c r="X118" i="4"/>
  <c r="X117" i="4" s="1"/>
  <c r="D63" i="4"/>
  <c r="D25" i="4"/>
  <c r="D24" i="4" s="1"/>
  <c r="D23" i="4" s="1"/>
  <c r="D62" i="4"/>
  <c r="D59" i="4"/>
  <c r="M20" i="4"/>
  <c r="J69" i="1" s="1"/>
  <c r="M55" i="4"/>
  <c r="M54" i="4" s="1"/>
  <c r="J68" i="1"/>
  <c r="M14" i="4"/>
  <c r="M13" i="4" s="1"/>
  <c r="U191" i="1"/>
  <c r="W125" i="1"/>
  <c r="D15" i="4"/>
  <c r="D11" i="3"/>
  <c r="L49" i="1"/>
  <c r="L96" i="1"/>
  <c r="Q52" i="3"/>
  <c r="Q9" i="3" s="1"/>
  <c r="Q8" i="3" s="1"/>
  <c r="M52" i="3"/>
  <c r="H137" i="1"/>
  <c r="H33" i="1"/>
  <c r="H32" i="1" s="1"/>
  <c r="H49" i="1" s="1"/>
  <c r="M12" i="3"/>
  <c r="M11" i="3" s="1"/>
  <c r="X9" i="9"/>
  <c r="Q36" i="10"/>
  <c r="V36" i="10" s="1"/>
  <c r="Z19" i="9"/>
  <c r="D14" i="9"/>
  <c r="D11" i="9" s="1"/>
  <c r="P36" i="10"/>
  <c r="D169" i="9"/>
  <c r="D160" i="9"/>
  <c r="T37" i="10"/>
  <c r="T26" i="10" s="1"/>
  <c r="T44" i="10" s="1"/>
  <c r="O37" i="10"/>
  <c r="O26" i="10" s="1"/>
  <c r="O44" i="10" s="1"/>
  <c r="Q37" i="10"/>
  <c r="Q26" i="10" s="1"/>
  <c r="Q44" i="10" s="1"/>
  <c r="S37" i="10"/>
  <c r="S26" i="10" s="1"/>
  <c r="S44" i="10" s="1"/>
  <c r="U37" i="10"/>
  <c r="U26" i="10" s="1"/>
  <c r="U44" i="10" s="1"/>
  <c r="K26" i="10"/>
  <c r="D129" i="9"/>
  <c r="T13" i="6"/>
  <c r="X10" i="6"/>
  <c r="Z10" i="6" s="1"/>
  <c r="M18" i="6"/>
  <c r="M116" i="6"/>
  <c r="M115" i="6" s="1"/>
  <c r="M12" i="6" s="1"/>
  <c r="J14" i="1" s="1"/>
  <c r="J90" i="1" s="1"/>
  <c r="D117" i="6"/>
  <c r="V11" i="6"/>
  <c r="V279" i="6"/>
  <c r="V290" i="6" s="1"/>
  <c r="G50" i="10"/>
  <c r="J50" i="10"/>
  <c r="B16" i="1"/>
  <c r="B48" i="1" s="1"/>
  <c r="H91" i="1"/>
  <c r="H94" i="1" s="1"/>
  <c r="T279" i="6"/>
  <c r="T290" i="6" s="1"/>
  <c r="K10" i="6"/>
  <c r="R43" i="10"/>
  <c r="U98" i="1"/>
  <c r="D102" i="6"/>
  <c r="M275" i="6"/>
  <c r="M101" i="6"/>
  <c r="M20" i="6"/>
  <c r="C26" i="1"/>
  <c r="C132" i="1"/>
  <c r="C194" i="1" s="1"/>
  <c r="P90" i="6"/>
  <c r="P11" i="6" s="1"/>
  <c r="P10" i="6" s="1"/>
  <c r="L26" i="1"/>
  <c r="L132" i="1"/>
  <c r="L194" i="1" s="1"/>
  <c r="R11" i="6"/>
  <c r="R10" i="6" s="1"/>
  <c r="Z16" i="6" s="1"/>
  <c r="O90" i="6"/>
  <c r="N97" i="1"/>
  <c r="G197" i="1"/>
  <c r="G212" i="1"/>
  <c r="G213" i="1" s="1"/>
  <c r="R132" i="1"/>
  <c r="R194" i="1" s="1"/>
  <c r="R26" i="1"/>
  <c r="D134" i="6"/>
  <c r="N147" i="1"/>
  <c r="N209" i="1" s="1"/>
  <c r="N52" i="1"/>
  <c r="N41" i="1"/>
  <c r="I19" i="6"/>
  <c r="I13" i="6" s="1"/>
  <c r="J2" i="6" s="1"/>
  <c r="F31" i="1"/>
  <c r="D12" i="1"/>
  <c r="D107" i="1" s="1"/>
  <c r="D90" i="1"/>
  <c r="D88" i="1" s="1"/>
  <c r="I16" i="1"/>
  <c r="I48" i="1" s="1"/>
  <c r="S132" i="1"/>
  <c r="S194" i="1" s="1"/>
  <c r="S26" i="1"/>
  <c r="E31" i="1"/>
  <c r="H19" i="6"/>
  <c r="H13" i="6" s="1"/>
  <c r="T14" i="1"/>
  <c r="W10" i="6"/>
  <c r="P14" i="1"/>
  <c r="P90" i="1" s="1"/>
  <c r="S10" i="6"/>
  <c r="R14" i="1"/>
  <c r="R90" i="1" s="1"/>
  <c r="U10" i="6"/>
  <c r="L90" i="1"/>
  <c r="L112" i="1"/>
  <c r="L116" i="1"/>
  <c r="I116" i="1"/>
  <c r="I90" i="1"/>
  <c r="I112" i="1"/>
  <c r="Q17" i="1"/>
  <c r="N137" i="1"/>
  <c r="N33" i="1"/>
  <c r="N32" i="1" s="1"/>
  <c r="F31" i="10"/>
  <c r="F26" i="10" s="1"/>
  <c r="F44" i="10" s="1"/>
  <c r="E98" i="1"/>
  <c r="J41" i="1"/>
  <c r="J147" i="1"/>
  <c r="J209" i="1" s="1"/>
  <c r="O112" i="1"/>
  <c r="O116" i="1"/>
  <c r="O90" i="1"/>
  <c r="X10" i="9"/>
  <c r="X8" i="9" s="1"/>
  <c r="R8" i="9"/>
  <c r="G30" i="10"/>
  <c r="G25" i="10" s="1"/>
  <c r="G43" i="10" s="1"/>
  <c r="I11" i="6"/>
  <c r="R33" i="1"/>
  <c r="R32" i="1" s="1"/>
  <c r="R137" i="1"/>
  <c r="O137" i="1"/>
  <c r="O33" i="1"/>
  <c r="O32" i="1" s="1"/>
  <c r="M137" i="1"/>
  <c r="M33" i="1"/>
  <c r="M32" i="1" s="1"/>
  <c r="M49" i="1" s="1"/>
  <c r="C92" i="1"/>
  <c r="C97" i="1"/>
  <c r="C96" i="1" s="1"/>
  <c r="D92" i="1"/>
  <c r="D97" i="1"/>
  <c r="E49" i="1"/>
  <c r="K20" i="10"/>
  <c r="J99" i="1"/>
  <c r="C91" i="1"/>
  <c r="C149" i="1" s="1"/>
  <c r="C135" i="1"/>
  <c r="D47" i="10"/>
  <c r="D50" i="10" s="1"/>
  <c r="I197" i="1"/>
  <c r="I212" i="1"/>
  <c r="I213" i="1" s="1"/>
  <c r="M17" i="1"/>
  <c r="J33" i="1"/>
  <c r="J32" i="1" s="1"/>
  <c r="J137" i="1"/>
  <c r="S33" i="1"/>
  <c r="S32" i="1" s="1"/>
  <c r="S137" i="1"/>
  <c r="R26" i="10"/>
  <c r="D147" i="1"/>
  <c r="D209" i="1" s="1"/>
  <c r="D41" i="1"/>
  <c r="D32" i="1" s="1"/>
  <c r="Q92" i="1"/>
  <c r="Q97" i="1"/>
  <c r="N11" i="6"/>
  <c r="N10" i="6" s="1"/>
  <c r="L25" i="10"/>
  <c r="L43" i="10" s="1"/>
  <c r="Q147" i="1"/>
  <c r="Q209" i="1" s="1"/>
  <c r="Q52" i="1"/>
  <c r="Q41" i="1"/>
  <c r="Q32" i="1" s="1"/>
  <c r="U46" i="1"/>
  <c r="O99" i="1"/>
  <c r="P20" i="10"/>
  <c r="P44" i="10" s="1"/>
  <c r="L122" i="1"/>
  <c r="L17" i="1"/>
  <c r="L16" i="1" s="1"/>
  <c r="L48" i="1" s="1"/>
  <c r="F135" i="1"/>
  <c r="F119" i="1"/>
  <c r="F91" i="1"/>
  <c r="F149" i="1" s="1"/>
  <c r="H96" i="1"/>
  <c r="K135" i="1"/>
  <c r="K91" i="1"/>
  <c r="K119" i="1"/>
  <c r="L47" i="10"/>
  <c r="L50" i="10" s="1"/>
  <c r="B212" i="1"/>
  <c r="B197" i="1"/>
  <c r="M10" i="2"/>
  <c r="M9" i="2" s="1"/>
  <c r="X428" i="2"/>
  <c r="X427" i="2" s="1"/>
  <c r="X426" i="2" s="1"/>
  <c r="Q427" i="2"/>
  <c r="Q426" i="2" s="1"/>
  <c r="Q14" i="2"/>
  <c r="S427" i="2"/>
  <c r="S426" i="2" s="1"/>
  <c r="S14" i="2"/>
  <c r="S122" i="1"/>
  <c r="S17" i="1"/>
  <c r="C122" i="1"/>
  <c r="C17" i="1"/>
  <c r="C16" i="1" s="1"/>
  <c r="C48" i="1" s="1"/>
  <c r="K25" i="10"/>
  <c r="F18" i="1"/>
  <c r="F122" i="1" s="1"/>
  <c r="F184" i="1" s="1"/>
  <c r="I13" i="2"/>
  <c r="I12" i="2" s="1"/>
  <c r="R427" i="2"/>
  <c r="R426" i="2" s="1"/>
  <c r="P25" i="10" s="1"/>
  <c r="P43" i="10" s="1"/>
  <c r="R14" i="2"/>
  <c r="D427" i="2"/>
  <c r="D426" i="2" s="1"/>
  <c r="D14" i="2"/>
  <c r="D13" i="2" s="1"/>
  <c r="D12" i="2" s="1"/>
  <c r="G17" i="1"/>
  <c r="G16" i="1" s="1"/>
  <c r="G48" i="1" s="1"/>
  <c r="G122" i="1"/>
  <c r="Q505" i="2"/>
  <c r="H13" i="2"/>
  <c r="H12" i="2" s="1"/>
  <c r="E18" i="1"/>
  <c r="R18" i="1"/>
  <c r="U13" i="2"/>
  <c r="U12" i="2" s="1"/>
  <c r="S505" i="2"/>
  <c r="E89" i="1"/>
  <c r="E88" i="1" s="1"/>
  <c r="E12" i="1"/>
  <c r="E107" i="1" s="1"/>
  <c r="M13" i="2"/>
  <c r="M12" i="2" s="1"/>
  <c r="J18" i="1"/>
  <c r="D18" i="1"/>
  <c r="G13" i="2"/>
  <c r="G12" i="2" s="1"/>
  <c r="R505" i="2"/>
  <c r="F124" i="1"/>
  <c r="H89" i="1"/>
  <c r="H88" i="1" s="1"/>
  <c r="H12" i="1"/>
  <c r="H107" i="1" s="1"/>
  <c r="T124" i="1"/>
  <c r="X19" i="1"/>
  <c r="T17" i="1"/>
  <c r="X9" i="3"/>
  <c r="X8" i="3" s="1"/>
  <c r="X12" i="3"/>
  <c r="X11" i="3" s="1"/>
  <c r="V19" i="1"/>
  <c r="V124" i="1" s="1"/>
  <c r="O124" i="1"/>
  <c r="O186" i="1" s="1"/>
  <c r="H124" i="1"/>
  <c r="H17" i="1"/>
  <c r="H16" i="1" s="1"/>
  <c r="H48" i="1" s="1"/>
  <c r="K124" i="1"/>
  <c r="K17" i="1"/>
  <c r="K16" i="1" s="1"/>
  <c r="K48" i="1" s="1"/>
  <c r="I115" i="1"/>
  <c r="I111" i="1"/>
  <c r="I89" i="1"/>
  <c r="I88" i="1" s="1"/>
  <c r="I12" i="1"/>
  <c r="I107" i="1" s="1"/>
  <c r="C12" i="1"/>
  <c r="C107" i="1" s="1"/>
  <c r="C89" i="1"/>
  <c r="C88" i="1" s="1"/>
  <c r="N8" i="3"/>
  <c r="G12" i="1"/>
  <c r="G107" i="1" s="1"/>
  <c r="G89" i="1"/>
  <c r="G88" i="1" s="1"/>
  <c r="U29" i="1"/>
  <c r="T8" i="3"/>
  <c r="Q13" i="1"/>
  <c r="R8" i="3"/>
  <c r="Q25" i="10"/>
  <c r="Q43" i="10" s="1"/>
  <c r="S9" i="3"/>
  <c r="M26" i="1"/>
  <c r="M16" i="1" s="1"/>
  <c r="M48" i="1" s="1"/>
  <c r="M128" i="1"/>
  <c r="P9" i="3"/>
  <c r="Z32" i="3"/>
  <c r="U128" i="1"/>
  <c r="U189" i="1" s="1"/>
  <c r="N128" i="1"/>
  <c r="V29" i="1"/>
  <c r="N26" i="1"/>
  <c r="O128" i="1"/>
  <c r="O26" i="1"/>
  <c r="Q128" i="1"/>
  <c r="X29" i="1"/>
  <c r="Y29" i="1" s="1"/>
  <c r="Q26" i="1"/>
  <c r="P199" i="1"/>
  <c r="P210" i="1" s="1"/>
  <c r="P148" i="1"/>
  <c r="W34" i="1"/>
  <c r="U33" i="1"/>
  <c r="T49" i="1"/>
  <c r="T96" i="1"/>
  <c r="B117" i="1"/>
  <c r="B121" i="1"/>
  <c r="C46" i="10"/>
  <c r="B92" i="1"/>
  <c r="B94" i="1" s="1"/>
  <c r="B97" i="1"/>
  <c r="B96" i="1" s="1"/>
  <c r="J46" i="10"/>
  <c r="J49" i="10" s="1"/>
  <c r="I117" i="1"/>
  <c r="I121" i="1"/>
  <c r="P128" i="1"/>
  <c r="P26" i="1"/>
  <c r="P49" i="1"/>
  <c r="P96" i="1"/>
  <c r="W45" i="1"/>
  <c r="U145" i="1"/>
  <c r="U207" i="1" s="1"/>
  <c r="Q199" i="1"/>
  <c r="Q210" i="1" s="1"/>
  <c r="Q148" i="1"/>
  <c r="T199" i="1"/>
  <c r="T210" i="1" s="1"/>
  <c r="T148" i="1"/>
  <c r="U124" i="1"/>
  <c r="Y19" i="1"/>
  <c r="U8" i="3"/>
  <c r="R13" i="1"/>
  <c r="B186" i="1"/>
  <c r="B195" i="1" s="1"/>
  <c r="B133" i="1"/>
  <c r="B134" i="1" s="1"/>
  <c r="F92" i="1"/>
  <c r="F94" i="1" s="1"/>
  <c r="F97" i="1"/>
  <c r="F96" i="1" s="1"/>
  <c r="C49" i="10"/>
  <c r="C50" i="10"/>
  <c r="I186" i="1"/>
  <c r="I195" i="1" s="1"/>
  <c r="I133" i="1"/>
  <c r="I92" i="1"/>
  <c r="I97" i="1"/>
  <c r="I96" i="1" s="1"/>
  <c r="Q10" i="3"/>
  <c r="N14" i="1" s="1"/>
  <c r="X14" i="1" s="1"/>
  <c r="M112" i="1"/>
  <c r="M90" i="1"/>
  <c r="M116" i="1"/>
  <c r="U92" i="1"/>
  <c r="M96" i="1"/>
  <c r="D8" i="3"/>
  <c r="T10" i="6" l="1"/>
  <c r="I93" i="1"/>
  <c r="I94" i="1" s="1"/>
  <c r="D20" i="4"/>
  <c r="D12" i="4"/>
  <c r="U61" i="1" s="1"/>
  <c r="V65" i="1"/>
  <c r="V64" i="1" s="1"/>
  <c r="V63" i="1" s="1"/>
  <c r="N64" i="1"/>
  <c r="X65" i="1"/>
  <c r="U65" i="1"/>
  <c r="M123" i="1"/>
  <c r="M185" i="1" s="1"/>
  <c r="X68" i="1"/>
  <c r="M64" i="1"/>
  <c r="M63" i="1" s="1"/>
  <c r="M85" i="1" s="1"/>
  <c r="D55" i="4"/>
  <c r="D54" i="4" s="1"/>
  <c r="M23" i="4"/>
  <c r="J103" i="1"/>
  <c r="AB15" i="4"/>
  <c r="J123" i="1"/>
  <c r="J185" i="1" s="1"/>
  <c r="U68" i="1"/>
  <c r="J64" i="1"/>
  <c r="J63" i="1" s="1"/>
  <c r="J85" i="1" s="1"/>
  <c r="U69" i="1"/>
  <c r="X69" i="1"/>
  <c r="J126" i="1"/>
  <c r="J187" i="1" s="1"/>
  <c r="D118" i="4"/>
  <c r="D117" i="4" s="1"/>
  <c r="D11" i="4"/>
  <c r="K59" i="1"/>
  <c r="K106" i="1" s="1"/>
  <c r="K90" i="1"/>
  <c r="K112" i="1"/>
  <c r="K116" i="1"/>
  <c r="U77" i="1"/>
  <c r="J76" i="1"/>
  <c r="J75" i="1" s="1"/>
  <c r="J86" i="1" s="1"/>
  <c r="X61" i="1"/>
  <c r="M59" i="1"/>
  <c r="X59" i="1" s="1"/>
  <c r="W91" i="1"/>
  <c r="Z18" i="3"/>
  <c r="H135" i="1"/>
  <c r="H119" i="1"/>
  <c r="I47" i="10"/>
  <c r="I50" i="10" s="1"/>
  <c r="Z52" i="3"/>
  <c r="O7" i="10"/>
  <c r="W7" i="10" s="1"/>
  <c r="H199" i="1"/>
  <c r="H210" i="1" s="1"/>
  <c r="H148" i="1"/>
  <c r="M9" i="3"/>
  <c r="M8" i="3" s="1"/>
  <c r="L135" i="1"/>
  <c r="M47" i="10"/>
  <c r="M50" i="10" s="1"/>
  <c r="L119" i="1"/>
  <c r="L91" i="1"/>
  <c r="W36" i="10"/>
  <c r="V37" i="10"/>
  <c r="I114" i="1"/>
  <c r="I118" i="1" s="1"/>
  <c r="D116" i="6"/>
  <c r="D115" i="6" s="1"/>
  <c r="D12" i="6" s="1"/>
  <c r="U14" i="1" s="1"/>
  <c r="D18" i="6"/>
  <c r="D14" i="6" s="1"/>
  <c r="J25" i="1"/>
  <c r="M14" i="6"/>
  <c r="K13" i="1"/>
  <c r="S13" i="1"/>
  <c r="V10" i="6"/>
  <c r="H149" i="1"/>
  <c r="M90" i="6"/>
  <c r="D101" i="6"/>
  <c r="D20" i="6"/>
  <c r="D275" i="6"/>
  <c r="X275" i="6" s="1"/>
  <c r="M19" i="6"/>
  <c r="J31" i="1"/>
  <c r="M7" i="10"/>
  <c r="M43" i="10" s="1"/>
  <c r="O279" i="6"/>
  <c r="O11" i="6"/>
  <c r="P279" i="6"/>
  <c r="P290" i="6" s="1"/>
  <c r="N7" i="10"/>
  <c r="I134" i="1"/>
  <c r="E132" i="1"/>
  <c r="E194" i="1" s="1"/>
  <c r="E26" i="1"/>
  <c r="F132" i="1"/>
  <c r="F194" i="1" s="1"/>
  <c r="F26" i="1"/>
  <c r="T90" i="1"/>
  <c r="T88" i="1" s="1"/>
  <c r="T12" i="1"/>
  <c r="E92" i="1"/>
  <c r="E97" i="1"/>
  <c r="E96" i="1" s="1"/>
  <c r="N49" i="1"/>
  <c r="N96" i="1"/>
  <c r="F17" i="1"/>
  <c r="N199" i="1"/>
  <c r="N210" i="1" s="1"/>
  <c r="N148" i="1"/>
  <c r="F13" i="1"/>
  <c r="I10" i="6"/>
  <c r="Q96" i="1"/>
  <c r="Q49" i="1"/>
  <c r="K104" i="1"/>
  <c r="K94" i="1"/>
  <c r="K149" i="1"/>
  <c r="M46" i="10"/>
  <c r="L117" i="1"/>
  <c r="L121" i="1"/>
  <c r="U147" i="1"/>
  <c r="U209" i="1" s="1"/>
  <c r="U41" i="1"/>
  <c r="D49" i="1"/>
  <c r="D96" i="1"/>
  <c r="R44" i="10"/>
  <c r="V26" i="10"/>
  <c r="S96" i="1"/>
  <c r="S49" i="1"/>
  <c r="J49" i="1"/>
  <c r="C212" i="1"/>
  <c r="C197" i="1"/>
  <c r="V20" i="10"/>
  <c r="V44" i="10" s="1"/>
  <c r="K44" i="10"/>
  <c r="C94" i="1"/>
  <c r="M199" i="1"/>
  <c r="M210" i="1" s="1"/>
  <c r="M148" i="1"/>
  <c r="O199" i="1"/>
  <c r="O210" i="1" s="1"/>
  <c r="O148" i="1"/>
  <c r="R49" i="1"/>
  <c r="R96" i="1"/>
  <c r="U32" i="1"/>
  <c r="U49" i="1" s="1"/>
  <c r="K197" i="1"/>
  <c r="K212" i="1"/>
  <c r="K213" i="1" s="1"/>
  <c r="F197" i="1"/>
  <c r="F212" i="1"/>
  <c r="L133" i="1"/>
  <c r="L184" i="1"/>
  <c r="L195" i="1" s="1"/>
  <c r="O93" i="1"/>
  <c r="O97" i="1"/>
  <c r="O96" i="1" s="1"/>
  <c r="S148" i="1"/>
  <c r="S199" i="1"/>
  <c r="S210" i="1" s="1"/>
  <c r="J199" i="1"/>
  <c r="J210" i="1" s="1"/>
  <c r="J148" i="1"/>
  <c r="J93" i="1"/>
  <c r="U99" i="1"/>
  <c r="U97" i="1" s="1"/>
  <c r="J97" i="1"/>
  <c r="E119" i="1"/>
  <c r="E91" i="1"/>
  <c r="F47" i="10"/>
  <c r="F50" i="10" s="1"/>
  <c r="E135" i="1"/>
  <c r="M135" i="1"/>
  <c r="M119" i="1"/>
  <c r="M91" i="1"/>
  <c r="N47" i="10"/>
  <c r="N50" i="10" s="1"/>
  <c r="O49" i="1"/>
  <c r="R199" i="1"/>
  <c r="R210" i="1" s="1"/>
  <c r="R148" i="1"/>
  <c r="R10" i="2"/>
  <c r="J17" i="1"/>
  <c r="J122" i="1"/>
  <c r="J184" i="1" s="1"/>
  <c r="S10" i="2"/>
  <c r="S9" i="2" s="1"/>
  <c r="R122" i="1"/>
  <c r="R17" i="1"/>
  <c r="H46" i="10"/>
  <c r="H49" i="10" s="1"/>
  <c r="G121" i="1"/>
  <c r="G117" i="1"/>
  <c r="C184" i="1"/>
  <c r="C195" i="1" s="1"/>
  <c r="C133" i="1"/>
  <c r="C134" i="1" s="1"/>
  <c r="S184" i="1"/>
  <c r="S195" i="1" s="1"/>
  <c r="S133" i="1"/>
  <c r="Q425" i="2"/>
  <c r="D17" i="1"/>
  <c r="D16" i="1" s="1"/>
  <c r="D48" i="1" s="1"/>
  <c r="D122" i="1"/>
  <c r="E122" i="1"/>
  <c r="E17" i="1"/>
  <c r="E16" i="1" s="1"/>
  <c r="E48" i="1" s="1"/>
  <c r="Q10" i="2"/>
  <c r="G184" i="1"/>
  <c r="G195" i="1" s="1"/>
  <c r="G133" i="1"/>
  <c r="G134" i="1" s="1"/>
  <c r="R13" i="2"/>
  <c r="R12" i="2" s="1"/>
  <c r="O18" i="1"/>
  <c r="D46" i="10"/>
  <c r="D49" i="10" s="1"/>
  <c r="C117" i="1"/>
  <c r="C121" i="1"/>
  <c r="S16" i="1"/>
  <c r="S48" i="1" s="1"/>
  <c r="S13" i="2"/>
  <c r="S12" i="2" s="1"/>
  <c r="P18" i="1"/>
  <c r="X14" i="2"/>
  <c r="X13" i="2" s="1"/>
  <c r="X12" i="2" s="1"/>
  <c r="Q13" i="2"/>
  <c r="Q12" i="2" s="1"/>
  <c r="N18" i="1"/>
  <c r="L46" i="10"/>
  <c r="L49" i="10" s="1"/>
  <c r="K121" i="1"/>
  <c r="K117" i="1"/>
  <c r="H117" i="1"/>
  <c r="H121" i="1"/>
  <c r="I46" i="10"/>
  <c r="I49" i="10" s="1"/>
  <c r="T16" i="1"/>
  <c r="T48" i="1" s="1"/>
  <c r="T186" i="1"/>
  <c r="T195" i="1" s="1"/>
  <c r="T133" i="1"/>
  <c r="T134" i="1" s="1"/>
  <c r="F186" i="1"/>
  <c r="F195" i="1" s="1"/>
  <c r="F133" i="1"/>
  <c r="K89" i="1"/>
  <c r="K88" i="1" s="1"/>
  <c r="K115" i="1"/>
  <c r="K114" i="1" s="1"/>
  <c r="K111" i="1"/>
  <c r="K12" i="1"/>
  <c r="K107" i="1" s="1"/>
  <c r="K186" i="1"/>
  <c r="K195" i="1" s="1"/>
  <c r="K133" i="1"/>
  <c r="H186" i="1"/>
  <c r="H195" i="1" s="1"/>
  <c r="H133" i="1"/>
  <c r="H134" i="1" s="1"/>
  <c r="Q12" i="1"/>
  <c r="Q89" i="1"/>
  <c r="Q88" i="1" s="1"/>
  <c r="S8" i="3"/>
  <c r="P13" i="1"/>
  <c r="M189" i="1"/>
  <c r="M195" i="1" s="1"/>
  <c r="M133" i="1"/>
  <c r="N46" i="10"/>
  <c r="M121" i="1"/>
  <c r="M117" i="1"/>
  <c r="V47" i="10"/>
  <c r="V50" i="10" s="1"/>
  <c r="R89" i="1"/>
  <c r="R88" i="1" s="1"/>
  <c r="R12" i="1"/>
  <c r="R107" i="1" s="1"/>
  <c r="U186" i="1"/>
  <c r="P135" i="1"/>
  <c r="P91" i="1"/>
  <c r="Q47" i="10"/>
  <c r="Q50" i="10" s="1"/>
  <c r="P189" i="1"/>
  <c r="W32" i="10"/>
  <c r="O25" i="10"/>
  <c r="I183" i="1"/>
  <c r="I196" i="1"/>
  <c r="B196" i="1"/>
  <c r="B183" i="1"/>
  <c r="N189" i="1"/>
  <c r="T135" i="1"/>
  <c r="U47" i="10"/>
  <c r="U50" i="10" s="1"/>
  <c r="T91" i="1"/>
  <c r="Q135" i="1"/>
  <c r="Q91" i="1"/>
  <c r="Q149" i="1" s="1"/>
  <c r="R47" i="10"/>
  <c r="P149" i="1"/>
  <c r="Q16" i="1"/>
  <c r="Q189" i="1"/>
  <c r="Q195" i="1" s="1"/>
  <c r="Q133" i="1"/>
  <c r="O189" i="1"/>
  <c r="V128" i="1"/>
  <c r="V26" i="1"/>
  <c r="M13" i="1"/>
  <c r="P8" i="3"/>
  <c r="Z8" i="3" s="1"/>
  <c r="V32" i="10"/>
  <c r="N25" i="10"/>
  <c r="N116" i="1"/>
  <c r="N90" i="1"/>
  <c r="N112" i="1"/>
  <c r="V14" i="1"/>
  <c r="M13" i="6" l="1"/>
  <c r="Z13" i="6" s="1"/>
  <c r="U76" i="1"/>
  <c r="U75" i="1" s="1"/>
  <c r="W77" i="1"/>
  <c r="U137" i="1"/>
  <c r="J106" i="1"/>
  <c r="U103" i="1"/>
  <c r="U101" i="1" s="1"/>
  <c r="U96" i="1" s="1"/>
  <c r="J101" i="1"/>
  <c r="U64" i="1"/>
  <c r="U63" i="1" s="1"/>
  <c r="Y65" i="1"/>
  <c r="N63" i="1"/>
  <c r="X64" i="1"/>
  <c r="Y61" i="1"/>
  <c r="J100" i="1"/>
  <c r="U86" i="1"/>
  <c r="U60" i="1"/>
  <c r="D10" i="4"/>
  <c r="AB16" i="4" s="1"/>
  <c r="Y69" i="1"/>
  <c r="W78" i="1"/>
  <c r="U126" i="1"/>
  <c r="U187" i="1" s="1"/>
  <c r="Y68" i="1"/>
  <c r="U123" i="1"/>
  <c r="U185" i="1" s="1"/>
  <c r="M106" i="1"/>
  <c r="M49" i="10"/>
  <c r="L149" i="1"/>
  <c r="L104" i="1"/>
  <c r="L94" i="1"/>
  <c r="L197" i="1"/>
  <c r="L212" i="1"/>
  <c r="L213" i="1" s="1"/>
  <c r="H212" i="1"/>
  <c r="H213" i="1" s="1"/>
  <c r="H197" i="1"/>
  <c r="U25" i="1"/>
  <c r="X25" i="1"/>
  <c r="Y25" i="1" s="1"/>
  <c r="U90" i="1"/>
  <c r="U116" i="1"/>
  <c r="Y14" i="1"/>
  <c r="S12" i="1"/>
  <c r="S107" i="1" s="1"/>
  <c r="S89" i="1"/>
  <c r="S88" i="1" s="1"/>
  <c r="S134" i="1" s="1"/>
  <c r="X31" i="1"/>
  <c r="U31" i="1"/>
  <c r="J132" i="1"/>
  <c r="J26" i="1"/>
  <c r="X26" i="1" s="1"/>
  <c r="D19" i="6"/>
  <c r="D13" i="6" s="1"/>
  <c r="Z26" i="6"/>
  <c r="K7" i="10"/>
  <c r="K43" i="10" s="1"/>
  <c r="M11" i="6"/>
  <c r="V7" i="10"/>
  <c r="D90" i="6"/>
  <c r="D267" i="6"/>
  <c r="D269" i="6" s="1"/>
  <c r="D273" i="6" s="1"/>
  <c r="O290" i="6"/>
  <c r="L13" i="1"/>
  <c r="O10" i="6"/>
  <c r="F16" i="1"/>
  <c r="F48" i="1" s="1"/>
  <c r="R50" i="10"/>
  <c r="T107" i="1"/>
  <c r="O47" i="10"/>
  <c r="O50" i="10" s="1"/>
  <c r="N91" i="1"/>
  <c r="N104" i="1" s="1"/>
  <c r="N135" i="1"/>
  <c r="N119" i="1"/>
  <c r="F89" i="1"/>
  <c r="F88" i="1" s="1"/>
  <c r="F134" i="1" s="1"/>
  <c r="F12" i="1"/>
  <c r="F107" i="1" s="1"/>
  <c r="E197" i="1"/>
  <c r="E212" i="1"/>
  <c r="E149" i="1"/>
  <c r="E94" i="1"/>
  <c r="M149" i="1"/>
  <c r="J135" i="1"/>
  <c r="K47" i="10"/>
  <c r="K50" i="10" s="1"/>
  <c r="J91" i="1"/>
  <c r="J94" i="1" s="1"/>
  <c r="S135" i="1"/>
  <c r="T47" i="10"/>
  <c r="T50" i="10" s="1"/>
  <c r="S91" i="1"/>
  <c r="S149" i="1" s="1"/>
  <c r="L183" i="1"/>
  <c r="L196" i="1"/>
  <c r="O135" i="1"/>
  <c r="P47" i="10"/>
  <c r="P50" i="10" s="1"/>
  <c r="O91" i="1"/>
  <c r="O119" i="1"/>
  <c r="M94" i="1"/>
  <c r="M104" i="1"/>
  <c r="M197" i="1"/>
  <c r="M212" i="1"/>
  <c r="M213" i="1" s="1"/>
  <c r="U93" i="1"/>
  <c r="J149" i="1"/>
  <c r="R135" i="1"/>
  <c r="R91" i="1"/>
  <c r="S47" i="10"/>
  <c r="S50" i="10" s="1"/>
  <c r="J96" i="1"/>
  <c r="E47" i="10"/>
  <c r="E50" i="10" s="1"/>
  <c r="D91" i="1"/>
  <c r="D135" i="1"/>
  <c r="D119" i="1"/>
  <c r="N17" i="1"/>
  <c r="N16" i="1" s="1"/>
  <c r="N48" i="1" s="1"/>
  <c r="U18" i="1"/>
  <c r="N122" i="1"/>
  <c r="V18" i="1"/>
  <c r="S121" i="1"/>
  <c r="T46" i="10"/>
  <c r="T49" i="10" s="1"/>
  <c r="O122" i="1"/>
  <c r="O17" i="1"/>
  <c r="O16" i="1" s="1"/>
  <c r="O48" i="1" s="1"/>
  <c r="Q9" i="2"/>
  <c r="X10" i="2"/>
  <c r="X9" i="2" s="1"/>
  <c r="N13" i="1"/>
  <c r="F46" i="10"/>
  <c r="F49" i="10" s="1"/>
  <c r="E117" i="1"/>
  <c r="E121" i="1"/>
  <c r="D133" i="1"/>
  <c r="D134" i="1" s="1"/>
  <c r="D184" i="1"/>
  <c r="D195" i="1" s="1"/>
  <c r="G196" i="1"/>
  <c r="G183" i="1"/>
  <c r="R16" i="1"/>
  <c r="R48" i="1" s="1"/>
  <c r="R9" i="2"/>
  <c r="O13" i="1"/>
  <c r="P17" i="1"/>
  <c r="P122" i="1"/>
  <c r="X18" i="1"/>
  <c r="C183" i="1"/>
  <c r="C196" i="1"/>
  <c r="E184" i="1"/>
  <c r="E195" i="1" s="1"/>
  <c r="E133" i="1"/>
  <c r="E134" i="1" s="1"/>
  <c r="E46" i="10"/>
  <c r="E49" i="10" s="1"/>
  <c r="D117" i="1"/>
  <c r="D121" i="1"/>
  <c r="W28" i="10"/>
  <c r="V28" i="10"/>
  <c r="R133" i="1"/>
  <c r="R134" i="1" s="1"/>
  <c r="R184" i="1"/>
  <c r="R195" i="1" s="1"/>
  <c r="K134" i="1"/>
  <c r="T121" i="1"/>
  <c r="U46" i="10"/>
  <c r="U49" i="10" s="1"/>
  <c r="H196" i="1"/>
  <c r="H183" i="1"/>
  <c r="K118" i="1"/>
  <c r="K183" i="1"/>
  <c r="K196" i="1"/>
  <c r="Q134" i="1"/>
  <c r="Q107" i="1"/>
  <c r="P12" i="1"/>
  <c r="P89" i="1"/>
  <c r="P88" i="1" s="1"/>
  <c r="M196" i="1"/>
  <c r="M183" i="1"/>
  <c r="M89" i="1"/>
  <c r="M88" i="1" s="1"/>
  <c r="M134" i="1" s="1"/>
  <c r="M115" i="1"/>
  <c r="M114" i="1" s="1"/>
  <c r="M118" i="1" s="1"/>
  <c r="M111" i="1"/>
  <c r="M12" i="1"/>
  <c r="Q48" i="1"/>
  <c r="Q197" i="1"/>
  <c r="Q212" i="1"/>
  <c r="Q213" i="1" s="1"/>
  <c r="W25" i="10"/>
  <c r="O43" i="10"/>
  <c r="P212" i="1"/>
  <c r="P213" i="1" s="1"/>
  <c r="P197" i="1"/>
  <c r="V25" i="10"/>
  <c r="V43" i="10" s="1"/>
  <c r="N43" i="10"/>
  <c r="N49" i="10" s="1"/>
  <c r="Q94" i="1"/>
  <c r="Q104" i="1"/>
  <c r="T104" i="1"/>
  <c r="T94" i="1"/>
  <c r="T212" i="1"/>
  <c r="T213" i="1" s="1"/>
  <c r="T197" i="1"/>
  <c r="T149" i="1"/>
  <c r="P104" i="1"/>
  <c r="P94" i="1"/>
  <c r="W14" i="1"/>
  <c r="V90" i="1"/>
  <c r="Y64" i="1" l="1"/>
  <c r="U100" i="1"/>
  <c r="U135" i="1"/>
  <c r="U212" i="1" s="1"/>
  <c r="U91" i="1"/>
  <c r="W92" i="1" s="1"/>
  <c r="U119" i="1"/>
  <c r="U94" i="1"/>
  <c r="U59" i="1"/>
  <c r="Y59" i="1" s="1"/>
  <c r="Y60" i="1"/>
  <c r="N85" i="1"/>
  <c r="X63" i="1"/>
  <c r="Y63" i="1" s="1"/>
  <c r="U148" i="1"/>
  <c r="U149" i="1" s="1"/>
  <c r="U199" i="1"/>
  <c r="D279" i="6"/>
  <c r="D11" i="6"/>
  <c r="U26" i="1"/>
  <c r="Y26" i="1" s="1"/>
  <c r="Y31" i="1"/>
  <c r="U132" i="1"/>
  <c r="U194" i="1" s="1"/>
  <c r="W46" i="1"/>
  <c r="J16" i="1"/>
  <c r="J48" i="1" s="1"/>
  <c r="M10" i="6"/>
  <c r="Z7" i="6" s="1"/>
  <c r="Z15" i="6" s="1"/>
  <c r="J13" i="1"/>
  <c r="J194" i="1"/>
  <c r="J195" i="1" s="1"/>
  <c r="J133" i="1"/>
  <c r="L115" i="1"/>
  <c r="L114" i="1" s="1"/>
  <c r="L118" i="1" s="1"/>
  <c r="L111" i="1"/>
  <c r="L12" i="1"/>
  <c r="L107" i="1" s="1"/>
  <c r="L89" i="1"/>
  <c r="L88" i="1" s="1"/>
  <c r="L134" i="1" s="1"/>
  <c r="G46" i="10"/>
  <c r="G49" i="10" s="1"/>
  <c r="F121" i="1"/>
  <c r="F117" i="1"/>
  <c r="N212" i="1"/>
  <c r="N213" i="1" s="1"/>
  <c r="N197" i="1"/>
  <c r="N149" i="1"/>
  <c r="N94" i="1"/>
  <c r="D149" i="1"/>
  <c r="D94" i="1"/>
  <c r="R94" i="1"/>
  <c r="R104" i="1"/>
  <c r="O149" i="1"/>
  <c r="O94" i="1"/>
  <c r="O104" i="1"/>
  <c r="O212" i="1"/>
  <c r="O213" i="1" s="1"/>
  <c r="O197" i="1"/>
  <c r="J197" i="1"/>
  <c r="J212" i="1"/>
  <c r="J213" i="1" s="1"/>
  <c r="J104" i="1"/>
  <c r="D212" i="1"/>
  <c r="D197" i="1"/>
  <c r="R212" i="1"/>
  <c r="R213" i="1" s="1"/>
  <c r="R197" i="1"/>
  <c r="W93" i="1"/>
  <c r="U104" i="1"/>
  <c r="S104" i="1"/>
  <c r="S94" i="1"/>
  <c r="S197" i="1"/>
  <c r="S212" i="1"/>
  <c r="S213" i="1" s="1"/>
  <c r="R149" i="1"/>
  <c r="V13" i="1"/>
  <c r="V12" i="1" s="1"/>
  <c r="W46" i="10" s="1"/>
  <c r="X17" i="1"/>
  <c r="P16" i="1"/>
  <c r="O111" i="1"/>
  <c r="O115" i="1"/>
  <c r="O114" i="1" s="1"/>
  <c r="O12" i="1"/>
  <c r="O89" i="1"/>
  <c r="O88" i="1" s="1"/>
  <c r="S46" i="10"/>
  <c r="S49" i="10" s="1"/>
  <c r="R121" i="1"/>
  <c r="E196" i="1"/>
  <c r="E183" i="1"/>
  <c r="O121" i="1"/>
  <c r="O117" i="1"/>
  <c r="O118" i="1" s="1"/>
  <c r="P46" i="10"/>
  <c r="P49" i="10" s="1"/>
  <c r="V122" i="1"/>
  <c r="V133" i="1" s="1"/>
  <c r="V17" i="1"/>
  <c r="V16" i="1" s="1"/>
  <c r="U17" i="1"/>
  <c r="U122" i="1"/>
  <c r="Y18" i="1"/>
  <c r="D183" i="1"/>
  <c r="D196" i="1"/>
  <c r="P184" i="1"/>
  <c r="P195" i="1" s="1"/>
  <c r="P133" i="1"/>
  <c r="P134" i="1" s="1"/>
  <c r="N115" i="1"/>
  <c r="N114" i="1" s="1"/>
  <c r="N89" i="1"/>
  <c r="N88" i="1" s="1"/>
  <c r="N111" i="1"/>
  <c r="N12" i="1"/>
  <c r="O184" i="1"/>
  <c r="O195" i="1" s="1"/>
  <c r="O133" i="1"/>
  <c r="O134" i="1" s="1"/>
  <c r="S183" i="1"/>
  <c r="S196" i="1"/>
  <c r="N184" i="1"/>
  <c r="N195" i="1" s="1"/>
  <c r="N133" i="1"/>
  <c r="N121" i="1"/>
  <c r="O46" i="10"/>
  <c r="O49" i="10" s="1"/>
  <c r="N117" i="1"/>
  <c r="N118" i="1" s="1"/>
  <c r="T196" i="1"/>
  <c r="T183" i="1"/>
  <c r="P107" i="1"/>
  <c r="M107" i="1"/>
  <c r="W43" i="10"/>
  <c r="R46" i="10"/>
  <c r="R49" i="10" s="1"/>
  <c r="Q121" i="1"/>
  <c r="U210" i="1" l="1"/>
  <c r="U213" i="1" s="1"/>
  <c r="U197" i="1"/>
  <c r="V85" i="1"/>
  <c r="W85" i="1" s="1"/>
  <c r="N106" i="1"/>
  <c r="U85" i="1"/>
  <c r="J89" i="1"/>
  <c r="J88" i="1" s="1"/>
  <c r="J134" i="1" s="1"/>
  <c r="J12" i="1"/>
  <c r="J107" i="1" s="1"/>
  <c r="X13" i="1"/>
  <c r="D290" i="6"/>
  <c r="X290" i="6" s="1"/>
  <c r="X279" i="6"/>
  <c r="J121" i="1"/>
  <c r="K46" i="10"/>
  <c r="K49" i="10" s="1"/>
  <c r="V194" i="1"/>
  <c r="AA194" i="1"/>
  <c r="D10" i="6"/>
  <c r="Z20" i="6" s="1"/>
  <c r="U13" i="1"/>
  <c r="F196" i="1"/>
  <c r="F183" i="1"/>
  <c r="W13" i="1"/>
  <c r="W49" i="10"/>
  <c r="V89" i="1"/>
  <c r="V88" i="1" s="1"/>
  <c r="N183" i="1"/>
  <c r="N196" i="1"/>
  <c r="U184" i="1"/>
  <c r="U195" i="1" s="1"/>
  <c r="U133" i="1"/>
  <c r="O196" i="1"/>
  <c r="O183" i="1"/>
  <c r="O107" i="1"/>
  <c r="X12" i="1"/>
  <c r="N107" i="1"/>
  <c r="N134" i="1"/>
  <c r="U16" i="1"/>
  <c r="U48" i="1" s="1"/>
  <c r="Y17" i="1"/>
  <c r="R196" i="1"/>
  <c r="R183" i="1"/>
  <c r="P48" i="1"/>
  <c r="X16" i="1"/>
  <c r="Q183" i="1"/>
  <c r="Q196" i="1"/>
  <c r="U106" i="1" l="1"/>
  <c r="X85" i="1"/>
  <c r="U115" i="1"/>
  <c r="U114" i="1" s="1"/>
  <c r="U89" i="1"/>
  <c r="U88" i="1" s="1"/>
  <c r="U134" i="1" s="1"/>
  <c r="U12" i="1"/>
  <c r="U107" i="1" s="1"/>
  <c r="Y13" i="1"/>
  <c r="Y12" i="1"/>
  <c r="J196" i="1"/>
  <c r="J183" i="1"/>
  <c r="Y16" i="1"/>
  <c r="Q46" i="10"/>
  <c r="Q49" i="10" s="1"/>
  <c r="P121" i="1"/>
  <c r="V48" i="1"/>
  <c r="V121" i="1" s="1"/>
  <c r="W48" i="1"/>
  <c r="U117" i="1"/>
  <c r="U118" i="1" s="1"/>
  <c r="U121" i="1"/>
  <c r="V46" i="10"/>
  <c r="V49" i="10" s="1"/>
  <c r="U183" i="1" l="1"/>
  <c r="U196" i="1"/>
  <c r="W50" i="1"/>
  <c r="X50" i="1" s="1"/>
  <c r="X48" i="1"/>
  <c r="P196" i="1"/>
  <c r="P183" i="1"/>
  <c r="D19" i="4"/>
  <c r="D14" i="4" s="1"/>
  <c r="D13" i="4" s="1"/>
</calcChain>
</file>

<file path=xl/comments1.xml><?xml version="1.0" encoding="utf-8"?>
<comments xmlns="http://schemas.openxmlformats.org/spreadsheetml/2006/main">
  <authors>
    <author xml:space="preserve"> Wioletta Stachera</author>
  </authors>
  <commentList>
    <comment ref="K1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Wioletta Stachera:</t>
        </r>
        <r>
          <rPr>
            <sz val="9"/>
            <color indexed="81"/>
            <rFont val="Tahoma"/>
            <family val="2"/>
            <charset val="238"/>
          </rPr>
          <t xml:space="preserve">
czerwona kolumna do usunięcia po pobraniu danych</t>
        </r>
      </text>
    </comment>
    <comment ref="K5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Wioletta Stachera:</t>
        </r>
        <r>
          <rPr>
            <sz val="9"/>
            <color indexed="81"/>
            <rFont val="Tahoma"/>
            <family val="2"/>
            <charset val="238"/>
          </rPr>
          <t xml:space="preserve">
czerwona kolumna do usunięcia po pobraniu danych</t>
        </r>
      </text>
    </comment>
  </commentList>
</comments>
</file>

<file path=xl/comments2.xml><?xml version="1.0" encoding="utf-8"?>
<comments xmlns="http://schemas.openxmlformats.org/spreadsheetml/2006/main">
  <authors>
    <author>WStachera</author>
    <author>Magdalena Szczerba</author>
  </authors>
  <commentList>
    <comment ref="J32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od 2011 r. kontynuacja projektu</t>
        </r>
      </text>
    </comment>
    <comment ref="J52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od 2011 r. kontynuacja projektu</t>
        </r>
      </text>
    </comment>
    <comment ref="I128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21.176 zł</t>
        </r>
      </text>
    </comment>
    <comment ref="J128" authorId="1">
      <text>
        <r>
          <rPr>
            <b/>
            <sz val="8"/>
            <color indexed="81"/>
            <rFont val="Tahoma"/>
            <family val="2"/>
            <charset val="238"/>
          </rPr>
          <t>Magdalena Szczerba:</t>
        </r>
        <r>
          <rPr>
            <sz val="8"/>
            <color indexed="81"/>
            <rFont val="Tahoma"/>
            <family val="2"/>
            <charset val="238"/>
          </rPr>
          <t xml:space="preserve">
w tym zakupy inwest. 39.312 zł
</t>
        </r>
      </text>
    </comment>
    <comment ref="I140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21.176 zł</t>
        </r>
      </text>
    </comment>
    <comment ref="J140" authorId="1">
      <text>
        <r>
          <rPr>
            <b/>
            <sz val="8"/>
            <color indexed="81"/>
            <rFont val="Tahoma"/>
            <family val="2"/>
            <charset val="238"/>
          </rPr>
          <t>Magdalena Szczerba:</t>
        </r>
        <r>
          <rPr>
            <sz val="8"/>
            <color indexed="81"/>
            <rFont val="Tahoma"/>
            <family val="2"/>
            <charset val="238"/>
          </rPr>
          <t xml:space="preserve">
w tym zakupy inwest. 39.312 zł
</t>
        </r>
      </text>
    </comment>
    <comment ref="I152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21.176 zł</t>
        </r>
      </text>
    </comment>
    <comment ref="J152" authorId="1">
      <text>
        <r>
          <rPr>
            <b/>
            <sz val="8"/>
            <color indexed="81"/>
            <rFont val="Tahoma"/>
            <family val="2"/>
            <charset val="238"/>
          </rPr>
          <t>Magdalena Szczerba:</t>
        </r>
        <r>
          <rPr>
            <sz val="8"/>
            <color indexed="81"/>
            <rFont val="Tahoma"/>
            <family val="2"/>
            <charset val="238"/>
          </rPr>
          <t xml:space="preserve">
w tym zakupy inwest. 39.312 zł
</t>
        </r>
      </text>
    </comment>
    <comment ref="I164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21.176 zł</t>
        </r>
      </text>
    </comment>
    <comment ref="J164" authorId="1">
      <text>
        <r>
          <rPr>
            <b/>
            <sz val="8"/>
            <color indexed="81"/>
            <rFont val="Tahoma"/>
            <family val="2"/>
            <charset val="238"/>
          </rPr>
          <t>Magdalena Szczerba:</t>
        </r>
        <r>
          <rPr>
            <sz val="8"/>
            <color indexed="81"/>
            <rFont val="Tahoma"/>
            <family val="2"/>
            <charset val="238"/>
          </rPr>
          <t xml:space="preserve">
w tym zakupy inwest. 39.312 zł
</t>
        </r>
      </text>
    </comment>
  </commentList>
</comments>
</file>

<file path=xl/comments3.xml><?xml version="1.0" encoding="utf-8"?>
<comments xmlns="http://schemas.openxmlformats.org/spreadsheetml/2006/main">
  <authors>
    <author xml:space="preserve"> Wioletta Stachera</author>
  </authors>
  <commentList>
    <comment ref="P24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Wioletta Stachera:</t>
        </r>
        <r>
          <rPr>
            <sz val="9"/>
            <color indexed="81"/>
            <rFont val="Tahoma"/>
            <family val="2"/>
            <charset val="238"/>
          </rPr>
          <t xml:space="preserve">
kwota 8.150 do usunięcia
</t>
        </r>
      </text>
    </comment>
  </commentList>
</comments>
</file>

<file path=xl/comments4.xml><?xml version="1.0" encoding="utf-8"?>
<comments xmlns="http://schemas.openxmlformats.org/spreadsheetml/2006/main">
  <authors>
    <author>WStachera</author>
  </authors>
  <commentList>
    <comment ref="I104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59.320 zł</t>
        </r>
      </text>
    </comment>
    <comment ref="I106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latach 2010 - 2013 podatek VAT niekwalifikowalny (bez refundacji po stronie dochodów)</t>
        </r>
      </text>
    </comment>
    <comment ref="I119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59.320 zł</t>
        </r>
      </text>
    </comment>
    <comment ref="M119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59.320 zł</t>
        </r>
      </text>
    </comment>
  </commentList>
</comments>
</file>

<file path=xl/sharedStrings.xml><?xml version="1.0" encoding="utf-8"?>
<sst xmlns="http://schemas.openxmlformats.org/spreadsheetml/2006/main" count="3829" uniqueCount="597">
  <si>
    <t>ZESTAWIENIE DOCHODÓW I WYDATKÓW  PLANOWANYCH  NA  PRZEDSIĘWZIĘCIA FINANSOWANE
 ZE ŚRODKÓW WŁASNYCH ORAZ PRZY WSPÓŁUDZIALE ŚRODKÓW, O KTÓRYCH MOWA W ART. 5 UST. 1 PKT 2 I 3 UFP, WG  ŹRÓDEŁ FINANSOWANIA</t>
  </si>
  <si>
    <t>1. ZBIORCZE ZESTAWIENIE DOCHODÓW I WYDATKÓW PRZEDSIĘWZIĘĆ FINANSOWANYCH  PRZY WSPÓŁUDZIALE ŚRODKÓW, O KTÓRYCH MOWA W ART. 5 UST. 1 PKT 2 I 3 UFP  WG ŹRÓDEŁ FINANSOWANIA</t>
  </si>
  <si>
    <t>Zrealizowane nakłady/uzyskane dochody</t>
  </si>
  <si>
    <t>Razem 
w latach planu</t>
  </si>
  <si>
    <t>Wyszczególnienie</t>
  </si>
  <si>
    <t>do 2009 r.</t>
  </si>
  <si>
    <t>2007 r.</t>
  </si>
  <si>
    <t>2008 r.</t>
  </si>
  <si>
    <t>2009 r.</t>
  </si>
  <si>
    <t>2010 r.</t>
  </si>
  <si>
    <t>2011 r.</t>
  </si>
  <si>
    <t>2012 r.</t>
  </si>
  <si>
    <t>2013 r.</t>
  </si>
  <si>
    <t>2014 r.</t>
  </si>
  <si>
    <t>2015 r.</t>
  </si>
  <si>
    <t>2016 r.</t>
  </si>
  <si>
    <t>2017 r.</t>
  </si>
  <si>
    <t>2018 r.</t>
  </si>
  <si>
    <t>Wydatki budżetu ogółem, z tego:</t>
  </si>
  <si>
    <t xml:space="preserve"> - wydatki  bieżące </t>
  </si>
  <si>
    <t xml:space="preserve"> - wydatki majątkowe</t>
  </si>
  <si>
    <t>Wydatki ogółem, z tego:</t>
  </si>
  <si>
    <t>środki z budżetu krajowego, z tego:</t>
  </si>
  <si>
    <t>środki z budżetu województwa</t>
  </si>
  <si>
    <t>dotacje celowe z budżetu państwa</t>
  </si>
  <si>
    <t xml:space="preserve">dotacje z budżetu państwa na zadania zlecone </t>
  </si>
  <si>
    <t>dotacje celowe od innych jst</t>
  </si>
  <si>
    <t xml:space="preserve">środki z funduszy </t>
  </si>
  <si>
    <t>dotacje z budżetu państwa - kontrakt wojewódzki</t>
  </si>
  <si>
    <t>środki z budżetu UE, z tego:</t>
  </si>
  <si>
    <t xml:space="preserve">środki z innych źródeł </t>
  </si>
  <si>
    <t>środki z Unii Europejskiej</t>
  </si>
  <si>
    <t>dotacje celowe / płatności z UE</t>
  </si>
  <si>
    <t>Dochody ogółem, z tego:</t>
  </si>
  <si>
    <t>X</t>
  </si>
  <si>
    <t xml:space="preserve">środki z budżetu krajowego, z tego: </t>
  </si>
  <si>
    <t xml:space="preserve">środki na wkład własny krajowy </t>
  </si>
  <si>
    <t>środki na dofinansowanie własnych inwestycji pozyskane z innych źródeł</t>
  </si>
  <si>
    <t>Wydatki z budżetu województwa ogółem</t>
  </si>
  <si>
    <t>Dochody budżetu województwa ogółem</t>
  </si>
  <si>
    <t>2. ZBIORCZE  ZESTAWIENIE DOCHODÓW I WYDATKÓW  POZOSTAŁYCH  PRZEDSIĘWZIĘĆ  WG  ŹRÓDEŁ FINANSOWANIA</t>
  </si>
  <si>
    <t xml:space="preserve"> - wydatki majątkowe </t>
  </si>
  <si>
    <t>środki z budżetu województwa *</t>
  </si>
  <si>
    <t>środki własne jos (poza budżetem)</t>
  </si>
  <si>
    <t>dotacja z budżetu województwa (m.in. dla jos)</t>
  </si>
  <si>
    <t>dotacje celowe z budżetu państwa (poza budżetem)</t>
  </si>
  <si>
    <t>dotacje celowe / płatności z UE (poza budżetem)</t>
  </si>
  <si>
    <t>VAT niekwalifikowalny we WPROW</t>
  </si>
  <si>
    <t>RAZEM WYDATKI BUDŻETU WOJEWÓDZTWA</t>
  </si>
  <si>
    <t xml:space="preserve"> - WYDATKI BIEŻĄCE </t>
  </si>
  <si>
    <t xml:space="preserve"> - WYDATKI MAJĄTKOWE</t>
  </si>
  <si>
    <t>RAZEM DOCHODY BUDŻETU WOJEWÓDZTWA</t>
  </si>
  <si>
    <t xml:space="preserve"> - DOCHODY BIEŻĄCE</t>
  </si>
  <si>
    <t xml:space="preserve"> - DOCHODY MAJĄTKOWE</t>
  </si>
  <si>
    <t>sprawdzenie</t>
  </si>
  <si>
    <t>Część I - UE</t>
  </si>
  <si>
    <t>DOCHODY BUDŻETU WOJEWÓDZTWA -RAZEM</t>
  </si>
  <si>
    <t xml:space="preserve"> - DOCHODY BIEĄŻCE</t>
  </si>
  <si>
    <t>Część II - POZOSTAŁE</t>
  </si>
  <si>
    <t>Razem</t>
  </si>
  <si>
    <t>Soprawdzenie z PlanemB i Bestią (bez pozabudżetowych)</t>
  </si>
  <si>
    <t>sprawdzenie   wydatki</t>
  </si>
  <si>
    <t>sprawdzenie    DOCHODY</t>
  </si>
  <si>
    <t xml:space="preserve">środki z budżetu województwa </t>
  </si>
  <si>
    <t>dotacje celowe dla jos</t>
  </si>
  <si>
    <t>dotacje z budżetu państwa na zadania zlecone - wkład własny</t>
  </si>
  <si>
    <t>środki z funduszy celowych</t>
  </si>
  <si>
    <t>dotacje z budżetu państwa na zadania zlecone -wkład unijny</t>
  </si>
  <si>
    <t>środki na wkład własny krajowy</t>
  </si>
  <si>
    <t>dotacje z budżetu państwa na zadania zlecone (WK)</t>
  </si>
  <si>
    <t>dotacje z budżetu państwa na zadania zlecone (WE)</t>
  </si>
  <si>
    <t>dotacje z budżetu państwa na zadania zlecone  (WK)</t>
  </si>
  <si>
    <t>dotacje z budżetu państwa na zadania zlecone  (WE)</t>
  </si>
  <si>
    <t xml:space="preserve">ZMIANY WYDATKI </t>
  </si>
  <si>
    <t xml:space="preserve">ZMIANY DOCHODY </t>
  </si>
  <si>
    <t>x</t>
  </si>
  <si>
    <t>środki z funduszy</t>
  </si>
  <si>
    <t>1.</t>
  </si>
  <si>
    <t>2.</t>
  </si>
  <si>
    <t>3.</t>
  </si>
  <si>
    <t>4.</t>
  </si>
  <si>
    <t>5.</t>
  </si>
  <si>
    <t xml:space="preserve"> </t>
  </si>
  <si>
    <t>Koncepcja obejścia m Gryfice w ciągu drogi woj. Nr 105 (zachodnie obejscie Gryfic  
w powiązaniu  z drogą  nr 110, drogami gminnymi i powiatowymi)</t>
  </si>
  <si>
    <r>
      <t xml:space="preserve">Tabela Nr 6A  </t>
    </r>
    <r>
      <rPr>
        <i/>
        <sz val="12"/>
        <rFont val="Arial CE"/>
        <charset val="238"/>
      </rPr>
      <t>do Załącznika Nr 3</t>
    </r>
  </si>
  <si>
    <t>Klasyfikacja budżetowa</t>
  </si>
  <si>
    <t>Planowana wartość kosztorysowa zadania / planowane dochody uzyskane na realizację zadania</t>
  </si>
  <si>
    <t xml:space="preserve">Jednostka organizacyjna odpowiedzialna
za realizację </t>
  </si>
  <si>
    <t>Lp</t>
  </si>
  <si>
    <t>Nazwa zadania 
(Lokalizacja)</t>
  </si>
  <si>
    <t>Wydatki z budżetu ogółem, z tego:</t>
  </si>
  <si>
    <t xml:space="preserve"> - wydatki bieżące</t>
  </si>
  <si>
    <t xml:space="preserve">dotacje celowe z budżetu państwa </t>
  </si>
  <si>
    <t>środki z innych źródeł</t>
  </si>
  <si>
    <t>środki na dofinansowanie inwestycji pozyskane z innych źródeł</t>
  </si>
  <si>
    <t>majątkowe</t>
  </si>
  <si>
    <t>KONTRAKT</t>
  </si>
  <si>
    <t xml:space="preserve">ZZDW w Koszalinie
</t>
  </si>
  <si>
    <t>rozdz. 60013</t>
  </si>
  <si>
    <t>rozdz. 75861</t>
  </si>
  <si>
    <t>ZZDW / WIiT
w ramach RPO</t>
  </si>
  <si>
    <t>ZZDW w Koszalinie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</si>
  <si>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</si>
  <si>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</si>
  <si>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</si>
  <si>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</si>
  <si>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</si>
  <si>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</si>
  <si>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</si>
  <si>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</si>
  <si>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</si>
  <si>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</si>
  <si>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</si>
  <si>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 xml:space="preserve">środki z budżetu UE, z tego: </t>
  </si>
  <si>
    <t>rozdz. 60001</t>
  </si>
  <si>
    <t>18.</t>
  </si>
  <si>
    <t>środki z budżetu UE, w tego:</t>
  </si>
  <si>
    <t>ZZDWw Koszalinie</t>
  </si>
  <si>
    <t>WIiT</t>
  </si>
  <si>
    <t>PROJEKTY  REALIZOWANE  W  RAMACH PO INFRASTRUKTURA I ŚRODOWISKO</t>
  </si>
  <si>
    <t>20.</t>
  </si>
  <si>
    <t xml:space="preserve">WIiT </t>
  </si>
  <si>
    <t>środki z funduszy celowych - Fundusz Kolejowy</t>
  </si>
  <si>
    <t xml:space="preserve">dotacje celowe z budzetu państwa </t>
  </si>
  <si>
    <t>pozostałe środki</t>
  </si>
  <si>
    <t>bieżące</t>
  </si>
  <si>
    <t>WWT</t>
  </si>
  <si>
    <t>rozdz. 60095</t>
  </si>
  <si>
    <t>rodz. 60095</t>
  </si>
  <si>
    <t>II. POZOSTAŁE  PRZEDSIĘWZIĘCIA W ZAKRESIE TRANSPORTU I ŁĄCZNOŚCI</t>
  </si>
  <si>
    <t>Utrzymanie i naprawy pojazdów szynowych Województwa (2015 -2018)</t>
  </si>
  <si>
    <t>dotacja celowa od innych jst</t>
  </si>
  <si>
    <t>Przebudowa i rozbudowa przejścia drogowego przez m. Gryfino na drodze woj. Nr 120  (2011-2013)</t>
  </si>
  <si>
    <t>6.</t>
  </si>
  <si>
    <r>
      <t xml:space="preserve">Tabela Nr 6B  </t>
    </r>
    <r>
      <rPr>
        <i/>
        <sz val="12"/>
        <rFont val="Arial CE"/>
        <charset val="238"/>
      </rPr>
      <t>do Załącznika Nr 3</t>
    </r>
  </si>
  <si>
    <t>I. PRZEDSIĘWZIĘCIA FINANSOWANE PRZY WSPÓŁUDZIALE ŚRODKÓW, O KTÓRYCH MOWA W ART. 5 UST. 1 PKT 2 I 3 UFP  W ZAKRESIE POLITYKI  SPOŁECZNEJ  I  ROZWOJU  PRZEDSIĘBIORCZOŚCI</t>
  </si>
  <si>
    <t>Planowana wartość kosztorysowa zadania / dochody uzyskane na realizację zadania</t>
  </si>
  <si>
    <t>3</t>
  </si>
  <si>
    <t>4</t>
  </si>
  <si>
    <t>5</t>
  </si>
  <si>
    <t>6</t>
  </si>
  <si>
    <t>7</t>
  </si>
  <si>
    <t>8</t>
  </si>
  <si>
    <t>9</t>
  </si>
  <si>
    <t>Wojewódzki Urząd Pracy w Szczecinie</t>
  </si>
  <si>
    <t>rozdz. 
85332</t>
  </si>
  <si>
    <t>Centrum Obsługi Inwestorów i Eksporterów</t>
  </si>
  <si>
    <t>dotacja z budżetu województwa dla jos</t>
  </si>
  <si>
    <t>dotacje celowe od innych jst (pomoc finansowa i porozumienia)</t>
  </si>
  <si>
    <t>Wojewódzki Szpital Zespolony w Szczecinie 
pod nadzorem Wydziału Zdrowia</t>
  </si>
  <si>
    <t>rozdz. 85111</t>
  </si>
  <si>
    <t>środki własne jos</t>
  </si>
  <si>
    <t>dotacja z budżetu wojewodztwa dla jos</t>
  </si>
  <si>
    <t>rozdz. 75704</t>
  </si>
  <si>
    <t>środki  z budżetu województwa</t>
  </si>
  <si>
    <t>Utworzenie Centrum Diagnostyki Obrazowej w Samodzielnym Publicznym Wojewódzkim Szpitalu Zespolonym w Szczecinie w ramach w ramach osi VII RPO (2014-2015)</t>
  </si>
  <si>
    <t xml:space="preserve">                                                                                   </t>
  </si>
  <si>
    <r>
      <t xml:space="preserve">Tabela Nr 6D </t>
    </r>
    <r>
      <rPr>
        <i/>
        <sz val="12"/>
        <rFont val="Arial CE"/>
        <charset val="238"/>
      </rPr>
      <t xml:space="preserve"> do Załącznika Nr 3</t>
    </r>
  </si>
  <si>
    <t>I. PRZEDSIĘWZIĘCIA  FINANSOWANE PRZY WSPÓŁUDZIALE ŚRODKÓW, O KTÓRYCH MOWA W ART. 5 UST. 1 PKT 2 I 3 UFP W ZAKRESIE OŚWIATY I EDUKACYJNEJ OPIEKI WYCHOWAWCZEJ</t>
  </si>
  <si>
    <t>Planowana wartość kosztorysowa zadania /  dochody uzyskane na realizację zadania</t>
  </si>
  <si>
    <t xml:space="preserve">
Sekretariat ds.Młodzieży Województwa Zachodnio - pomorskiego 
pod nadzorem WWT</t>
  </si>
  <si>
    <t>rozdz. 80195</t>
  </si>
  <si>
    <t>Centrum Edukacji Nauczycieli w Koszalinie - nadzór WEiS</t>
  </si>
  <si>
    <t>rozdz. 80146</t>
  </si>
  <si>
    <t>II. POZOSTAŁE PRZEDSIĘWZIĘCIA  INWESTYCYJNE W ZAKRESIE OŚWIATY I EDUKACYJNEJ OPIEKI WYCHOWAWCZEJ</t>
  </si>
  <si>
    <t>dotacja z budżetu państwa (poza budżetem)</t>
  </si>
  <si>
    <t xml:space="preserve">dotacja z budżetu województwa </t>
  </si>
  <si>
    <t>środki budżetu województwa  (np.zwrot podatku VAT)</t>
  </si>
  <si>
    <t>Modernizacja Policealnej Szkoły Medycznej w Szczecinie - Wojewódzkiego Zespołu Szkół Policealnych w Szczecinie (2009-2016) Etap I i II</t>
  </si>
  <si>
    <t>Policealna Szkoła Medyczna 
w Szczecinie / Wojewódzki Zespół Szkół Policealnych w Szczecinie - nadzór WEiS</t>
  </si>
  <si>
    <t>rozdz. 
80130
85410</t>
  </si>
  <si>
    <t>Opracowanie projektu i modernizacja obiektu 
przy ul. J. Sowińskiego 68 w Szczecinie w zakresie montażu klimatyzacji (2011-2012)</t>
  </si>
  <si>
    <t>Zachodniopomorskie Centrum Doskonalenia Nauczycieli - nadzór WEiS</t>
  </si>
  <si>
    <t>rozdz.       80146</t>
  </si>
  <si>
    <t>rozdz.
80395</t>
  </si>
  <si>
    <t>środki budżetu województwa  (zwrot podatku VAT)</t>
  </si>
  <si>
    <r>
      <t xml:space="preserve">Tabela Nr 6E  </t>
    </r>
    <r>
      <rPr>
        <i/>
        <sz val="12"/>
        <rFont val="Arial CE"/>
        <charset val="238"/>
      </rPr>
      <t>do Załącznika Nr 3</t>
    </r>
  </si>
  <si>
    <t xml:space="preserve">I. PRZEDSIĘWZIĘCIA FINANSOWANE PRZY WSPÓŁUDZIALE ŚRODKÓW, O KTÓRYCH MOWA W ART. 5 UST. 1 PKT 2 I 3 UFP W ZAKRESIE ADMINISTRACJI I  TELEKOMUNIKACJI </t>
  </si>
  <si>
    <t xml:space="preserve">
Wydział Zarządzania Strategicznego</t>
  </si>
  <si>
    <t>rozdz. 75018</t>
  </si>
  <si>
    <t>Główny Punkt Informacyjny Funduszy Europejskich (GPI) przy ul.Kuśnierskiej 12b w ramach PO Pomoc Techniczna  - zakupy inwestycyjne (2009-2011)</t>
  </si>
  <si>
    <t>z tego:</t>
  </si>
  <si>
    <t xml:space="preserve"> - WZS</t>
  </si>
  <si>
    <t xml:space="preserve"> - WW RPO</t>
  </si>
  <si>
    <t xml:space="preserve"> - WOiRZL</t>
  </si>
  <si>
    <t xml:space="preserve"> - GM</t>
  </si>
  <si>
    <t>e-Administracja i e-Turystyka w województwie zachodniopomorskim w ramach działania 3.2 Osi III RPO WZ (2011-2015)</t>
  </si>
  <si>
    <t>rozdz. 60052</t>
  </si>
  <si>
    <t xml:space="preserve">II. POZOSTAŁE  PRZEDSIĘWZIĘCIA  W ZAKRESIE ADMINISTRACJI I  TELEKOMUNIKACJI </t>
  </si>
  <si>
    <t>rozdz. 70005</t>
  </si>
  <si>
    <t>Biuro Geodety Województwa</t>
  </si>
  <si>
    <t xml:space="preserve">II. POZOSTAŁE PRZEDSIĘWZIĘCIA INWESTYCYJNE W ZAKRESIE KULTURY I OCHRONY DZIEDZICTWA NARODOWEGO </t>
  </si>
  <si>
    <t xml:space="preserve">dotacje z budżetu województwa dla jos </t>
  </si>
  <si>
    <t>Muzeum Narodowe w Szczecinie - nadzór WKNiDN</t>
  </si>
  <si>
    <t>rozdz. 92118</t>
  </si>
  <si>
    <t>Opera na Zamku 
w Szczecinie - nadzór WKNiDN</t>
  </si>
  <si>
    <t>rozdz. 92106</t>
  </si>
  <si>
    <t>Teatr Polski 
w Szczecinie - nadzór WKNiDN</t>
  </si>
  <si>
    <t>Zamek Książąt Pomorskich 
w Szczecinie - nadzór WKNiDN</t>
  </si>
  <si>
    <t>rozdz.
92109</t>
  </si>
  <si>
    <t xml:space="preserve">Wydział Rolnictwa i Rybactwa
</t>
  </si>
  <si>
    <t>rozdz. 05011</t>
  </si>
  <si>
    <t>Zachodniopomorski Zarząd Melioracji i Urządzeń Wodnych pod nadzorem Wydziału Rolnictwa i Rybactwa</t>
  </si>
  <si>
    <t>rozdz. 01008</t>
  </si>
  <si>
    <t>Pomoc Techniczna  w ramach PROW, Schematu I, II i III (2007-2015)</t>
  </si>
  <si>
    <t xml:space="preserve">Wydział  Programów Rozwoju Obszarów Wiejskich 
</t>
  </si>
  <si>
    <t>rozdz. 01041</t>
  </si>
  <si>
    <t>Pomoc Techniczna  w ramach PROW, Schematu I, II i III - zakupy inwestycyjne (2007-2015)</t>
  </si>
  <si>
    <t xml:space="preserve">Wydział  Programów Rozwoju Obszarów Wiejskich </t>
  </si>
  <si>
    <t>rodz. 90005</t>
  </si>
  <si>
    <t>Zabezpieczenie przeciwpowodziowe doliny rzeki Parsęty poniżej m. Osówko, w tym m. Kołobrzegu, Karlina i Białogardu w ramach PO IiŚ, Priorytetu III, Działania 3.1. (2010-2013)</t>
  </si>
  <si>
    <t xml:space="preserve">Zachodniopomorski Zarząd Melioracji i Urządzeń Wodnych pod nadzorem Wydziału Rolnictwa i Rybactwa
</t>
  </si>
  <si>
    <t xml:space="preserve">II. POZOSTAŁE  PRZEDSIĘWZIĘCIA W ZAKRESIE ROLNICTWA I OCHRONY ŚRODOWISKA </t>
  </si>
  <si>
    <r>
      <t xml:space="preserve">Tabela Nr 6H  </t>
    </r>
    <r>
      <rPr>
        <i/>
        <sz val="12"/>
        <rFont val="Arial CE"/>
        <charset val="238"/>
      </rPr>
      <t>do Załącznika Nr 3</t>
    </r>
  </si>
  <si>
    <t>I. PRZEDSIĘWZIĘCIA FINANSOWANE PRZY WSPÓŁUDZIALE ŚRODKÓW, O KTÓRYCH MOWA W ART. 5 UST. 1 PKT 2 I 3 UFP W ZAKRESIE KULTURY FIZYCZNEJ  I TURYSTYKI</t>
  </si>
  <si>
    <t>rozdz. 63003</t>
  </si>
  <si>
    <t>rodz. 63003</t>
  </si>
  <si>
    <t xml:space="preserve">bieżące </t>
  </si>
  <si>
    <t xml:space="preserve">II. POZOSTAŁE  PRZEDSIĘWZIĘCIA  W ZAKRESIE KULTURY FIZYCZNEJ I TURYSTYKI </t>
  </si>
  <si>
    <t>WEiS</t>
  </si>
  <si>
    <t>rozdz. 92605      92695</t>
  </si>
  <si>
    <t>dotacja z budżetu województwa</t>
  </si>
  <si>
    <t xml:space="preserve">ZESTAWIENIE DOCHODÓW I WYDATKÓW  PLANOWANYCH  NA  PRZEDSIĘWZIĘCIA FINANSOWANE PRZY WSPÓŁUDZIALE ŚRODKÓW, O KTÓRYCH MOWA W ART. 5 UST. 1 PKT 2 I 3 UFP, WG  ŹRÓDEŁ FINANSOWANIA </t>
  </si>
  <si>
    <t>RPO WZ  -  wydatki</t>
  </si>
  <si>
    <t>RPO WZ  -  dochody</t>
  </si>
  <si>
    <t>PO KL - wydatki</t>
  </si>
  <si>
    <t>PO KL - dochody</t>
  </si>
  <si>
    <t>PO IiŚ - wydatki</t>
  </si>
  <si>
    <t>PO IiŚ - dochody</t>
  </si>
  <si>
    <t>PROW - wydatki</t>
  </si>
  <si>
    <t>PROW - dochody</t>
  </si>
  <si>
    <t>PO RYBY - wydatki</t>
  </si>
  <si>
    <t>PO RYBY - dochody</t>
  </si>
  <si>
    <t>Instrument Finansowy LIFE+ (wydatki)</t>
  </si>
  <si>
    <t>Instrument Finansowy LIFE+ (dochody)</t>
  </si>
  <si>
    <t>PO Pomoc Techniczna - wydatki</t>
  </si>
  <si>
    <t>PO Pomoc Techniczna - dochody</t>
  </si>
  <si>
    <t>PO Innowacyjna Gospodarka - wydatki</t>
  </si>
  <si>
    <t>PO Innowacyjna Gospodarka - dochody</t>
  </si>
  <si>
    <t>Program EWT - wydatki</t>
  </si>
  <si>
    <t>Program EWT- dochody</t>
  </si>
  <si>
    <t>Program Południowy Bałtyk - wydatki</t>
  </si>
  <si>
    <t>Program Południowy Bałtyk  - dochody</t>
  </si>
  <si>
    <t>OGÓŁEM    WYDATKI</t>
  </si>
  <si>
    <t>OGÓŁEM  DOCHODY</t>
  </si>
  <si>
    <t>sprawdzenie z załacznika Nr 2 - WYDATKI</t>
  </si>
  <si>
    <t>sprawdzenie z załacznika Nr 2 - DOCHODY</t>
  </si>
  <si>
    <t>RÓŻNICE</t>
  </si>
  <si>
    <t>Akademia Sztuki             w Szczecinie pod nadzorem Wydziału Edukacji  i Sportu</t>
  </si>
  <si>
    <r>
      <t xml:space="preserve">Tabela Nr 6C </t>
    </r>
    <r>
      <rPr>
        <i/>
        <sz val="12"/>
        <rFont val="Arial CE"/>
        <charset val="238"/>
      </rPr>
      <t xml:space="preserve"> do Załącznika Nr 3</t>
    </r>
  </si>
  <si>
    <t>I. PRZEDSIĘWZIĘCIA FINANSOWANE PRZY WSPÓŁUDZIALE ŚRODKÓW, O KTÓRYCH MOWA W ART. 5 UST. 1 PKT 2 I 3 UFP W ZAKRESIE ROZWOJU REGIONALNEGO I PLANOWANIA PRZESTRZENNEGO</t>
  </si>
  <si>
    <t>rodz. 71095</t>
  </si>
  <si>
    <t>rodz. 75862</t>
  </si>
  <si>
    <t>Modernizacja budynku internatu przy pl. Orła Białego 2 
w Szczecinie Akademii Sztuki w Szczecinie  (2013-2015)</t>
  </si>
  <si>
    <t>rozdz. 85111/
85195</t>
  </si>
  <si>
    <r>
      <t>Tabela Nr 6F</t>
    </r>
    <r>
      <rPr>
        <i/>
        <sz val="12"/>
        <rFont val="Arial CE"/>
        <charset val="238"/>
      </rPr>
      <t xml:space="preserve">  do Załącznika Nr 3</t>
    </r>
  </si>
  <si>
    <r>
      <t xml:space="preserve">Tabela Nr 6I  </t>
    </r>
    <r>
      <rPr>
        <i/>
        <sz val="12"/>
        <rFont val="Arial CE"/>
        <charset val="238"/>
      </rPr>
      <t>do Załącznika Nr 3</t>
    </r>
  </si>
  <si>
    <t>rozdz. 75095</t>
  </si>
  <si>
    <t>Wieloletnie umowy mające na celu zapewnienie ciągłości działania Urzędu Marszałkowskiego Województwa Zachodniopomorskiego (2012 - 2019)</t>
  </si>
  <si>
    <t>2019 r.</t>
  </si>
  <si>
    <t xml:space="preserve">2020 r. </t>
  </si>
  <si>
    <t xml:space="preserve">2008 r. </t>
  </si>
  <si>
    <t xml:space="preserve">Zrealizowane nakłady/uzyskane dochody </t>
  </si>
  <si>
    <t>2020 r.</t>
  </si>
  <si>
    <t>Akademia Sztuki   
w Szczecinie 
pod nadzorem Wydziału Edukacji  
i Sportu</t>
  </si>
  <si>
    <t xml:space="preserve">Dofinansowanie kolejowych przewozów pasażerskich (2013-2020) </t>
  </si>
  <si>
    <t xml:space="preserve">Usługi telekomunikacyjne dla pojazdów szynowych Województwa (2015-2020) </t>
  </si>
  <si>
    <t>Objęcie nowych udziałów w Spółce Port Lotniczy Szczecin-Goleniów (2008-2020)</t>
  </si>
  <si>
    <t>środki  budżetu województwa (w tym zwrot podatku VAT)</t>
  </si>
  <si>
    <t>środki budżetu województwa</t>
  </si>
  <si>
    <t>środki własne budżetu województwa</t>
  </si>
  <si>
    <t>Pomoc Techniczna w ramach  PO WER - wydatki</t>
  </si>
  <si>
    <t>Pomoc Techniczna w ramach  PO WER - dochody</t>
  </si>
  <si>
    <t>rozdz. 92502</t>
  </si>
  <si>
    <t>Parki Krajobrazowe Województwa Zachodniopomorskiego nadzór WTiG</t>
  </si>
  <si>
    <t>Środki z budżetu krajowego, z tego:</t>
  </si>
  <si>
    <t>rozdz. 75863</t>
  </si>
  <si>
    <t>Pozostałe projekty współfinansowane ze śrdoków Unii Europejskiej - wydatki</t>
  </si>
  <si>
    <t>Pozostałe projekty współfinansowane ze śrdoków Unii Europejskiej -  dochody</t>
  </si>
  <si>
    <t>Poręczenie kredytu obrotowego dla Specjalistycznego Szpitala w Szczecinie Zdunowie  (2015-2019)</t>
  </si>
  <si>
    <t>22.</t>
  </si>
  <si>
    <t>23.</t>
  </si>
  <si>
    <r>
      <t xml:space="preserve">Uwaga!  </t>
    </r>
    <r>
      <rPr>
        <i/>
        <sz val="9"/>
        <rFont val="Arial CE"/>
        <charset val="238"/>
      </rPr>
      <t>Dotacje celowe/płatności z budżetu UE dla ww. projektów podaje się informacyjnie; nie stanowią one wpływu na rachunek budżetu województwa i nie są ujmowane w planie dochodów budżetu województwa</t>
    </r>
  </si>
  <si>
    <t>WTiG</t>
  </si>
  <si>
    <t>RPO WZ NA LATA 2014 - 2020</t>
  </si>
  <si>
    <t>A</t>
  </si>
  <si>
    <t>B</t>
  </si>
  <si>
    <t xml:space="preserve">II. POZOSTAŁE PRZEDSIĘWZIĘCIA W ZAKRESIE OCHRONY ZDROWIA </t>
  </si>
  <si>
    <t>I. PRZEDSIĘWZIĘCIA FINANSOWANE PRZY WSPÓŁUDZIALE ŚRODKÓW, O KTÓRYCH MOWA W ART. 5 UST. 1 PKT 2 I 3 UFP W ZAKRESIE TRANSPORTU I ŁĄCZNOŚCI</t>
  </si>
  <si>
    <t xml:space="preserve">I. PRZEDSIĘWZIĘCIA INWESTYCYJNE FINANSOWANE PRZY WSPÓŁUDZIALE ŚRODKÓW, O KTÓRYCH MOWA W ART. 5 UST. 1 PKT 2 I 3 UFP W ZAKRESIE ROLNICTWA I OCHRONY ŚRODOWISKA </t>
  </si>
  <si>
    <t>WZS / WIiT</t>
  </si>
  <si>
    <t>WZS/ WIiT</t>
  </si>
  <si>
    <t>rodz.  75863</t>
  </si>
  <si>
    <t>Pomoc Techniczna  w ramach PROW - zakupy inwestycyjne (2015-2019)</t>
  </si>
  <si>
    <t>ZZDW / WZS</t>
  </si>
  <si>
    <t xml:space="preserve">PROJEKTY REALIZOWANE W RAMACH POZOSTAŁYCH FUNDUSZY UE </t>
  </si>
  <si>
    <t>Lider Zachodniopomorski w ramach Programu "Młodzież w działaniu", Akcja 5.1. - Spotkania młodzieży i osób odpowiedzialnych za politykę młodzieżową (2013-2014)</t>
  </si>
  <si>
    <r>
      <t xml:space="preserve">Organizacja Regionalnych spotkań informacyjnych i konsultacji indywidualnych podnoszących wiedzę nt. realizacji projektów </t>
    </r>
    <r>
      <rPr>
        <sz val="9"/>
        <rFont val="Arial CE"/>
        <charset val="238"/>
      </rPr>
      <t>w programie Erasmus+ Edukacja szkolna na lata 2014-2020</t>
    </r>
    <r>
      <rPr>
        <b/>
        <sz val="9"/>
        <rFont val="Arial CE"/>
        <charset val="238"/>
      </rPr>
      <t xml:space="preserve"> (2015-2017)</t>
    </r>
  </si>
  <si>
    <r>
      <t>Akademia Zmienia Szczecin - Modernizacja Pałacu pod Globusem</t>
    </r>
    <r>
      <rPr>
        <sz val="9"/>
        <rFont val="Arial CE"/>
        <charset val="238"/>
      </rPr>
      <t xml:space="preserve"> w ramach RPO WZ, Osi VI: Rozwój Funkcji Metropolitarnych</t>
    </r>
    <r>
      <rPr>
        <b/>
        <sz val="9"/>
        <rFont val="Arial CE"/>
        <family val="2"/>
        <charset val="238"/>
      </rPr>
      <t xml:space="preserve"> (2013-2014)</t>
    </r>
  </si>
  <si>
    <t xml:space="preserve">dotacje celowe  z budżetu państwa </t>
  </si>
  <si>
    <t>PROJEKTY  REALIZOWANE  W  RAMACH  IW  INTERREG</t>
  </si>
  <si>
    <t>środki z Unii Europejskiej (refundacja)</t>
  </si>
  <si>
    <t>IW INTERREG NA LATA 2014 - 2020</t>
  </si>
  <si>
    <t>spr źródeł</t>
  </si>
  <si>
    <t>spr doch suma dziedzin</t>
  </si>
  <si>
    <t>Przebudowa mostu k. miejscowości Żelimucha w ciągu drogi woj. Nr 166 (2015 - 2016)</t>
  </si>
  <si>
    <t>poręczenia dla ZOZ-ów</t>
  </si>
  <si>
    <t>◄ kwota poręczeń w latach 2021-2027</t>
  </si>
  <si>
    <t xml:space="preserve">rozdz.
 </t>
  </si>
  <si>
    <t xml:space="preserve">rozdz. 
</t>
  </si>
  <si>
    <t>rozdz.</t>
  </si>
  <si>
    <t>czekam na pismo do uzunięcia</t>
  </si>
  <si>
    <t>PROJEKTY  REALIZOWANE  W  RAMACH RPO WZ 2007-2013 oraz RPO WZ 2014 - 2020</t>
  </si>
  <si>
    <t>Limit` 16</t>
  </si>
  <si>
    <t>rozdz. 75864</t>
  </si>
  <si>
    <t xml:space="preserve"> - Gmina i Miasto Koszalin</t>
  </si>
  <si>
    <t xml:space="preserve"> - WFOŚiGW</t>
  </si>
  <si>
    <t>spr</t>
  </si>
  <si>
    <r>
      <t>Dochody PT 2014-2020 w latach 2021-2023 (</t>
    </r>
    <r>
      <rPr>
        <b/>
        <sz val="10"/>
        <rFont val="Arial"/>
        <family val="2"/>
        <charset val="238"/>
      </rPr>
      <t>płatności)</t>
    </r>
  </si>
  <si>
    <t>Razem wydatki w latach 2014-2020</t>
  </si>
  <si>
    <t>Wydatki (WW) PT 2014-2020 - lata 2021-2023</t>
  </si>
  <si>
    <t>wydatki w latach 2021-23 PT RPO</t>
  </si>
  <si>
    <t>do 2014 r.</t>
  </si>
  <si>
    <t>2023 r.</t>
  </si>
  <si>
    <t>2021 r.</t>
  </si>
  <si>
    <t>2022 r.</t>
  </si>
  <si>
    <t>do ukrycia</t>
  </si>
  <si>
    <t xml:space="preserve">2021 r. </t>
  </si>
  <si>
    <t xml:space="preserve">2022 r. </t>
  </si>
  <si>
    <t xml:space="preserve">2023 r. </t>
  </si>
  <si>
    <t>Oś X, Pomoc techniczna RPO WZ 2014 - 2020 (2015-2023)</t>
  </si>
  <si>
    <t>Zakupy inwestycyjne w ramach Osi X - Pomoc techniczna RPO WZ 2014 - 2020 (2015-2023)</t>
  </si>
  <si>
    <t>Poręczenie kredytu dla Szpitala Specjalistycznego w Szczecinie Zdunowie (2014-2022)</t>
  </si>
  <si>
    <t>Prognozowane nakłady  /dochody w latach 2016 - 2023</t>
  </si>
  <si>
    <t>Zachodniopomorskie Centrum Kształcenia Zawodowego i Ustawicznego w Szczecinie - nadzór WEiS</t>
  </si>
  <si>
    <t>rozdz. 80130</t>
  </si>
  <si>
    <t>Podniesienie jakości i dostępności kardiologicznych usług medycznych w SPWSZ w Szczecinie poprzez modernizację szpitalnych oddziałów kardiologicznych w ramach osi VII RPO (2014-2016)</t>
  </si>
  <si>
    <t>Zwiększenie dostępności i jakości usług medycznych poprzez wyposażenie w sprzęt i urządzenia medyczne SPS ZOZ  Zdroje w Szczecinie w ramach osi VII RPO (2014-2016)</t>
  </si>
  <si>
    <t>Zrealizowane nakłady/
uzyskane dochody</t>
  </si>
  <si>
    <t xml:space="preserve">Zrealizowane nakłady/
uzyskane dochody </t>
  </si>
  <si>
    <t xml:space="preserve"> - Gmina i Miasto Koszalin/ AZR</t>
  </si>
  <si>
    <t xml:space="preserve"> - WFOŚiGW/AZR</t>
  </si>
  <si>
    <t>Sieć Punktów Informacyjnych Funduszy Europejskich (PIFE) w Województwie Zachodniopomorskim w ramach PO Pomoc Techniczna (2015-2020)</t>
  </si>
  <si>
    <t>II. POZOSTAŁE  PRZEDSIĘWZIĘCIA  W ZAKRESIE ROZWOJU REGIONALNEGO I PLANOWANIA PRZESTRZENNEGO</t>
  </si>
  <si>
    <t>rozdz. 71003</t>
  </si>
  <si>
    <t>C.</t>
  </si>
  <si>
    <t>D.</t>
  </si>
  <si>
    <t xml:space="preserve">Wykonanie </t>
  </si>
  <si>
    <t>WYDATKI OGÓŁEM</t>
  </si>
  <si>
    <t>dotacje celowe / płatności z UE (w ramach działania 10.1 RPO WZ 2014-2020)</t>
  </si>
  <si>
    <t>dotacje celowe / płatności z UE (w ramach działania 2.13 RPO WZ 2014-2020)</t>
  </si>
  <si>
    <t>dotacje celowe / płatności z UE ( w ramach działania 2.1 RPO WZ 2014-2020)</t>
  </si>
  <si>
    <t>DOCHODY OGÓŁEM, z tego:</t>
  </si>
  <si>
    <t>DOCHODY OGÓŁEM</t>
  </si>
  <si>
    <t>Konsolidacja siedziby Urzędu Marszałkowskiego - etap A</t>
  </si>
  <si>
    <t>dotacje celowe / płatności z UE (w ramach działanie 10.1 RPO WZ 2014-2020)</t>
  </si>
  <si>
    <t>dotacje celowe / płatności z UE (w ramach działania 10.1  RPO WZ 2014-2020)</t>
  </si>
  <si>
    <t>dotacje celowe / płatności z UE (w ramach działania 2.13  RPO WZ 2014-2020)</t>
  </si>
  <si>
    <t>Konsolidacja siedziby Urzędu Marszałkowskiego - etap B</t>
  </si>
  <si>
    <t>dotacje celowe / płatności z UE ( w ramach działania 10.1 RPO WZ 2014-2020)</t>
  </si>
  <si>
    <t>dotacje celowe / płatności z UE (w ramach działania 2.1 RPO WZ 2014-2020)</t>
  </si>
  <si>
    <t>rozdział 75018</t>
  </si>
  <si>
    <t>środki poza budżetem</t>
  </si>
  <si>
    <t>24.</t>
  </si>
  <si>
    <t>TENTacle – wykorzystanie korytarzy sieci bazowej TEN-T w ramach IW INTERREG VB (2016-2019)</t>
  </si>
  <si>
    <t>m</t>
  </si>
  <si>
    <t>b</t>
  </si>
  <si>
    <t>Konsolidacja UM dochody</t>
  </si>
  <si>
    <t>rozdz. 75863
75864</t>
  </si>
  <si>
    <t>► różnica na turystyce</t>
  </si>
  <si>
    <t>PROJEKTY WYŁĄCZANE Z WPF</t>
  </si>
  <si>
    <t>Lp.</t>
  </si>
  <si>
    <t>Wydatki</t>
  </si>
  <si>
    <t>Dochody</t>
  </si>
  <si>
    <t>19.</t>
  </si>
  <si>
    <t>21.</t>
  </si>
  <si>
    <t>► różnica na drodze Wełtyń i oświacie (37 zł)</t>
  </si>
  <si>
    <t>WOiRZL</t>
  </si>
  <si>
    <t>Umowa leasingu samochodu osobowego (2016 - 2019)</t>
  </si>
  <si>
    <t xml:space="preserve">Wsparcie gmin w opracowaniu albo aktualizacji programów rewitalizacji w ramach PO Pomoc Techniczna (2016 - 2018) </t>
  </si>
  <si>
    <t>9a</t>
  </si>
  <si>
    <t>9b</t>
  </si>
  <si>
    <t>9c</t>
  </si>
  <si>
    <r>
      <t xml:space="preserve">Dokumentacje techniczne na drogowe zadania inwestycyjne </t>
    </r>
    <r>
      <rPr>
        <sz val="9"/>
        <rFont val="Arial CE"/>
        <charset val="238"/>
      </rPr>
      <t>w ramach Osi V RPO</t>
    </r>
    <r>
      <rPr>
        <b/>
        <sz val="9"/>
        <rFont val="Arial CE"/>
        <charset val="238"/>
      </rPr>
      <t xml:space="preserve"> (2016-2018)</t>
    </r>
  </si>
  <si>
    <r>
      <t xml:space="preserve">Znaczenie nowoczesnych technologii w motywowaniu dorosłych z terenów defaworyzowanych do uczenia się </t>
    </r>
    <r>
      <rPr>
        <sz val="9"/>
        <rFont val="Arial CE"/>
        <charset val="238"/>
      </rPr>
      <t>w ramach Programu LLP „Uczenie się przez całe życie” – GRUNDTVIG</t>
    </r>
    <r>
      <rPr>
        <b/>
        <sz val="9"/>
        <rFont val="Arial CE"/>
        <charset val="238"/>
      </rPr>
      <t xml:space="preserve"> (2013-2015)</t>
    </r>
  </si>
  <si>
    <r>
      <t xml:space="preserve">Modernizacja skrzydła północnego Zamku Książąt Pomorskich w Szczecinie </t>
    </r>
    <r>
      <rPr>
        <sz val="9"/>
        <rFont val="Arial CE"/>
        <charset val="238"/>
      </rPr>
      <t>w ramach RPO WZ, Osi VI: Rozwój Funkcji Metropolitalnych</t>
    </r>
    <r>
      <rPr>
        <b/>
        <sz val="9"/>
        <rFont val="Arial CE"/>
        <charset val="238"/>
      </rPr>
      <t xml:space="preserve"> (2012-2015) </t>
    </r>
  </si>
  <si>
    <t>Wsparcie techniczne Interreg VA Południowy Bałtyk (2015-2020)</t>
  </si>
  <si>
    <t xml:space="preserve">rozdz.
</t>
  </si>
  <si>
    <t>25.</t>
  </si>
  <si>
    <t>środki z budżetu województwa (subwencja)</t>
  </si>
  <si>
    <t xml:space="preserve">rozdz. </t>
  </si>
  <si>
    <t>Przebudowa i rozbudowa przejścia drogowego przez m. Tanowo na drodze woj. Nr 115 w ramach IW INTERREG V A (2010-2017)</t>
  </si>
  <si>
    <t>Przebudowa i rozbudowa przejścia drogi woj. nr 125 przez m. Golice i m. Klępicz w ramach IW INTERREG V A (2016-2017)</t>
  </si>
  <si>
    <t>Przebudowa i rozbudowa przejścia drogi woj. nr 114 przez m. Brzózki w ramach IW INTERREG V A (2016-2017)</t>
  </si>
  <si>
    <t>Przebudowa i rozbudowa przejścia drogi woj. nr 122 przez m. Krzywin (etap II) w ramach IW INTERREG V A (2018-2019)</t>
  </si>
  <si>
    <t>Przebudowa i rozbudowa przejścia drogi woj. nr 125 przez m. Moryń i m. Bielin w ramach IW INTERREG V A (2018-2019)</t>
  </si>
  <si>
    <t>Wymiana i rozbudowa parku maszyn i urządzeń ZZDW w Koszalinie (2016-2017)</t>
  </si>
  <si>
    <t>Oś X, Pomoc techniczna RPO WZ 2014-2020 (2015-2023)</t>
  </si>
  <si>
    <t>Monitoring i analizy porealizacyjne inwestycji (2013-2016)</t>
  </si>
  <si>
    <t>Pomoc Techniczna w ramach  Programu EWT  INTERREG IVA (2008 - 2015)</t>
  </si>
  <si>
    <t>Konsolidacja siedziby Urzędu Marszałkowskiego Województwa Zachodniopomorskiego - razem etap A i B  (2016-2020)</t>
  </si>
  <si>
    <t>rozdz. 
60001
75863</t>
  </si>
  <si>
    <r>
      <t xml:space="preserve">Tabela Nr 6G </t>
    </r>
    <r>
      <rPr>
        <i/>
        <sz val="12"/>
        <rFont val="Arial CE"/>
        <charset val="238"/>
      </rPr>
      <t xml:space="preserve"> do Załącznika Nr 3</t>
    </r>
  </si>
  <si>
    <t>Wykonanie</t>
  </si>
  <si>
    <t>Decyzja o dofinansowaniu projektu Nr RPZP.05.06.00-32-0001/16-00 z 1.08.2016</t>
  </si>
  <si>
    <t>Brak decyzji</t>
  </si>
  <si>
    <t>Wspieranie innowacyjnych ekosystemów przedsiębiorczości w regionach na rzecz młodych przedsiębiorców (iEER) w ramach Interreg VC (2016-2020)</t>
  </si>
  <si>
    <t>rozdz. 
15011</t>
  </si>
  <si>
    <t>Ubezpieczenie taboru kolejowego Województwa (2011-2019)</t>
  </si>
  <si>
    <t>WWT/WOiRZL</t>
  </si>
  <si>
    <t>Sieć Punktów Informacyjnych Funduszy Europejskich (PIFE) w Województwie Zachodniopomorskim w ramach PO Pomoc Techniczna - zakupy inwestycyjne  (2015-2020)</t>
  </si>
  <si>
    <t xml:space="preserve">2. </t>
  </si>
  <si>
    <t>ROPS</t>
  </si>
  <si>
    <t>rozdz.
75864</t>
  </si>
  <si>
    <t xml:space="preserve">rozdz. 
75018
85395
</t>
  </si>
  <si>
    <t>WRiR</t>
  </si>
  <si>
    <t>Szlaki rowerowe na wybranych odcinkach wałów przeciwpowodziowych w województwie zachodniopomorskim w ramach Osi IV RPO (2017-2018)</t>
  </si>
  <si>
    <t>k</t>
  </si>
  <si>
    <t>WWT/
WOiRZL</t>
  </si>
  <si>
    <t>ROPS/
WOiRZL</t>
  </si>
  <si>
    <t>WUP 
w Szczecinie</t>
  </si>
  <si>
    <t>WUP
 w Szczecinie</t>
  </si>
  <si>
    <t>WUP
 w Szczecinie
pod nadzorem WZS</t>
  </si>
  <si>
    <t>Specjalistyczny Szpital im. A. Sokołowskiego 
w Szczecinie - Zdunowo 
pod nadzorem WZ i WZS</t>
  </si>
  <si>
    <t>SPS ZOZ ZDROJE Szczecin 
pod nadzorem WZ</t>
  </si>
  <si>
    <t>SPS ZOZ ZDROJE Szczecin 
pod nadzorem 
WZ i WZS</t>
  </si>
  <si>
    <t>Specjalistyczny Szpital im. A. Sokołowskiego 
w Szczecinie - Zdunowo pod nadzorem WZ</t>
  </si>
  <si>
    <t>Szpital Wojewódzki 
w Koszalinie pod nadzorem WZ</t>
  </si>
  <si>
    <t>Wojewódzki Szpital Zespolony w Szczecinie 
pod nadzorem WZ</t>
  </si>
  <si>
    <t>Wojewódzki Szpital Zespolony w Szczecinie 
pod nadzorem
 WZ i WZS</t>
  </si>
  <si>
    <t>Regionalny Szpital 
w Kołobrzegu 
pod nadzorem WZ</t>
  </si>
  <si>
    <t>WZS</t>
  </si>
  <si>
    <t>WSIiI</t>
  </si>
  <si>
    <t>WIiN, WZS</t>
  </si>
  <si>
    <t>WIiN</t>
  </si>
  <si>
    <t>WA, WSIiI</t>
  </si>
  <si>
    <t>Wspieranie realizacji zadań publicznych Województwa Zachodniopomorskiego w zakresie upowszechniania kultury fizycznej (2014-2019)</t>
  </si>
  <si>
    <t>ZZMiUW pod nadzorem WRiR</t>
  </si>
  <si>
    <t xml:space="preserve">WPROW 
</t>
  </si>
  <si>
    <t>RBGP WZ w Szczecinie pod nadzorem WZS</t>
  </si>
  <si>
    <r>
      <t xml:space="preserve">Przebudowa drogi wojewódzkiej nr 203 na odcinku Dąbki - Darłowo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(2007-2017)</t>
    </r>
  </si>
  <si>
    <r>
      <t>Przebudowa drogi wojewódzkiej nr 142 na odcinku Szczecin - Krzywnica</t>
    </r>
    <r>
      <rPr>
        <sz val="9"/>
        <rFont val="Arial CE"/>
        <charset val="238"/>
      </rPr>
      <t xml:space="preserve"> w </t>
    </r>
    <r>
      <rPr>
        <sz val="9"/>
        <rFont val="Arial CE"/>
        <family val="2"/>
        <charset val="238"/>
      </rPr>
      <t>ramach Osi V RPO</t>
    </r>
    <r>
      <rPr>
        <b/>
        <sz val="9"/>
        <rFont val="Arial CE"/>
        <family val="2"/>
        <charset val="238"/>
      </rPr>
      <t xml:space="preserve"> (2016-2018)</t>
    </r>
  </si>
  <si>
    <r>
      <t>Bałtyckie Obszary Energii - Perspektywa Planistyczna BEA-APP</t>
    </r>
    <r>
      <rPr>
        <sz val="9"/>
        <rFont val="Arial CE"/>
        <charset val="238"/>
      </rPr>
      <t xml:space="preserve"> w ramach programu EWT Region Morza Bałtyckiego (2016-2019)</t>
    </r>
  </si>
  <si>
    <r>
      <t>Przebudowa drogi wojewódzkiej nr 109 na odcinku Trzebusz - Trzebiatów w</t>
    </r>
    <r>
      <rPr>
        <sz val="9"/>
        <rFont val="Arial CE"/>
        <family val="2"/>
        <charset val="238"/>
      </rPr>
      <t xml:space="preserve"> ramach Osi V RPO</t>
    </r>
    <r>
      <rPr>
        <b/>
        <sz val="9"/>
        <rFont val="Arial CE"/>
        <family val="2"/>
        <charset val="238"/>
      </rPr>
      <t xml:space="preserve"> (2016-2017)</t>
    </r>
  </si>
  <si>
    <r>
      <t>Młodzież w działaniu, Prowadzenie Punktu Informacji Europejskiej</t>
    </r>
    <r>
      <rPr>
        <sz val="11"/>
        <color theme="1"/>
        <rFont val="Arial CE"/>
        <charset val="238"/>
      </rPr>
      <t xml:space="preserve"> (środki Komisji Europejskiej), </t>
    </r>
    <r>
      <rPr>
        <b/>
        <sz val="11"/>
        <color theme="1"/>
        <rFont val="Arial CE"/>
        <charset val="238"/>
      </rPr>
      <t>GRUNTVIG</t>
    </r>
    <r>
      <rPr>
        <b/>
        <sz val="11"/>
        <color theme="1"/>
        <rFont val="Arial CE"/>
        <family val="2"/>
        <charset val="238"/>
      </rPr>
      <t xml:space="preserve"> - wydatki</t>
    </r>
  </si>
  <si>
    <r>
      <t xml:space="preserve">Młodzież w działaniu, Prowadzenie Punktu Informacji Europejskiej </t>
    </r>
    <r>
      <rPr>
        <sz val="11"/>
        <color theme="1"/>
        <rFont val="Arial CE"/>
        <charset val="238"/>
      </rPr>
      <t xml:space="preserve">(środki Komisji Europejskiej), </t>
    </r>
    <r>
      <rPr>
        <b/>
        <sz val="11"/>
        <color theme="1"/>
        <rFont val="Arial CE"/>
        <charset val="238"/>
      </rPr>
      <t>GRUNTVIG</t>
    </r>
    <r>
      <rPr>
        <sz val="11"/>
        <color theme="1"/>
        <rFont val="Arial CE"/>
        <charset val="238"/>
      </rPr>
      <t xml:space="preserve"> </t>
    </r>
    <r>
      <rPr>
        <b/>
        <sz val="11"/>
        <color theme="1"/>
        <rFont val="Arial CE"/>
        <family val="2"/>
        <charset val="238"/>
      </rPr>
      <t>- dochody</t>
    </r>
  </si>
  <si>
    <t>Bieżące utrzymanie dróg i mostów (2017-2020)</t>
  </si>
  <si>
    <t>Przebudowa dróg i mostów (2017-2020)</t>
  </si>
  <si>
    <t>Studium wykonalności Zachodniego Drogowego Obejścia Miasta Szczecina wraz z Raportem oddziaływania na środowisko (2009-2017)</t>
  </si>
  <si>
    <t>Sprawdzenie wydatki z budżetu (UM +WUP + IP)</t>
  </si>
  <si>
    <t>Sprawdzenie dochody z budżetu (UM + WUP+IZ)</t>
  </si>
  <si>
    <t>Wydatki bieżące PT Oś X (UM + IP)</t>
  </si>
  <si>
    <t>Wydatki majątkowe PT Oś X (UM + IP)</t>
  </si>
  <si>
    <t>Konsolidacja UM wydatki</t>
  </si>
  <si>
    <t>PT oś X dochody ogółem w budżecie</t>
  </si>
  <si>
    <t>PT oś X wydatki ogółem w budżecie</t>
  </si>
  <si>
    <t>Dokumentacje techniczne na zadania drogowe (2011-2020)</t>
  </si>
  <si>
    <t>Oś X, Pomoc techniczna RPO WZ 2014-2020 - wydatki majątkowe (2015-2023)</t>
  </si>
  <si>
    <t>dotacje celowe/płatności z UE</t>
  </si>
  <si>
    <t>Rozbudowa części środkowej budynku głównego wraz z dostosowaniem oddziałów chirurgicznych do wymogów fachowo-sanitarnych  w Specjalistycznym Szpitalu im. A.Sokołowskiego w Szczecinie-Zdunowie w ramach osi VII RPO (2006-2016)</t>
  </si>
  <si>
    <t>Budowa Centrum Nauki w Szczecinie w ramach osi IX RPO WZ 2014-2020 (2011-2022)</t>
  </si>
  <si>
    <t>rozdz. 92109</t>
  </si>
  <si>
    <t>Zamek Książąt Pomorskich w Szczecinie - nadzór WKNiDN</t>
  </si>
  <si>
    <r>
      <t xml:space="preserve">Przebudowa drogi woj. nr 109 na odcinku Mrzeżyno - Trzebiatów </t>
    </r>
    <r>
      <rPr>
        <sz val="9"/>
        <rFont val="Arial CE"/>
        <family val="2"/>
        <charset val="238"/>
      </rPr>
      <t xml:space="preserve">w ramach Osi II RPO </t>
    </r>
    <r>
      <rPr>
        <b/>
        <sz val="9"/>
        <rFont val="Arial CE"/>
        <family val="2"/>
        <charset val="238"/>
      </rPr>
      <t>(2008-</t>
    </r>
    <r>
      <rPr>
        <b/>
        <sz val="9"/>
        <rFont val="Arial CE"/>
        <charset val="238"/>
      </rPr>
      <t>2017</t>
    </r>
    <r>
      <rPr>
        <b/>
        <sz val="9"/>
        <rFont val="Arial CE"/>
        <family val="2"/>
        <charset val="238"/>
      </rPr>
      <t>)</t>
    </r>
  </si>
  <si>
    <r>
      <t xml:space="preserve">Przebudowa drogi woj. nr 203 na odcinku Iwięcino - Darłowo, etap I Iwięcino - Dąbki </t>
    </r>
    <r>
      <rPr>
        <sz val="9"/>
        <rFont val="Arial CE"/>
        <family val="2"/>
        <charset val="238"/>
      </rPr>
      <t xml:space="preserve">w ramach Osi II RPO </t>
    </r>
    <r>
      <rPr>
        <b/>
        <sz val="9"/>
        <rFont val="Arial CE"/>
        <family val="2"/>
        <charset val="238"/>
      </rPr>
      <t>(2007-</t>
    </r>
    <r>
      <rPr>
        <b/>
        <sz val="9"/>
        <rFont val="Arial CE"/>
        <charset val="238"/>
      </rPr>
      <t>2017</t>
    </r>
    <r>
      <rPr>
        <b/>
        <sz val="9"/>
        <rFont val="Arial CE"/>
        <family val="2"/>
        <charset val="238"/>
      </rPr>
      <t>)</t>
    </r>
  </si>
  <si>
    <r>
      <t xml:space="preserve">Budowa obejścia m. Szczecinek w ciągu drogi nr 172 </t>
    </r>
    <r>
      <rPr>
        <sz val="9"/>
        <rFont val="Arial CE"/>
        <charset val="238"/>
      </rPr>
      <t>w ramach Osi II RPO</t>
    </r>
    <r>
      <rPr>
        <b/>
        <sz val="9"/>
        <rFont val="Arial CE"/>
        <charset val="238"/>
      </rPr>
      <t xml:space="preserve"> (2009-2017)</t>
    </r>
  </si>
  <si>
    <r>
      <t>Przebudowa drogi woj. nr 163 na odcinku Czaplinek - Wałcz (etap I)</t>
    </r>
    <r>
      <rPr>
        <sz val="9"/>
        <rFont val="Arial CE"/>
        <family val="2"/>
        <charset val="238"/>
      </rPr>
      <t xml:space="preserve"> w ramach Osi II RPO</t>
    </r>
    <r>
      <rPr>
        <b/>
        <sz val="9"/>
        <rFont val="Arial CE"/>
        <family val="2"/>
        <charset val="238"/>
      </rPr>
      <t xml:space="preserve"> (2007-</t>
    </r>
    <r>
      <rPr>
        <b/>
        <sz val="9"/>
        <rFont val="Arial CE"/>
        <charset val="238"/>
      </rPr>
      <t>2017)</t>
    </r>
  </si>
  <si>
    <r>
      <t xml:space="preserve">Przebudowa drogi woj. nr 167 na odcinku Koszalin - droga nr 168 </t>
    </r>
    <r>
      <rPr>
        <sz val="9"/>
        <rFont val="Arial CE"/>
        <family val="2"/>
        <charset val="238"/>
      </rPr>
      <t>w ramach Osi II RPO</t>
    </r>
    <r>
      <rPr>
        <b/>
        <sz val="9"/>
        <rFont val="Arial CE"/>
        <family val="2"/>
        <charset val="238"/>
      </rPr>
      <t xml:space="preserve"> (2008-</t>
    </r>
    <r>
      <rPr>
        <b/>
        <sz val="9"/>
        <rFont val="Arial CE"/>
        <charset val="238"/>
      </rPr>
      <t>2017)</t>
    </r>
  </si>
  <si>
    <r>
      <t xml:space="preserve">Przebudowa drogi woj. nr 163 na odcinku Czaplinek - Wałcz  (etap II i III) </t>
    </r>
    <r>
      <rPr>
        <sz val="9"/>
        <rFont val="Arial CE"/>
        <family val="2"/>
        <charset val="238"/>
      </rPr>
      <t>w ramach Osi II RPO</t>
    </r>
    <r>
      <rPr>
        <b/>
        <sz val="9"/>
        <rFont val="Arial CE"/>
        <family val="2"/>
        <charset val="238"/>
      </rPr>
      <t xml:space="preserve"> (2008</t>
    </r>
    <r>
      <rPr>
        <b/>
        <sz val="9"/>
        <rFont val="Arial CE"/>
        <charset val="238"/>
      </rPr>
      <t>-2017)</t>
    </r>
  </si>
  <si>
    <t>rozdz. 
71012</t>
  </si>
  <si>
    <t>rozdz. 71012</t>
  </si>
  <si>
    <t>Wspólny Sekretariat - Pomoc Techniczna w ramach  Programu Współpracy INTERREG VA (2016-2022)</t>
  </si>
  <si>
    <t xml:space="preserve">
WWT/
WOiRZL</t>
  </si>
  <si>
    <r>
      <t xml:space="preserve">Przebudowa drogi wojewódzkiej nr 205 na odcinku Sławno - Polanów, etap przebudowy i rozbudowy przejścia przez m. Sławno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(2011-2017)</t>
    </r>
  </si>
  <si>
    <t xml:space="preserve">Zakupy inwestycyjne w ramach wsparcia gmin w opracowaniu albo aktualizacji programów rewitalizacji w ramach PO Pomoc Techniczna (2016 - 2018) </t>
  </si>
  <si>
    <r>
      <t xml:space="preserve">Zrównoważona mobilność na obszarze ostatniej mili w regionach turystycznych (LAST MILE) </t>
    </r>
    <r>
      <rPr>
        <sz val="9"/>
        <rFont val="Arial CE"/>
        <charset val="238"/>
      </rPr>
      <t>w ramach programu EWT Region Morza Bałtyckiego (2016-2020)</t>
    </r>
  </si>
  <si>
    <t>Oś Priorytetowa VI, Pomoc Techniczna w ramach  PO WER 2014 - 2020 (2015-2020)</t>
  </si>
  <si>
    <t>Oś Priorytetowa VI, Pomoc Techniczna w ramach  PO WER 2014-2020 - wydatki majątkowe (2015-2020)</t>
  </si>
  <si>
    <t>Modernizacja i remont dziedzińców Zamku Książąt Pomorskich w Szczecinie (2017-2018)</t>
  </si>
  <si>
    <t>*</t>
  </si>
  <si>
    <t xml:space="preserve">Plan dochodów na 2016 r. obejmuje dochody bieżące (wyodrębnione w związku z otrzymaniem decyzji o dofinansowaniu projektów i możliwoscią refundacji kosztów pośrednich stanowiących 2 % kwalifikowanych kosztów bezpośrednich) i majątkowe. </t>
  </si>
  <si>
    <t>Zlecanie wykonania i udostępniania map topograficznych i tematycznych opracowań numerycznych, prowadzenie wojewódzkich baz danych oraz standardowych opracowań kartograficznych (2016-2017)</t>
  </si>
  <si>
    <t>Gospodarowanie nieruchomościami należącymi do zasobu Województwa Zachodniopomorskiego (2010-2017)</t>
  </si>
  <si>
    <t>majątkowe/
bieżące*</t>
  </si>
  <si>
    <t>TABELE DO OBJAŚNIEŃ</t>
  </si>
  <si>
    <t>rozdz. 
15011
75018</t>
  </si>
  <si>
    <t>rozdz. 71095</t>
  </si>
  <si>
    <t xml:space="preserve"> - Gmina i Miasto Koszalin/AZR</t>
  </si>
  <si>
    <t>Limity zobowiązań 2017-2023 i lata następne</t>
  </si>
  <si>
    <t>Limity zobowiązań 2017-2020 i lata następne</t>
  </si>
  <si>
    <t>Limity zobowiązań 2017-2023  i lata następne</t>
  </si>
  <si>
    <t>Limit zobowiązań 
w latach 
2017-2023</t>
  </si>
  <si>
    <t>Prognozowane nakłady inwestycyjne /dochody 
w latach 2017 - 2023</t>
  </si>
  <si>
    <t>do 2015 r.</t>
  </si>
  <si>
    <t>Przewidywane wykonanie</t>
  </si>
  <si>
    <t>Prognozowane nakłady inwestycyjne / dochody z tytułu realizacji projektów  w latach 2017-2023</t>
  </si>
  <si>
    <t>do  2015 r.</t>
  </si>
  <si>
    <t>do 2015</t>
  </si>
  <si>
    <t>Zakup i modernizacja kolejowego taboru pasażerskiego o napędzie elektrycznym w ramach Osi V RPO (2014-2016)</t>
  </si>
  <si>
    <t xml:space="preserve">Budowa niebieskiego korytarza ekologicznego wzdłuż doliny rzeki Iny i jej dopływów w ramach Instrumentu Finansowego LIFE+ (2011-2017) </t>
  </si>
  <si>
    <r>
      <t xml:space="preserve">Projekt pn. "Europejskie Standardy w Opiece nad Osobami Starszymi" </t>
    </r>
    <r>
      <rPr>
        <sz val="9"/>
        <rFont val="Arial CE"/>
        <charset val="238"/>
      </rPr>
      <t>w ramach Programu Erasmus+</t>
    </r>
    <r>
      <rPr>
        <b/>
        <sz val="9"/>
        <rFont val="Arial CE"/>
        <charset val="238"/>
      </rPr>
      <t xml:space="preserve"> (2015-2016)</t>
    </r>
  </si>
  <si>
    <t>Obsługa i utrzymanie mostów zwodzonych i mostu granicznego (2011-2016)</t>
  </si>
  <si>
    <t>Analizy porealizacyjne i monitoring inwestycji (2016)</t>
  </si>
  <si>
    <t xml:space="preserve">RAZEM  ZMNIEJSZENIE </t>
  </si>
  <si>
    <t>Ekonomia społeczna kluczem do sukcesu w ramach działania 7.5 RPO WZ (2016-2017)</t>
  </si>
  <si>
    <t>rozdz. 01078</t>
  </si>
  <si>
    <t>Utrzymanie szlaków rowerowych na wybranych odcinkach wałów przeciwpowodziowych w Województwie Zachodniopomorskim</t>
  </si>
  <si>
    <t>Poręczenie kredytu dla Szpitala Wojewódzkiego w Koszalinie 
(2009-2017)</t>
  </si>
  <si>
    <t>DOCHODY ŁĄCZNIE - 
stan na 28 lutego 2017 r.</t>
  </si>
  <si>
    <t>Zimowe utrzymanie dróg (2011-2016)</t>
  </si>
  <si>
    <t>Budowa obejścia m. Dobra w ciągu drogi nr 144 w ramach Osi V RPO (2011-2016)</t>
  </si>
  <si>
    <t>PROJEKTY NOWE WPROWADZONE DO WPF</t>
  </si>
  <si>
    <t>26.</t>
  </si>
  <si>
    <t>27.</t>
  </si>
  <si>
    <t>RAZEM  ZWIĘKSZENIE</t>
  </si>
  <si>
    <t>Rozbudowa Szpitala Dziecięcego SPS ZOZ "Zdroje" w Szczecinie - utworzenie Zachodniopomorskiego Centrum Opieki Nad Kobietą i Dzieckiem (2010-2017)</t>
  </si>
  <si>
    <t>Przebudowa i rozbudowa przejścia drogi wojewódzkiej nr 120 przez m. Wełtyń w ramach IW INTERREG V A (2016-2017)</t>
  </si>
  <si>
    <t>RPO WZ NA LATA 2007-2013</t>
  </si>
  <si>
    <r>
      <t>Przebudowa drogi wojewódzkiej nr 102 na odcinku Łukęcin - Lędzin w</t>
    </r>
    <r>
      <rPr>
        <sz val="9"/>
        <rFont val="Arial CE"/>
        <family val="2"/>
        <charset val="238"/>
      </rPr>
      <t xml:space="preserve"> ramach Osi V RPO</t>
    </r>
    <r>
      <rPr>
        <b/>
        <sz val="9"/>
        <rFont val="Arial CE"/>
        <family val="2"/>
        <charset val="238"/>
      </rPr>
      <t xml:space="preserve"> (2017-2018)</t>
    </r>
  </si>
  <si>
    <r>
      <t xml:space="preserve">Przebudowa drogi wojewódzkiej nr 102 na odcinku Międzywodzie -Dziwnów </t>
    </r>
    <r>
      <rPr>
        <sz val="9"/>
        <rFont val="Arial CE"/>
        <charset val="238"/>
      </rPr>
      <t xml:space="preserve">w </t>
    </r>
    <r>
      <rPr>
        <sz val="9"/>
        <rFont val="Arial CE"/>
        <family val="2"/>
        <charset val="238"/>
      </rPr>
      <t>ramach Osi V RPO</t>
    </r>
    <r>
      <rPr>
        <b/>
        <sz val="9"/>
        <rFont val="Arial CE"/>
        <family val="2"/>
        <charset val="238"/>
      </rPr>
      <t xml:space="preserve"> (2017-2018)</t>
    </r>
  </si>
  <si>
    <t>Europejskie Standardy w Opiece nad Osobami Starszymi" w ramach Programu Erasmus+ (2015-2016)</t>
  </si>
  <si>
    <t xml:space="preserve">Poznaj Pomorze Zachodnie. Oznakowanie turystyczne regionu w ramach RPO WZ, Osi V (2012-2016) </t>
  </si>
  <si>
    <t>Przebudowa drogi woj. nr 203 na odcinku Koszalin - Iwięcino w ramach Osi II RPO (2007-2016)</t>
  </si>
  <si>
    <t>Przebudowa drogi woj. nr 114 na odcinku Trzebież - Police w ramach Osi II RPO (2008-2016)</t>
  </si>
  <si>
    <t>Projekt ochrony przeciwpowodziowej w dorzeczu Odry i Wisły - komponent 1.A Ochrona przed powodzią obszarów na terenie Województwa Zachodniopomorskiego (2017 - 2022)</t>
  </si>
  <si>
    <t>Utrzymanie szlaków rowerowych na wybranych odcinkach wałów przeciwpowodziowych w Województwie Zachodniopomorskim (2019 - 2023)</t>
  </si>
  <si>
    <t xml:space="preserve">Budowa niebieskiego korytarza ekologicznego wzdłuż doliny rzeki Regi  i jej dopływów w ramach Instrumentu Finansowego LIFE+ (2012-2019) </t>
  </si>
  <si>
    <t>Zespół Parków Krajobrazowych WZ pod nadzorem WTG</t>
  </si>
  <si>
    <t>ZZMiUW w Szczecinie pod nadzorem WRiR</t>
  </si>
  <si>
    <r>
      <t xml:space="preserve">Tabela Nr 6  </t>
    </r>
    <r>
      <rPr>
        <i/>
        <sz val="12"/>
        <rFont val="Arial CE"/>
        <charset val="238"/>
      </rPr>
      <t xml:space="preserve">do załącznika Nr 3 </t>
    </r>
  </si>
  <si>
    <r>
      <t>Limit zobowiązań na lata 2017-20</t>
    </r>
    <r>
      <rPr>
        <b/>
        <sz val="10"/>
        <rFont val="Arial CE"/>
        <charset val="238"/>
      </rPr>
      <t>23</t>
    </r>
    <r>
      <rPr>
        <b/>
        <sz val="10"/>
        <rFont val="Arial CE"/>
        <family val="2"/>
        <charset val="238"/>
      </rPr>
      <t xml:space="preserve"> 
i lata następne</t>
    </r>
  </si>
  <si>
    <r>
      <t xml:space="preserve"> - wydatki bieżące</t>
    </r>
    <r>
      <rPr>
        <b/>
        <sz val="12"/>
        <rFont val="Arial CE"/>
        <charset val="238"/>
      </rPr>
      <t xml:space="preserve"> </t>
    </r>
  </si>
  <si>
    <r>
      <t xml:space="preserve">Przebudowa drogi wojewódzkiej nr 151 na odcinku Świdwin - Łobez </t>
    </r>
    <r>
      <rPr>
        <sz val="9"/>
        <rFont val="Arial CE"/>
        <charset val="238"/>
      </rPr>
      <t>(etap I przebudowa mostu w m. Łobez)</t>
    </r>
    <r>
      <rPr>
        <b/>
        <sz val="9"/>
        <rFont val="Arial CE"/>
        <family val="2"/>
        <charset val="238"/>
      </rPr>
      <t xml:space="preserve"> </t>
    </r>
    <r>
      <rPr>
        <sz val="9"/>
        <rFont val="Arial CE"/>
        <charset val="238"/>
      </rPr>
      <t>w</t>
    </r>
    <r>
      <rPr>
        <sz val="9"/>
        <rFont val="Arial CE"/>
        <family val="2"/>
        <charset val="238"/>
      </rPr>
      <t xml:space="preserve"> ramach Osi V RPO</t>
    </r>
    <r>
      <rPr>
        <b/>
        <sz val="9"/>
        <rFont val="Arial CE"/>
        <family val="2"/>
        <charset val="238"/>
      </rPr>
      <t xml:space="preserve"> </t>
    </r>
    <r>
      <rPr>
        <b/>
        <sz val="9"/>
        <rFont val="Arial CE"/>
        <charset val="238"/>
      </rPr>
      <t>(2013</t>
    </r>
    <r>
      <rPr>
        <b/>
        <sz val="9"/>
        <rFont val="Arial CE"/>
        <family val="2"/>
        <charset val="238"/>
      </rPr>
      <t>-</t>
    </r>
    <r>
      <rPr>
        <b/>
        <sz val="9"/>
        <rFont val="Arial CE"/>
        <charset val="238"/>
      </rPr>
      <t>2017</t>
    </r>
    <r>
      <rPr>
        <b/>
        <sz val="9"/>
        <rFont val="Arial CE"/>
        <family val="2"/>
        <charset val="238"/>
      </rPr>
      <t>)</t>
    </r>
  </si>
  <si>
    <r>
      <t xml:space="preserve">Budowa obejścia m. Barlinek w ciągu drogi nr 151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(2010-</t>
    </r>
    <r>
      <rPr>
        <b/>
        <sz val="9"/>
        <rFont val="Arial CE"/>
        <charset val="238"/>
      </rPr>
      <t>2018)</t>
    </r>
  </si>
  <si>
    <r>
      <t xml:space="preserve">Przebudowa ul. Jagiełły w ciągu drogi wojewódzkiej nr 160 i ul. Dąbrowszczaków w ciągu drogi wojewódzkiej nr 175 w m. Choszczno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(2017-2018)</t>
    </r>
  </si>
  <si>
    <r>
      <t xml:space="preserve">Rozbudowa drogi wojewódzkiej nr 203 na odcinku Darłowo - granica województwa etap I przebudowa ul. Tynieckiego w m. Darłowo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(2017-2018)</t>
    </r>
  </si>
  <si>
    <r>
      <t xml:space="preserve">Przebudowa drogi wojewódzkiej nr 151 na odcinku Ińsko - Recz etap I odc. Ińsko - Ciemnik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(2017-2018)</t>
    </r>
  </si>
  <si>
    <r>
      <t xml:space="preserve">Zakup kolejowego taboru pasażerskiego o napędzie elektrycznym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(2017-2020)</t>
    </r>
  </si>
  <si>
    <r>
      <t>dotacje celowe od innych jst</t>
    </r>
    <r>
      <rPr>
        <sz val="8"/>
        <rFont val="Arial CE"/>
        <charset val="238"/>
      </rPr>
      <t xml:space="preserve"> (pomoc finansowa i porozumienia)</t>
    </r>
  </si>
  <si>
    <r>
      <t xml:space="preserve">Poznaj Pomorze Zachodnie. Oznakowanie turystyczne regionu </t>
    </r>
    <r>
      <rPr>
        <sz val="9"/>
        <rFont val="Arial CE"/>
        <charset val="238"/>
      </rPr>
      <t>w ramach RPO WZ, Osi V</t>
    </r>
    <r>
      <rPr>
        <b/>
        <sz val="9"/>
        <rFont val="Arial CE"/>
        <family val="2"/>
        <charset val="238"/>
      </rPr>
      <t xml:space="preserve"> (2012-2016)</t>
    </r>
  </si>
  <si>
    <r>
      <t xml:space="preserve">Poznaj Pomorze Zachodnie. Oznakowanie turystyczne regionu </t>
    </r>
    <r>
      <rPr>
        <sz val="9"/>
        <rFont val="Arial CE"/>
        <charset val="238"/>
      </rPr>
      <t>w ramach RPO WZ, Osi V -</t>
    </r>
    <r>
      <rPr>
        <b/>
        <sz val="9"/>
        <rFont val="Arial CE"/>
        <charset val="238"/>
      </rPr>
      <t xml:space="preserve"> wydatki inwestycyjne</t>
    </r>
    <r>
      <rPr>
        <b/>
        <sz val="9"/>
        <rFont val="Arial CE"/>
        <family val="2"/>
        <charset val="238"/>
      </rPr>
      <t xml:space="preserve"> (2012-2015)</t>
    </r>
  </si>
  <si>
    <t>Pomoc Techniczna  w ramach PROW 2014 - 2020 (2015-2023)</t>
  </si>
  <si>
    <t>rozdz. 63003,    75018</t>
  </si>
  <si>
    <t>rozdz. 92116</t>
  </si>
  <si>
    <t>Książnica Pomorska w Szczecinie - nadzór WKNiDN</t>
  </si>
  <si>
    <t>Wyposażenie w nowoczesny sprzęt Zachodniopomorskiej Książnicy Cyfrowej w Szczecinie (2017-2018)</t>
  </si>
  <si>
    <t>WYDATKI ŁĄCZNIE - 
stan na 25 kwietnia  2017 r.</t>
  </si>
  <si>
    <t>DOCHODY ŁĄCZNIE - 
stan na 25 kwietnia 2017 r.</t>
  </si>
  <si>
    <t>WYDATKI ŁĄCZNIE - 
stan na 28 lutego 2017 r.</t>
  </si>
  <si>
    <t xml:space="preserve"> - WWŚRPO</t>
  </si>
  <si>
    <t>WWŚRPO</t>
  </si>
  <si>
    <t>WTiG / WOiRZL</t>
  </si>
  <si>
    <t>bez umowy</t>
  </si>
  <si>
    <t>IW INTERREG VA drogi - wydatki</t>
  </si>
  <si>
    <t>IW  INTERREG  VA drogi - dochody</t>
  </si>
  <si>
    <t>IW INTERREG VA Pomoc Tech.  - wydatki</t>
  </si>
  <si>
    <t>IW  INTERREG VA Pomoc Tech.  - dochody</t>
  </si>
  <si>
    <t>INTERREG VB  TENTacle - wydatki</t>
  </si>
  <si>
    <t>INTERREG VB  TENTacle - dochody</t>
  </si>
  <si>
    <t>INTERREG VC (wsparcie przedsiębiorczości) - wydatki</t>
  </si>
  <si>
    <t>INTERREG VC (wsparcie przedsiębiorczości) - dochody</t>
  </si>
  <si>
    <t>bez decyzji</t>
  </si>
  <si>
    <t>- środki z budżetu województwa WTiG</t>
  </si>
  <si>
    <t>- środki z budżetu województwa WOiRZL</t>
  </si>
  <si>
    <t>- dotacje celowe / płatności z UE WOiRZL</t>
  </si>
  <si>
    <t>- dotacje celowe / płatności z UE WTiG</t>
  </si>
  <si>
    <r>
      <t xml:space="preserve">Prowadzenie Punktu Informacji Europejskiej Europe Direct - Szczecin </t>
    </r>
    <r>
      <rPr>
        <sz val="9"/>
        <rFont val="Arial CE"/>
        <charset val="238"/>
      </rPr>
      <t xml:space="preserve">w ramach środków Komisji Europejskiej </t>
    </r>
    <r>
      <rPr>
        <b/>
        <sz val="9"/>
        <rFont val="Arial CE"/>
        <charset val="238"/>
      </rPr>
      <t>(2013-2017)</t>
    </r>
  </si>
  <si>
    <r>
      <t xml:space="preserve">Wolontariat europejski EVS </t>
    </r>
    <r>
      <rPr>
        <sz val="9"/>
        <rFont val="Arial CE"/>
        <charset val="238"/>
      </rPr>
      <t xml:space="preserve">w ramach Programu Erasmus+ </t>
    </r>
    <r>
      <rPr>
        <b/>
        <sz val="9"/>
        <rFont val="Arial CE"/>
        <charset val="238"/>
      </rPr>
      <t xml:space="preserve"> (2016-2017)</t>
    </r>
  </si>
  <si>
    <r>
      <t xml:space="preserve">Wydatki </t>
    </r>
    <r>
      <rPr>
        <b/>
        <sz val="10"/>
        <rFont val="Arial"/>
        <family val="2"/>
        <charset val="238"/>
      </rPr>
      <t xml:space="preserve">płatności </t>
    </r>
    <r>
      <rPr>
        <sz val="10"/>
        <rFont val="Arial"/>
        <family val="2"/>
        <charset val="238"/>
      </rPr>
      <t>PT 2014-2020 - lata 2021-2023</t>
    </r>
  </si>
  <si>
    <r>
      <t xml:space="preserve">Budowa sieci tras rowerowych Pomorza Zachodniego - Trasa Pojezierna </t>
    </r>
    <r>
      <rPr>
        <sz val="9"/>
        <rFont val="Arial CE"/>
        <family val="2"/>
        <charset val="238"/>
      </rPr>
      <t xml:space="preserve">w ramach Osi IV RPO </t>
    </r>
    <r>
      <rPr>
        <b/>
        <sz val="9"/>
        <rFont val="Arial CE"/>
        <family val="2"/>
        <charset val="238"/>
      </rPr>
      <t>(2016-2018)</t>
    </r>
  </si>
  <si>
    <r>
      <t xml:space="preserve">Budowa sieci tras rowerowych Pomorza Zachodniego - Trasa Nadmorska </t>
    </r>
    <r>
      <rPr>
        <sz val="9"/>
        <rFont val="Arial CE"/>
        <family val="2"/>
        <charset val="238"/>
      </rPr>
      <t>w ramach Osi IV RPO</t>
    </r>
    <r>
      <rPr>
        <b/>
        <sz val="9"/>
        <rFont val="Arial CE"/>
        <family val="2"/>
        <charset val="238"/>
      </rPr>
      <t xml:space="preserve"> (2016-2018)</t>
    </r>
  </si>
  <si>
    <r>
      <t xml:space="preserve">Dokumentacje techniczne na budowę sieci tras rowerowych Pomorza Zachodniego </t>
    </r>
    <r>
      <rPr>
        <sz val="9"/>
        <rFont val="Arial CE"/>
        <family val="2"/>
        <charset val="238"/>
      </rPr>
      <t>w ramach Osi IV RPO</t>
    </r>
    <r>
      <rPr>
        <b/>
        <sz val="9"/>
        <rFont val="Arial CE"/>
        <family val="2"/>
        <charset val="238"/>
      </rPr>
      <t xml:space="preserve"> (2017-2018)</t>
    </r>
  </si>
  <si>
    <t>Fish Markets - dziedzictwo rybołówstwa przybrzeżnego jako potencjał rozwoju turystyki w ramach Programu INTERREG Południowy Bałtyk 2014-2020 (2017-2019)</t>
  </si>
  <si>
    <t>Biking South Baltic! Promocja i rozwój Trasy Rowerowej Morza Bałtyckiego (EuroVelo 10) w Danii, Niemczech, Litwie, Polsce i Szwecji w ramach Programu Interreg Południowy Bałtyk (2017-2019) - zakupy inwestycyjne</t>
  </si>
  <si>
    <t>Biking South Baltic! Promocja i rozwój Trasy Rowerowej Morza Bałtyckiego (EuroVelo 10) w Danii, Niemczech, Litwie, Polsce i Szwecji w ramach Programu Interreg Południowy Bałtyk (2017-2019)</t>
  </si>
  <si>
    <r>
      <t xml:space="preserve">Zakup kolejowego taboru pasażerskiego o napędzie spalinowym </t>
    </r>
    <r>
      <rPr>
        <sz val="9"/>
        <rFont val="Arial CE"/>
        <charset val="238"/>
      </rPr>
      <t>w ramach Osi V RPO</t>
    </r>
    <r>
      <rPr>
        <b/>
        <sz val="9"/>
        <rFont val="Arial CE"/>
        <family val="2"/>
        <charset val="238"/>
      </rPr>
      <t xml:space="preserve"> (2016-2017)</t>
    </r>
  </si>
  <si>
    <t>Wypłata odszkodowań za nieruchomości pod planowane inwestycje drogowe  (2012-2017)</t>
  </si>
  <si>
    <t>rozdz. 75018
75095
90011*</t>
  </si>
  <si>
    <t xml:space="preserve"> * dotyczy wykonania wydatków WFOŚiGW</t>
  </si>
  <si>
    <t>WZS, WWRPO, WOiRZL, GM, WWŚRPO</t>
  </si>
  <si>
    <r>
      <t xml:space="preserve">Budowa infrastruktury turystycznej w Parkach Krajobrazowych województwa zachodniopomorskiego w celu zmniejszenia antropopresji - II etap </t>
    </r>
    <r>
      <rPr>
        <sz val="9"/>
        <rFont val="Arial CE"/>
        <charset val="238"/>
      </rPr>
      <t>w ra</t>
    </r>
    <r>
      <rPr>
        <sz val="9"/>
        <rFont val="Arial CE"/>
        <family val="2"/>
        <charset val="238"/>
      </rPr>
      <t>mach RPO WZ, Osi IV</t>
    </r>
    <r>
      <rPr>
        <b/>
        <sz val="9"/>
        <rFont val="Arial CE"/>
        <family val="2"/>
        <charset val="238"/>
      </rPr>
      <t xml:space="preserve"> (2016-2018)</t>
    </r>
  </si>
  <si>
    <r>
      <t xml:space="preserve">Budowa infrastruktury turystycznej w Parkach Krajobrazowych województwa zachodniopomorskiego w celu zmniejszenia antropopresji - II etap </t>
    </r>
    <r>
      <rPr>
        <sz val="9"/>
        <rFont val="Arial CE"/>
        <charset val="238"/>
      </rPr>
      <t>w</t>
    </r>
    <r>
      <rPr>
        <b/>
        <sz val="9"/>
        <rFont val="Arial CE"/>
        <family val="2"/>
        <charset val="238"/>
      </rPr>
      <t xml:space="preserve"> </t>
    </r>
    <r>
      <rPr>
        <sz val="9"/>
        <rFont val="Arial CE"/>
        <family val="2"/>
        <charset val="238"/>
      </rPr>
      <t>ramach RPO WZ, Osi IV</t>
    </r>
    <r>
      <rPr>
        <b/>
        <sz val="9"/>
        <rFont val="Arial CE"/>
        <family val="2"/>
        <charset val="238"/>
      </rPr>
      <t xml:space="preserve"> (2016-2018)</t>
    </r>
  </si>
  <si>
    <t xml:space="preserve">Wzmacnianie ochrony bociana białego i nietoperzy oraz realizacja zadań czynnej ochrony w rezerwatach przyrody na obszarach parków krajobrazowych województwa zachodniopomorskiego- bieżące" w ramach Osi IV RPO (2017-2020) </t>
  </si>
  <si>
    <t>Wzmacnianie ochrony bociana białego i nietoperzy oraz realizacja zadań czynnej ochrony w rezerwatach przyrody na obszarach parków krajobrazowych województwa zachodniopomorskiego - majątkowe" w ramach Osi IV RPO (2017-2020)</t>
  </si>
  <si>
    <t>Biking South Baltic! Promocja i rozwój Trasy Rowerowej Morza Bałtyckiego (EuroVelo 10) w Danii, Niemczech, Litwie, Polsce i Szwecji w ramach Programu Interreg Południowy Bałtyk - wydatki bieżace (2017-2019)</t>
  </si>
  <si>
    <t>Biking South Baltic! Promocja i rozwój Trasy Rowerowej Morza Bałtyckiego (EuroVelo 10) w Danii, Niemczech, Litwie, Polsce i Szwecji w ramach Programu Interreg Południowy Bałtyk - zakupy inwestycyjne (2017-2019)</t>
  </si>
  <si>
    <t>Fish Markets - dziedzictwo rybołówstwa przybrzeżnego jako potencjał rozwoju turystyki 
w ramach Programu INTERREG Południowy Bałtyk 2014-2020 (2017-2019)</t>
  </si>
  <si>
    <t xml:space="preserve">Wzmacnianie ochrony bociana białego i nietoperzy oraz realizacja zadań czynnej ochrony w rezerwatach przyrody na obszarach parków krajobrazowych województwa zachodniopomorskiego - wydatki bieżące" w ramach Osi IV RPO (2017-2020) </t>
  </si>
  <si>
    <t>Wzmacnianie ochrony bociana białego i nietoperzy oraz realizacja zadań czynnej ochrony w rezerwatach przyrody na obszarach parków krajobrazowych województwa zachodniopomorskiego - wydatki majątkowe" w ramach Osi IV RPO (2017-2020)</t>
  </si>
  <si>
    <t>Samodzielny Publiczny Wojewódzki
Szpital
 Zespolony w Szczecinie pod nadzorem WZ</t>
  </si>
  <si>
    <t>Poręczenie kredytu inwestycyjnego dla Samodzielnego Publicznego Wojewódzkiego Szpitala Zespolonego w Szczecinie (2015-2027)</t>
  </si>
  <si>
    <t>Poręczenie kredytu dla Szpitala Specjalistycznego w Szczecinie Zdunowie na pokrycie wkładu własnego (2016-2018)</t>
  </si>
  <si>
    <t>Poręczenie pożyczki dla Regionalnego Szpitala w Kołobrzegu na dofinansowanie realizacji zadania inwestycyjnego pn. Poprawa efektywności energetycznej budynków Szpitala Regionalnego w Kołobrzegu (2016 - 2028)*</t>
  </si>
  <si>
    <t>Poręczenie kredytu konsolidacyjnego dla Samodzielnego Publicznego Wojewódzkiego Szpitala Zespolonego  w Szczecinie (2017-2032)**</t>
  </si>
  <si>
    <r>
      <t xml:space="preserve">*W latach 2024- 2028 kwota poręczenia dla Regionalnego Szpitala w Kołobrzegu wynosi </t>
    </r>
    <r>
      <rPr>
        <b/>
        <i/>
        <sz val="8"/>
        <rFont val="Arial CE"/>
        <charset val="238"/>
      </rPr>
      <t>1.050.002 zł.</t>
    </r>
  </si>
  <si>
    <r>
      <t xml:space="preserve">** latach 2024- 2032 kwota poręczenia dla Samodzielnego Publicznego Wojewódzkiego Szpitala Zespolonego  w Szczecinie  wynosi </t>
    </r>
    <r>
      <rPr>
        <b/>
        <i/>
        <sz val="8"/>
        <rFont val="Arial CE"/>
        <charset val="238"/>
      </rPr>
      <t>33.257.445 zł</t>
    </r>
    <r>
      <rPr>
        <i/>
        <sz val="8"/>
        <rFont val="Arial CE"/>
        <charset val="238"/>
      </rPr>
      <t>.</t>
    </r>
  </si>
  <si>
    <t>WZS, WWRPO, GM, WWŚRPO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</si>
</sst>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#,##0.000"/>
    <numFmt numFmtId="165" formatCode="#,##0.0"/>
    <numFmt numFmtId="167" formatCode="#,##0_ ;\-#,##0\ "/>
  </numFmts>
  <fonts count="113"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 CE"/>
      <charset val="238"/>
    </font>
    <font>
      <sz val="9"/>
      <name val="Arial CE"/>
      <family val="2"/>
      <charset val="238"/>
    </font>
    <font>
      <sz val="10"/>
      <name val="Arial CE"/>
      <family val="2"/>
      <charset val="238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b/>
      <i/>
      <sz val="12"/>
      <name val="Arial CE"/>
      <charset val="238"/>
    </font>
    <font>
      <i/>
      <sz val="12"/>
      <name val="Arial CE"/>
      <charset val="238"/>
    </font>
    <font>
      <i/>
      <sz val="8"/>
      <name val="Arial CE"/>
      <charset val="238"/>
    </font>
    <font>
      <b/>
      <i/>
      <sz val="14"/>
      <name val="Arial"/>
      <family val="2"/>
      <charset val="238"/>
    </font>
    <font>
      <b/>
      <i/>
      <sz val="14"/>
      <name val="Arial CE"/>
      <charset val="238"/>
    </font>
    <font>
      <b/>
      <sz val="14"/>
      <name val="Arial CE"/>
      <family val="2"/>
      <charset val="238"/>
    </font>
    <font>
      <b/>
      <sz val="8"/>
      <name val="Arial CE"/>
      <family val="2"/>
      <charset val="238"/>
    </font>
    <font>
      <sz val="8"/>
      <name val="Arial CE"/>
      <family val="2"/>
      <charset val="238"/>
    </font>
    <font>
      <b/>
      <sz val="10"/>
      <name val="Arial CE"/>
      <family val="2"/>
      <charset val="238"/>
    </font>
    <font>
      <b/>
      <sz val="8"/>
      <name val="Arial CE"/>
      <charset val="238"/>
    </font>
    <font>
      <sz val="8"/>
      <name val="Arial CE"/>
      <charset val="238"/>
    </font>
    <font>
      <sz val="8"/>
      <name val="Arial"/>
      <family val="2"/>
      <charset val="238"/>
    </font>
    <font>
      <b/>
      <sz val="9"/>
      <name val="Arial"/>
      <family val="2"/>
      <charset val="238"/>
    </font>
    <font>
      <b/>
      <sz val="9"/>
      <name val="Arial CE"/>
      <family val="2"/>
      <charset val="238"/>
    </font>
    <font>
      <b/>
      <sz val="9"/>
      <name val="Arial CE"/>
      <charset val="238"/>
    </font>
    <font>
      <b/>
      <sz val="8"/>
      <name val="Arial"/>
      <family val="2"/>
      <charset val="238"/>
    </font>
    <font>
      <b/>
      <i/>
      <sz val="9"/>
      <name val="Arial CE"/>
      <charset val="238"/>
    </font>
    <font>
      <i/>
      <sz val="9"/>
      <name val="Arial CE"/>
      <charset val="238"/>
    </font>
    <font>
      <b/>
      <i/>
      <sz val="9"/>
      <name val="Arial CE"/>
      <family val="2"/>
      <charset val="238"/>
    </font>
    <font>
      <b/>
      <i/>
      <sz val="8"/>
      <name val="Arial CE"/>
      <family val="2"/>
      <charset val="238"/>
    </font>
    <font>
      <sz val="9"/>
      <name val="Arial CE"/>
      <charset val="238"/>
    </font>
    <font>
      <sz val="9"/>
      <name val="Arial"/>
      <family val="2"/>
      <charset val="238"/>
    </font>
    <font>
      <b/>
      <i/>
      <sz val="9"/>
      <name val="Arial"/>
      <family val="2"/>
      <charset val="238"/>
    </font>
    <font>
      <sz val="12"/>
      <name val="Arial CE"/>
      <family val="2"/>
      <charset val="238"/>
    </font>
    <font>
      <b/>
      <i/>
      <sz val="8"/>
      <name val="Arial CE"/>
      <charset val="238"/>
    </font>
    <font>
      <b/>
      <sz val="10"/>
      <name val="Arial CE"/>
      <charset val="238"/>
    </font>
    <font>
      <b/>
      <sz val="10"/>
      <name val="Arial"/>
      <family val="2"/>
      <charset val="238"/>
    </font>
    <font>
      <b/>
      <sz val="8"/>
      <color indexed="81"/>
      <name val="Tahoma"/>
      <family val="2"/>
      <charset val="238"/>
    </font>
    <font>
      <sz val="8"/>
      <color indexed="81"/>
      <name val="Tahoma"/>
      <family val="2"/>
      <charset val="238"/>
    </font>
    <font>
      <i/>
      <sz val="9"/>
      <name val="Arial CE"/>
      <family val="2"/>
      <charset val="238"/>
    </font>
    <font>
      <sz val="10"/>
      <color theme="1"/>
      <name val="Arial CE"/>
      <charset val="238"/>
    </font>
    <font>
      <i/>
      <sz val="10"/>
      <name val="Arial"/>
      <family val="2"/>
      <charset val="238"/>
    </font>
    <font>
      <b/>
      <sz val="14"/>
      <name val="Arial CE"/>
      <charset val="238"/>
    </font>
    <font>
      <u/>
      <sz val="10"/>
      <color theme="10"/>
      <name val="Arial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indexed="8"/>
      <name val="Calibri"/>
      <family val="2"/>
      <charset val="238"/>
    </font>
    <font>
      <sz val="10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sz val="16"/>
      <color rgb="FF000000"/>
      <name val="Arial"/>
      <family val="2"/>
      <charset val="238"/>
    </font>
    <font>
      <sz val="1"/>
      <color rgb="FF000000"/>
      <name val="Arial"/>
      <family val="2"/>
      <charset val="238"/>
    </font>
    <font>
      <sz val="12"/>
      <color rgb="FF000000"/>
      <name val="Arial"/>
      <family val="2"/>
      <charset val="238"/>
    </font>
    <font>
      <b/>
      <sz val="8"/>
      <color rgb="FF000000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b/>
      <sz val="16"/>
      <color indexed="23"/>
      <name val="Arial"/>
      <family val="2"/>
      <charset val="238"/>
    </font>
    <font>
      <sz val="10"/>
      <color indexed="10"/>
      <name val="Arial"/>
      <family val="2"/>
    </font>
    <font>
      <i/>
      <sz val="8"/>
      <name val="Arial CE"/>
      <family val="2"/>
      <charset val="238"/>
    </font>
    <font>
      <sz val="10"/>
      <name val="Arial"/>
      <family val="2"/>
      <charset val="238"/>
    </font>
    <font>
      <sz val="12"/>
      <name val="Arial CE"/>
      <charset val="238"/>
    </font>
    <font>
      <b/>
      <i/>
      <sz val="10"/>
      <name val="Arial"/>
      <family val="2"/>
      <charset val="238"/>
    </font>
    <font>
      <b/>
      <i/>
      <sz val="12"/>
      <name val="Arial Black"/>
      <family val="2"/>
      <charset val="238"/>
    </font>
    <font>
      <b/>
      <sz val="11"/>
      <name val="Arial CE"/>
      <charset val="238"/>
    </font>
    <font>
      <i/>
      <sz val="9"/>
      <name val="Arial"/>
      <family val="2"/>
      <charset val="238"/>
    </font>
    <font>
      <b/>
      <sz val="7"/>
      <name val="Arial CE"/>
      <family val="2"/>
      <charset val="238"/>
    </font>
    <font>
      <sz val="7"/>
      <name val="Arial"/>
      <family val="2"/>
      <charset val="238"/>
    </font>
    <font>
      <b/>
      <i/>
      <sz val="10"/>
      <name val="Arial CE"/>
      <family val="2"/>
      <charset val="238"/>
    </font>
    <font>
      <b/>
      <sz val="16"/>
      <color theme="1"/>
      <name val="Arial CE"/>
      <charset val="238"/>
    </font>
    <font>
      <sz val="10"/>
      <color theme="1"/>
      <name val="Arial"/>
      <family val="2"/>
      <charset val="238"/>
    </font>
    <font>
      <sz val="10"/>
      <color theme="1"/>
      <name val="Arial CE"/>
      <family val="2"/>
      <charset val="238"/>
    </font>
    <font>
      <b/>
      <sz val="10"/>
      <color theme="1"/>
      <name val="Arial CE"/>
      <family val="2"/>
      <charset val="238"/>
    </font>
    <font>
      <b/>
      <sz val="10"/>
      <color theme="1"/>
      <name val="Arial CE"/>
      <charset val="238"/>
    </font>
    <font>
      <b/>
      <sz val="10"/>
      <color theme="1"/>
      <name val="Arial"/>
      <family val="2"/>
      <charset val="238"/>
    </font>
    <font>
      <sz val="9"/>
      <color theme="1"/>
      <name val="Arial CE"/>
      <family val="2"/>
      <charset val="238"/>
    </font>
    <font>
      <sz val="9"/>
      <color theme="1"/>
      <name val="Arial CE"/>
      <charset val="238"/>
    </font>
    <font>
      <b/>
      <sz val="11"/>
      <color theme="1"/>
      <name val="Arial CE"/>
      <family val="2"/>
      <charset val="238"/>
    </font>
    <font>
      <b/>
      <sz val="11"/>
      <color theme="1"/>
      <name val="Arial CE"/>
      <charset val="238"/>
    </font>
    <font>
      <sz val="11"/>
      <color theme="1"/>
      <name val="Arial CE"/>
      <family val="2"/>
      <charset val="238"/>
    </font>
    <font>
      <b/>
      <sz val="11"/>
      <color theme="1"/>
      <name val="Arial"/>
      <family val="2"/>
      <charset val="238"/>
    </font>
    <font>
      <i/>
      <sz val="10"/>
      <color theme="1"/>
      <name val="Arial CE"/>
      <charset val="238"/>
    </font>
    <font>
      <b/>
      <i/>
      <sz val="10"/>
      <color theme="1"/>
      <name val="Arial CE"/>
      <charset val="238"/>
    </font>
    <font>
      <sz val="11"/>
      <color theme="1"/>
      <name val="Arial CE"/>
      <charset val="238"/>
    </font>
    <font>
      <b/>
      <sz val="8"/>
      <color theme="1"/>
      <name val="Arial CE"/>
      <charset val="238"/>
    </font>
    <font>
      <b/>
      <i/>
      <sz val="10"/>
      <name val="Arial CE"/>
      <charset val="238"/>
    </font>
    <font>
      <i/>
      <sz val="12"/>
      <name val="Arial"/>
      <family val="2"/>
      <charset val="238"/>
    </font>
    <font>
      <b/>
      <sz val="11"/>
      <name val="Arial CE"/>
      <family val="2"/>
      <charset val="238"/>
    </font>
    <font>
      <b/>
      <sz val="12"/>
      <name val="Arial CE"/>
      <charset val="238"/>
    </font>
    <font>
      <sz val="10"/>
      <name val="Bookman Old Style"/>
      <family val="1"/>
      <charset val="238"/>
    </font>
    <font>
      <sz val="16"/>
      <name val="Bookman Old Style"/>
      <family val="1"/>
      <charset val="238"/>
    </font>
    <font>
      <b/>
      <sz val="11"/>
      <name val="Arial"/>
      <family val="2"/>
      <charset val="238"/>
    </font>
    <font>
      <b/>
      <sz val="16"/>
      <name val="Arial Black"/>
      <family val="2"/>
      <charset val="238"/>
    </font>
    <font>
      <b/>
      <sz val="18"/>
      <name val="Arial CE"/>
      <charset val="238"/>
    </font>
    <font>
      <b/>
      <sz val="16"/>
      <name val="Arial CE"/>
      <charset val="238"/>
    </font>
    <font>
      <b/>
      <sz val="16"/>
      <name val="Arial CE"/>
      <family val="2"/>
      <charset val="238"/>
    </font>
    <font>
      <sz val="11"/>
      <name val="Arial CE"/>
      <family val="2"/>
      <charset val="238"/>
    </font>
    <font>
      <b/>
      <i/>
      <sz val="11"/>
      <name val="Arial CE"/>
      <charset val="238"/>
    </font>
    <font>
      <b/>
      <i/>
      <sz val="11"/>
      <name val="Arial CE"/>
      <family val="2"/>
      <charset val="238"/>
    </font>
    <font>
      <sz val="11"/>
      <name val="Arial CE"/>
      <charset val="238"/>
    </font>
    <font>
      <i/>
      <sz val="11"/>
      <name val="Arial CE"/>
      <charset val="238"/>
    </font>
    <font>
      <i/>
      <sz val="11"/>
      <name val="Arial CE"/>
      <family val="2"/>
      <charset val="238"/>
    </font>
    <font>
      <i/>
      <sz val="10"/>
      <name val="Arial CE"/>
      <charset val="238"/>
    </font>
    <font>
      <i/>
      <sz val="10"/>
      <name val="Arial CE"/>
      <family val="2"/>
      <charset val="238"/>
    </font>
    <font>
      <b/>
      <i/>
      <sz val="16"/>
      <name val="Bookman Old Style"/>
      <family val="1"/>
      <charset val="238"/>
    </font>
    <font>
      <b/>
      <i/>
      <sz val="11"/>
      <name val="Bookman Old Style"/>
      <family val="1"/>
      <charset val="238"/>
    </font>
    <font>
      <b/>
      <sz val="16"/>
      <name val="Bookman Old Style"/>
      <family val="1"/>
      <charset val="238"/>
    </font>
    <font>
      <b/>
      <sz val="12"/>
      <name val="Bookman Old Style"/>
      <family val="1"/>
      <charset val="238"/>
    </font>
    <font>
      <i/>
      <sz val="10"/>
      <color rgb="FF0000FF"/>
      <name val="Arial CE"/>
      <family val="2"/>
      <charset val="238"/>
    </font>
    <font>
      <i/>
      <sz val="10"/>
      <color rgb="FF0000FF"/>
      <name val="Arial"/>
      <family val="2"/>
      <charset val="238"/>
    </font>
    <font>
      <i/>
      <sz val="10"/>
      <color rgb="FF0000FF"/>
      <name val="Arial CE"/>
      <charset val="238"/>
    </font>
    <font>
      <sz val="16"/>
      <color rgb="FF0000FF"/>
      <name val="Bookman Old Style"/>
      <family val="1"/>
      <charset val="238"/>
    </font>
  </fonts>
  <fills count="6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mediumGray">
        <fgColor indexed="42"/>
      </patternFill>
    </fill>
    <fill>
      <patternFill patternType="solid">
        <fgColor indexed="27"/>
        <bgColor indexed="64"/>
      </patternFill>
    </fill>
    <fill>
      <patternFill patternType="mediumGray">
        <fgColor indexed="42"/>
        <bgColor indexed="27"/>
      </patternFill>
    </fill>
    <fill>
      <patternFill patternType="solid">
        <fgColor indexed="47"/>
        <bgColor indexed="64"/>
      </patternFill>
    </fill>
    <fill>
      <patternFill patternType="mediumGray">
        <fgColor indexed="42"/>
        <bgColor indexed="47"/>
      </patternFill>
    </fill>
    <fill>
      <patternFill patternType="solid">
        <fgColor indexed="42"/>
        <bgColor indexed="64"/>
      </patternFill>
    </fill>
    <fill>
      <patternFill patternType="mediumGray">
        <fgColor indexed="42"/>
        <bgColor indexed="42"/>
      </patternFill>
    </fill>
    <fill>
      <patternFill patternType="mediumGray">
        <fgColor indexed="42"/>
        <bgColor indexed="9"/>
      </patternFill>
    </fill>
    <fill>
      <patternFill patternType="solid">
        <fgColor indexed="3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6"/>
        <bgColor indexed="64"/>
      </patternFill>
    </fill>
    <fill>
      <patternFill patternType="mediumGray">
        <fgColor indexed="11"/>
        <bgColor indexed="46"/>
      </patternFill>
    </fill>
    <fill>
      <patternFill patternType="mediumGray">
        <fgColor indexed="11"/>
        <bgColor indexed="47"/>
      </patternFill>
    </fill>
    <fill>
      <patternFill patternType="mediumGray">
        <fgColor indexed="11"/>
        <bgColor indexed="42"/>
      </patternFill>
    </fill>
    <fill>
      <patternFill patternType="mediumGray">
        <fgColor indexed="11"/>
        <bgColor indexed="43"/>
      </patternFill>
    </fill>
    <fill>
      <patternFill patternType="mediumGray">
        <fgColor indexed="11"/>
      </patternFill>
    </fill>
    <fill>
      <patternFill patternType="mediumGray">
        <fgColor indexed="11"/>
        <bgColor indexed="9"/>
      </patternFill>
    </fill>
    <fill>
      <patternFill patternType="solid">
        <fgColor indexed="43"/>
        <bgColor indexed="9"/>
      </patternFill>
    </fill>
    <fill>
      <patternFill patternType="solid">
        <fgColor indexed="42"/>
        <bgColor indexed="9"/>
      </patternFill>
    </fill>
    <fill>
      <patternFill patternType="solid">
        <fgColor indexed="47"/>
        <bgColor indexed="9"/>
      </patternFill>
    </fill>
    <fill>
      <patternFill patternType="solid">
        <fgColor indexed="5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gray125">
        <fgColor indexed="11"/>
        <bgColor indexed="50"/>
      </patternFill>
    </fill>
    <fill>
      <patternFill patternType="solid">
        <fgColor indexed="45"/>
        <bgColor indexed="64"/>
      </patternFill>
    </fill>
    <fill>
      <patternFill patternType="gray125">
        <fgColor indexed="11"/>
        <bgColor indexed="9"/>
      </patternFill>
    </fill>
    <fill>
      <patternFill patternType="solid">
        <fgColor indexed="41"/>
        <bgColor indexed="64"/>
      </patternFill>
    </fill>
    <fill>
      <patternFill patternType="mediumGray">
        <fgColor indexed="13"/>
        <bgColor indexed="15"/>
      </patternFill>
    </fill>
    <fill>
      <patternFill patternType="mediumGray">
        <fgColor indexed="13"/>
        <bgColor indexed="47"/>
      </patternFill>
    </fill>
    <fill>
      <patternFill patternType="mediumGray">
        <fgColor indexed="13"/>
        <bgColor indexed="42"/>
      </patternFill>
    </fill>
    <fill>
      <patternFill patternType="mediumGray">
        <fgColor indexed="13"/>
        <bgColor indexed="9"/>
      </patternFill>
    </fill>
    <fill>
      <patternFill patternType="solid">
        <fgColor rgb="FFFFFFFF"/>
        <bgColor indexed="64"/>
      </patternFill>
    </fill>
    <fill>
      <patternFill patternType="solid">
        <fgColor rgb="FF80808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rgb="FF6A6A6A"/>
        <bgColor indexed="64"/>
      </patternFill>
    </fill>
    <fill>
      <patternFill patternType="solid">
        <fgColor rgb="FFFFFFE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00"/>
        <bgColor indexed="9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59999389629810485"/>
        <bgColor indexed="9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mediumGray">
        <fgColor indexed="11"/>
        <bgColor rgb="FFFFFF00"/>
      </patternFill>
    </fill>
    <fill>
      <patternFill patternType="mediumGray">
        <fgColor indexed="11"/>
        <bgColor theme="8" tint="0.59999389629810485"/>
      </patternFill>
    </fill>
    <fill>
      <patternFill patternType="solid">
        <fgColor theme="8" tint="0.79998168889431442"/>
        <bgColor indexed="64"/>
      </patternFill>
    </fill>
  </fills>
  <borders count="19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slantDashDot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 diagonalUp="1" diagonalDown="1">
      <left/>
      <right/>
      <top/>
      <bottom/>
      <diagonal style="thin">
        <color auto="1"/>
      </diagonal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</borders>
  <cellStyleXfs count="847">
    <xf numFmtId="0" fontId="0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6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4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3" fillId="0" borderId="0"/>
    <xf numFmtId="0" fontId="4" fillId="0" borderId="0"/>
    <xf numFmtId="0" fontId="4" fillId="0" borderId="0"/>
    <xf numFmtId="0" fontId="45" fillId="0" borderId="0"/>
    <xf numFmtId="0" fontId="46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7" fillId="42" borderId="0">
      <alignment horizontal="left" vertical="top"/>
    </xf>
    <xf numFmtId="0" fontId="48" fillId="42" borderId="0">
      <alignment horizontal="center" vertical="top"/>
    </xf>
    <xf numFmtId="0" fontId="47" fillId="42" borderId="0">
      <alignment horizontal="left" vertical="top"/>
    </xf>
    <xf numFmtId="0" fontId="47" fillId="42" borderId="0">
      <alignment horizontal="left" vertical="top"/>
    </xf>
    <xf numFmtId="0" fontId="47" fillId="42" borderId="0">
      <alignment horizontal="right" vertical="top"/>
    </xf>
    <xf numFmtId="0" fontId="48" fillId="43" borderId="0">
      <alignment horizontal="left" vertical="top"/>
    </xf>
    <xf numFmtId="0" fontId="48" fillId="43" borderId="0">
      <alignment horizontal="right" vertical="top"/>
    </xf>
    <xf numFmtId="0" fontId="48" fillId="43" borderId="0">
      <alignment horizontal="right" vertical="top"/>
    </xf>
    <xf numFmtId="0" fontId="48" fillId="43" borderId="0">
      <alignment horizontal="right" vertical="top"/>
    </xf>
    <xf numFmtId="0" fontId="48" fillId="44" borderId="0">
      <alignment horizontal="left" vertical="top"/>
    </xf>
    <xf numFmtId="0" fontId="48" fillId="44" borderId="0">
      <alignment horizontal="right" vertical="top"/>
    </xf>
    <xf numFmtId="0" fontId="48" fillId="44" borderId="0">
      <alignment horizontal="right" vertical="top"/>
    </xf>
    <xf numFmtId="0" fontId="49" fillId="42" borderId="0">
      <alignment horizontal="center" vertical="top"/>
    </xf>
    <xf numFmtId="0" fontId="48" fillId="44" borderId="0">
      <alignment horizontal="right" vertical="top"/>
    </xf>
    <xf numFmtId="0" fontId="47" fillId="45" borderId="0">
      <alignment horizontal="left" vertical="top"/>
    </xf>
    <xf numFmtId="0" fontId="47" fillId="45" borderId="0">
      <alignment horizontal="right" vertical="top"/>
    </xf>
    <xf numFmtId="0" fontId="47" fillId="45" borderId="0">
      <alignment horizontal="right" vertical="top"/>
    </xf>
    <xf numFmtId="0" fontId="47" fillId="45" borderId="0">
      <alignment horizontal="right" vertical="top"/>
    </xf>
    <xf numFmtId="0" fontId="47" fillId="42" borderId="0">
      <alignment horizontal="left" vertical="top"/>
    </xf>
    <xf numFmtId="0" fontId="47" fillId="42" borderId="0">
      <alignment horizontal="right" vertical="top"/>
    </xf>
    <xf numFmtId="0" fontId="47" fillId="42" borderId="0">
      <alignment horizontal="right" vertical="top"/>
    </xf>
    <xf numFmtId="0" fontId="47" fillId="42" borderId="0">
      <alignment horizontal="right" vertical="top"/>
    </xf>
    <xf numFmtId="0" fontId="50" fillId="46" borderId="0">
      <alignment horizontal="left" vertical="top"/>
    </xf>
    <xf numFmtId="0" fontId="51" fillId="42" borderId="0">
      <alignment horizontal="left" vertical="top"/>
    </xf>
    <xf numFmtId="0" fontId="52" fillId="42" borderId="0">
      <alignment horizontal="left" vertical="top"/>
    </xf>
    <xf numFmtId="0" fontId="48" fillId="42" borderId="0">
      <alignment horizontal="right" vertical="top"/>
    </xf>
    <xf numFmtId="0" fontId="48" fillId="42" borderId="0">
      <alignment horizontal="right" vertical="top"/>
    </xf>
    <xf numFmtId="0" fontId="52" fillId="47" borderId="0">
      <alignment horizontal="left"/>
    </xf>
    <xf numFmtId="0" fontId="52" fillId="47" borderId="0">
      <alignment horizontal="left"/>
    </xf>
    <xf numFmtId="0" fontId="52" fillId="47" borderId="0">
      <alignment horizontal="right"/>
    </xf>
    <xf numFmtId="0" fontId="53" fillId="47" borderId="0">
      <alignment horizontal="right"/>
    </xf>
    <xf numFmtId="0" fontId="52" fillId="46" borderId="0">
      <alignment horizontal="left" vertical="top"/>
    </xf>
    <xf numFmtId="0" fontId="48" fillId="46" borderId="0">
      <alignment horizontal="right" vertical="top"/>
    </xf>
    <xf numFmtId="0" fontId="48" fillId="46" borderId="0">
      <alignment horizontal="right" vertical="top"/>
    </xf>
    <xf numFmtId="0" fontId="47" fillId="42" borderId="0">
      <alignment horizontal="left" vertical="center"/>
    </xf>
    <xf numFmtId="0" fontId="50" fillId="47" borderId="0">
      <alignment horizontal="left" vertical="top"/>
    </xf>
    <xf numFmtId="0" fontId="50" fillId="47" borderId="0">
      <alignment horizontal="left" vertical="top"/>
    </xf>
    <xf numFmtId="0" fontId="50" fillId="46" borderId="0">
      <alignment horizontal="left" vertical="top"/>
    </xf>
    <xf numFmtId="0" fontId="50" fillId="46" borderId="0">
      <alignment horizontal="left" vertical="top"/>
    </xf>
    <xf numFmtId="0" fontId="50" fillId="46" borderId="0">
      <alignment horizontal="left" vertical="top"/>
    </xf>
    <xf numFmtId="0" fontId="50" fillId="47" borderId="0">
      <alignment horizontal="left" vertical="top"/>
    </xf>
    <xf numFmtId="0" fontId="52" fillId="42" borderId="0">
      <alignment horizontal="left"/>
    </xf>
    <xf numFmtId="0" fontId="52" fillId="42" borderId="0">
      <alignment horizontal="left"/>
    </xf>
    <xf numFmtId="0" fontId="52" fillId="42" borderId="0">
      <alignment horizontal="right"/>
    </xf>
    <xf numFmtId="0" fontId="53" fillId="42" borderId="0">
      <alignment horizontal="right"/>
    </xf>
    <xf numFmtId="4" fontId="54" fillId="13" borderId="89" applyNumberFormat="0" applyProtection="0">
      <alignment vertical="center"/>
    </xf>
    <xf numFmtId="4" fontId="55" fillId="13" borderId="89" applyNumberFormat="0" applyProtection="0">
      <alignment vertical="center"/>
    </xf>
    <xf numFmtId="4" fontId="54" fillId="13" borderId="89" applyNumberFormat="0" applyProtection="0">
      <alignment horizontal="left" vertical="center" indent="1"/>
    </xf>
    <xf numFmtId="4" fontId="54" fillId="13" borderId="89" applyNumberFormat="0" applyProtection="0">
      <alignment horizontal="left" vertical="center" indent="1"/>
    </xf>
    <xf numFmtId="0" fontId="4" fillId="11" borderId="89" applyNumberFormat="0" applyProtection="0">
      <alignment horizontal="left" vertical="center" indent="1"/>
    </xf>
    <xf numFmtId="4" fontId="54" fillId="35" borderId="89" applyNumberFormat="0" applyProtection="0">
      <alignment horizontal="right" vertical="center"/>
    </xf>
    <xf numFmtId="4" fontId="54" fillId="48" borderId="89" applyNumberFormat="0" applyProtection="0">
      <alignment horizontal="right" vertical="center"/>
    </xf>
    <xf numFmtId="4" fontId="54" fillId="49" borderId="89" applyNumberFormat="0" applyProtection="0">
      <alignment horizontal="right" vertical="center"/>
    </xf>
    <xf numFmtId="4" fontId="54" fillId="12" borderId="89" applyNumberFormat="0" applyProtection="0">
      <alignment horizontal="right" vertical="center"/>
    </xf>
    <xf numFmtId="4" fontId="54" fillId="50" borderId="89" applyNumberFormat="0" applyProtection="0">
      <alignment horizontal="right" vertical="center"/>
    </xf>
    <xf numFmtId="4" fontId="54" fillId="15" borderId="89" applyNumberFormat="0" applyProtection="0">
      <alignment horizontal="right" vertical="center"/>
    </xf>
    <xf numFmtId="4" fontId="54" fillId="17" borderId="89" applyNumberFormat="0" applyProtection="0">
      <alignment horizontal="right" vertical="center"/>
    </xf>
    <xf numFmtId="4" fontId="54" fillId="16" borderId="89" applyNumberFormat="0" applyProtection="0">
      <alignment horizontal="right" vertical="center"/>
    </xf>
    <xf numFmtId="4" fontId="54" fillId="19" borderId="89" applyNumberFormat="0" applyProtection="0">
      <alignment horizontal="right" vertical="center"/>
    </xf>
    <xf numFmtId="4" fontId="56" fillId="51" borderId="89" applyNumberFormat="0" applyProtection="0">
      <alignment horizontal="left" vertical="center" indent="1"/>
    </xf>
    <xf numFmtId="4" fontId="54" fillId="52" borderId="90" applyNumberFormat="0" applyProtection="0">
      <alignment horizontal="left" vertical="center" indent="1"/>
    </xf>
    <xf numFmtId="4" fontId="57" fillId="53" borderId="0" applyNumberFormat="0" applyProtection="0">
      <alignment horizontal="left" vertical="center" indent="1"/>
    </xf>
    <xf numFmtId="0" fontId="4" fillId="11" borderId="89" applyNumberFormat="0" applyProtection="0">
      <alignment horizontal="left" vertical="center" indent="1"/>
    </xf>
    <xf numFmtId="4" fontId="5" fillId="52" borderId="89" applyNumberFormat="0" applyProtection="0">
      <alignment horizontal="left" vertical="center" indent="1"/>
    </xf>
    <xf numFmtId="4" fontId="5" fillId="54" borderId="89" applyNumberFormat="0" applyProtection="0">
      <alignment horizontal="left" vertical="center" indent="1"/>
    </xf>
    <xf numFmtId="0" fontId="4" fillId="54" borderId="89" applyNumberFormat="0" applyProtection="0">
      <alignment horizontal="left" vertical="center" indent="1"/>
    </xf>
    <xf numFmtId="0" fontId="4" fillId="54" borderId="89" applyNumberFormat="0" applyProtection="0">
      <alignment horizontal="left" vertical="center" indent="1"/>
    </xf>
    <xf numFmtId="0" fontId="4" fillId="30" borderId="89" applyNumberFormat="0" applyProtection="0">
      <alignment horizontal="left" vertical="center" indent="1"/>
    </xf>
    <xf numFmtId="0" fontId="4" fillId="30" borderId="89" applyNumberFormat="0" applyProtection="0">
      <alignment horizontal="left" vertical="center" indent="1"/>
    </xf>
    <xf numFmtId="0" fontId="4" fillId="33" borderId="89" applyNumberFormat="0" applyProtection="0">
      <alignment horizontal="left" vertical="center" indent="1"/>
    </xf>
    <xf numFmtId="0" fontId="4" fillId="33" borderId="89" applyNumberFormat="0" applyProtection="0">
      <alignment horizontal="left" vertical="center" indent="1"/>
    </xf>
    <xf numFmtId="0" fontId="4" fillId="11" borderId="89" applyNumberFormat="0" applyProtection="0">
      <alignment horizontal="left" vertical="center" indent="1"/>
    </xf>
    <xf numFmtId="0" fontId="4" fillId="11" borderId="89" applyNumberFormat="0" applyProtection="0">
      <alignment horizontal="left" vertical="center" indent="1"/>
    </xf>
    <xf numFmtId="4" fontId="54" fillId="20" borderId="89" applyNumberFormat="0" applyProtection="0">
      <alignment vertical="center"/>
    </xf>
    <xf numFmtId="4" fontId="55" fillId="20" borderId="89" applyNumberFormat="0" applyProtection="0">
      <alignment vertical="center"/>
    </xf>
    <xf numFmtId="4" fontId="54" fillId="20" borderId="89" applyNumberFormat="0" applyProtection="0">
      <alignment horizontal="left" vertical="center" indent="1"/>
    </xf>
    <xf numFmtId="4" fontId="54" fillId="20" borderId="89" applyNumberFormat="0" applyProtection="0">
      <alignment horizontal="left" vertical="center" indent="1"/>
    </xf>
    <xf numFmtId="4" fontId="54" fillId="52" borderId="89" applyNumberFormat="0" applyProtection="0">
      <alignment horizontal="right" vertical="center"/>
    </xf>
    <xf numFmtId="4" fontId="55" fillId="52" borderId="89" applyNumberFormat="0" applyProtection="0">
      <alignment horizontal="right" vertical="center"/>
    </xf>
    <xf numFmtId="0" fontId="4" fillId="11" borderId="89" applyNumberFormat="0" applyProtection="0">
      <alignment horizontal="left" vertical="center" indent="1"/>
    </xf>
    <xf numFmtId="0" fontId="4" fillId="11" borderId="89" applyNumberFormat="0" applyProtection="0">
      <alignment horizontal="left" vertical="center" indent="1"/>
    </xf>
    <xf numFmtId="0" fontId="58" fillId="0" borderId="0"/>
    <xf numFmtId="4" fontId="59" fillId="52" borderId="89" applyNumberFormat="0" applyProtection="0">
      <alignment horizontal="right" vertical="center"/>
    </xf>
    <xf numFmtId="44" fontId="46" fillId="0" borderId="0" applyFont="0" applyFill="0" applyBorder="0" applyAlignment="0" applyProtection="0"/>
    <xf numFmtId="0" fontId="61" fillId="0" borderId="0"/>
    <xf numFmtId="0" fontId="61" fillId="0" borderId="0"/>
    <xf numFmtId="0" fontId="61" fillId="0" borderId="0"/>
    <xf numFmtId="0" fontId="6" fillId="0" borderId="0"/>
    <xf numFmtId="4" fontId="54" fillId="13" borderId="100" applyNumberFormat="0" applyProtection="0">
      <alignment vertical="center"/>
    </xf>
    <xf numFmtId="4" fontId="55" fillId="13" borderId="100" applyNumberFormat="0" applyProtection="0">
      <alignment vertical="center"/>
    </xf>
    <xf numFmtId="4" fontId="54" fillId="13" borderId="100" applyNumberFormat="0" applyProtection="0">
      <alignment horizontal="left" vertical="center" indent="1"/>
    </xf>
    <xf numFmtId="4" fontId="54" fillId="13" borderId="100" applyNumberFormat="0" applyProtection="0">
      <alignment horizontal="left" vertical="center" indent="1"/>
    </xf>
    <xf numFmtId="0" fontId="4" fillId="11" borderId="100" applyNumberFormat="0" applyProtection="0">
      <alignment horizontal="left" vertical="center" indent="1"/>
    </xf>
    <xf numFmtId="4" fontId="54" fillId="35" borderId="100" applyNumberFormat="0" applyProtection="0">
      <alignment horizontal="right" vertical="center"/>
    </xf>
    <xf numFmtId="4" fontId="54" fillId="48" borderId="100" applyNumberFormat="0" applyProtection="0">
      <alignment horizontal="right" vertical="center"/>
    </xf>
    <xf numFmtId="4" fontId="54" fillId="49" borderId="100" applyNumberFormat="0" applyProtection="0">
      <alignment horizontal="right" vertical="center"/>
    </xf>
    <xf numFmtId="4" fontId="54" fillId="12" borderId="100" applyNumberFormat="0" applyProtection="0">
      <alignment horizontal="right" vertical="center"/>
    </xf>
    <xf numFmtId="4" fontId="54" fillId="50" borderId="100" applyNumberFormat="0" applyProtection="0">
      <alignment horizontal="right" vertical="center"/>
    </xf>
    <xf numFmtId="4" fontId="54" fillId="15" borderId="100" applyNumberFormat="0" applyProtection="0">
      <alignment horizontal="right" vertical="center"/>
    </xf>
    <xf numFmtId="4" fontId="54" fillId="17" borderId="100" applyNumberFormat="0" applyProtection="0">
      <alignment horizontal="right" vertical="center"/>
    </xf>
    <xf numFmtId="4" fontId="54" fillId="16" borderId="100" applyNumberFormat="0" applyProtection="0">
      <alignment horizontal="right" vertical="center"/>
    </xf>
    <xf numFmtId="4" fontId="54" fillId="19" borderId="100" applyNumberFormat="0" applyProtection="0">
      <alignment horizontal="right" vertical="center"/>
    </xf>
    <xf numFmtId="4" fontId="56" fillId="51" borderId="100" applyNumberFormat="0" applyProtection="0">
      <alignment horizontal="left" vertical="center" indent="1"/>
    </xf>
    <xf numFmtId="4" fontId="54" fillId="52" borderId="101" applyNumberFormat="0" applyProtection="0">
      <alignment horizontal="left" vertical="center" indent="1"/>
    </xf>
    <xf numFmtId="0" fontId="4" fillId="11" borderId="100" applyNumberFormat="0" applyProtection="0">
      <alignment horizontal="left" vertical="center" indent="1"/>
    </xf>
    <xf numFmtId="4" fontId="5" fillId="52" borderId="100" applyNumberFormat="0" applyProtection="0">
      <alignment horizontal="left" vertical="center" indent="1"/>
    </xf>
    <xf numFmtId="4" fontId="5" fillId="54" borderId="100" applyNumberFormat="0" applyProtection="0">
      <alignment horizontal="left" vertical="center" indent="1"/>
    </xf>
    <xf numFmtId="0" fontId="4" fillId="54" borderId="100" applyNumberFormat="0" applyProtection="0">
      <alignment horizontal="left" vertical="center" indent="1"/>
    </xf>
    <xf numFmtId="0" fontId="4" fillId="54" borderId="100" applyNumberFormat="0" applyProtection="0">
      <alignment horizontal="left" vertical="center" indent="1"/>
    </xf>
    <xf numFmtId="0" fontId="4" fillId="30" borderId="100" applyNumberFormat="0" applyProtection="0">
      <alignment horizontal="left" vertical="center" indent="1"/>
    </xf>
    <xf numFmtId="0" fontId="4" fillId="30" borderId="100" applyNumberFormat="0" applyProtection="0">
      <alignment horizontal="left" vertical="center" indent="1"/>
    </xf>
    <xf numFmtId="0" fontId="4" fillId="33" borderId="100" applyNumberFormat="0" applyProtection="0">
      <alignment horizontal="left" vertical="center" indent="1"/>
    </xf>
    <xf numFmtId="0" fontId="4" fillId="33" borderId="100" applyNumberFormat="0" applyProtection="0">
      <alignment horizontal="left" vertical="center" indent="1"/>
    </xf>
    <xf numFmtId="0" fontId="4" fillId="11" borderId="100" applyNumberFormat="0" applyProtection="0">
      <alignment horizontal="left" vertical="center" indent="1"/>
    </xf>
    <xf numFmtId="0" fontId="4" fillId="11" borderId="100" applyNumberFormat="0" applyProtection="0">
      <alignment horizontal="left" vertical="center" indent="1"/>
    </xf>
    <xf numFmtId="4" fontId="54" fillId="20" borderId="100" applyNumberFormat="0" applyProtection="0">
      <alignment vertical="center"/>
    </xf>
    <xf numFmtId="4" fontId="55" fillId="20" borderId="100" applyNumberFormat="0" applyProtection="0">
      <alignment vertical="center"/>
    </xf>
    <xf numFmtId="4" fontId="54" fillId="20" borderId="100" applyNumberFormat="0" applyProtection="0">
      <alignment horizontal="left" vertical="center" indent="1"/>
    </xf>
    <xf numFmtId="4" fontId="54" fillId="20" borderId="100" applyNumberFormat="0" applyProtection="0">
      <alignment horizontal="left" vertical="center" indent="1"/>
    </xf>
    <xf numFmtId="4" fontId="54" fillId="52" borderId="100" applyNumberFormat="0" applyProtection="0">
      <alignment horizontal="right" vertical="center"/>
    </xf>
    <xf numFmtId="4" fontId="55" fillId="52" borderId="100" applyNumberFormat="0" applyProtection="0">
      <alignment horizontal="right" vertical="center"/>
    </xf>
    <xf numFmtId="0" fontId="4" fillId="11" borderId="100" applyNumberFormat="0" applyProtection="0">
      <alignment horizontal="left" vertical="center" indent="1"/>
    </xf>
    <xf numFmtId="0" fontId="4" fillId="11" borderId="100" applyNumberFormat="0" applyProtection="0">
      <alignment horizontal="left" vertical="center" indent="1"/>
    </xf>
    <xf numFmtId="4" fontId="59" fillId="52" borderId="100" applyNumberFormat="0" applyProtection="0">
      <alignment horizontal="right" vertical="center"/>
    </xf>
    <xf numFmtId="0" fontId="4" fillId="0" borderId="0"/>
    <xf numFmtId="4" fontId="54" fillId="13" borderId="157" applyNumberFormat="0" applyProtection="0">
      <alignment horizontal="left" vertical="center" indent="1"/>
    </xf>
    <xf numFmtId="4" fontId="54" fillId="12" borderId="166" applyNumberFormat="0" applyProtection="0">
      <alignment horizontal="right" vertical="center"/>
    </xf>
    <xf numFmtId="4" fontId="54" fillId="13" borderId="157" applyNumberFormat="0" applyProtection="0">
      <alignment horizontal="left" vertical="center" indent="1"/>
    </xf>
    <xf numFmtId="4" fontId="55" fillId="13" borderId="157" applyNumberFormat="0" applyProtection="0">
      <alignment vertical="center"/>
    </xf>
    <xf numFmtId="4" fontId="54" fillId="13" borderId="157" applyNumberFormat="0" applyProtection="0">
      <alignment vertical="center"/>
    </xf>
    <xf numFmtId="4" fontId="54" fillId="17" borderId="166" applyNumberFormat="0" applyProtection="0">
      <alignment horizontal="right" vertical="center"/>
    </xf>
    <xf numFmtId="4" fontId="56" fillId="51" borderId="166" applyNumberFormat="0" applyProtection="0">
      <alignment horizontal="left" vertical="center" indent="1"/>
    </xf>
    <xf numFmtId="0" fontId="2" fillId="0" borderId="0"/>
    <xf numFmtId="4" fontId="54" fillId="13" borderId="165" applyNumberFormat="0" applyProtection="0">
      <alignment vertical="center"/>
    </xf>
    <xf numFmtId="4" fontId="55" fillId="13" borderId="165" applyNumberFormat="0" applyProtection="0">
      <alignment vertical="center"/>
    </xf>
    <xf numFmtId="4" fontId="54" fillId="13" borderId="165" applyNumberFormat="0" applyProtection="0">
      <alignment horizontal="left" vertical="center" indent="1"/>
    </xf>
    <xf numFmtId="4" fontId="54" fillId="13" borderId="165" applyNumberFormat="0" applyProtection="0">
      <alignment horizontal="left" vertical="center" indent="1"/>
    </xf>
    <xf numFmtId="0" fontId="4" fillId="11" borderId="165" applyNumberFormat="0" applyProtection="0">
      <alignment horizontal="left" vertical="center" indent="1"/>
    </xf>
    <xf numFmtId="4" fontId="54" fillId="35" borderId="165" applyNumberFormat="0" applyProtection="0">
      <alignment horizontal="right" vertical="center"/>
    </xf>
    <xf numFmtId="4" fontId="54" fillId="48" borderId="165" applyNumberFormat="0" applyProtection="0">
      <alignment horizontal="right" vertical="center"/>
    </xf>
    <xf numFmtId="4" fontId="54" fillId="49" borderId="165" applyNumberFormat="0" applyProtection="0">
      <alignment horizontal="right" vertical="center"/>
    </xf>
    <xf numFmtId="4" fontId="54" fillId="12" borderId="165" applyNumberFormat="0" applyProtection="0">
      <alignment horizontal="right" vertical="center"/>
    </xf>
    <xf numFmtId="4" fontId="54" fillId="50" borderId="165" applyNumberFormat="0" applyProtection="0">
      <alignment horizontal="right" vertical="center"/>
    </xf>
    <xf numFmtId="4" fontId="54" fillId="15" borderId="165" applyNumberFormat="0" applyProtection="0">
      <alignment horizontal="right" vertical="center"/>
    </xf>
    <xf numFmtId="4" fontId="54" fillId="17" borderId="165" applyNumberFormat="0" applyProtection="0">
      <alignment horizontal="right" vertical="center"/>
    </xf>
    <xf numFmtId="4" fontId="54" fillId="16" borderId="165" applyNumberFormat="0" applyProtection="0">
      <alignment horizontal="right" vertical="center"/>
    </xf>
    <xf numFmtId="4" fontId="54" fillId="19" borderId="165" applyNumberFormat="0" applyProtection="0">
      <alignment horizontal="right" vertical="center"/>
    </xf>
    <xf numFmtId="4" fontId="56" fillId="51" borderId="165" applyNumberFormat="0" applyProtection="0">
      <alignment horizontal="left" vertical="center" indent="1"/>
    </xf>
    <xf numFmtId="0" fontId="4" fillId="30" borderId="165" applyNumberFormat="0" applyProtection="0">
      <alignment horizontal="left" vertical="center" indent="1"/>
    </xf>
    <xf numFmtId="0" fontId="4" fillId="33" borderId="165" applyNumberFormat="0" applyProtection="0">
      <alignment horizontal="left" vertical="center" indent="1"/>
    </xf>
    <xf numFmtId="0" fontId="4" fillId="33" borderId="165" applyNumberFormat="0" applyProtection="0">
      <alignment horizontal="left" vertical="center" indent="1"/>
    </xf>
    <xf numFmtId="0" fontId="4" fillId="11" borderId="165" applyNumberFormat="0" applyProtection="0">
      <alignment horizontal="left" vertical="center" indent="1"/>
    </xf>
    <xf numFmtId="4" fontId="54" fillId="20" borderId="165" applyNumberFormat="0" applyProtection="0">
      <alignment vertical="center"/>
    </xf>
    <xf numFmtId="4" fontId="55" fillId="20" borderId="165" applyNumberFormat="0" applyProtection="0">
      <alignment vertical="center"/>
    </xf>
    <xf numFmtId="4" fontId="54" fillId="20" borderId="165" applyNumberFormat="0" applyProtection="0">
      <alignment horizontal="left" vertical="center" indent="1"/>
    </xf>
    <xf numFmtId="4" fontId="54" fillId="20" borderId="165" applyNumberFormat="0" applyProtection="0">
      <alignment horizontal="left" vertical="center" indent="1"/>
    </xf>
    <xf numFmtId="4" fontId="54" fillId="52" borderId="165" applyNumberFormat="0" applyProtection="0">
      <alignment horizontal="right" vertical="center"/>
    </xf>
    <xf numFmtId="4" fontId="55" fillId="52" borderId="165" applyNumberFormat="0" applyProtection="0">
      <alignment horizontal="right" vertical="center"/>
    </xf>
    <xf numFmtId="4" fontId="54" fillId="13" borderId="171" applyNumberFormat="0" applyProtection="0">
      <alignment vertical="center"/>
    </xf>
    <xf numFmtId="4" fontId="59" fillId="52" borderId="165" applyNumberFormat="0" applyProtection="0">
      <alignment horizontal="right" vertical="center"/>
    </xf>
    <xf numFmtId="0" fontId="4" fillId="11" borderId="165" applyNumberFormat="0" applyProtection="0">
      <alignment horizontal="left" vertical="center" indent="1"/>
    </xf>
    <xf numFmtId="0" fontId="4" fillId="11" borderId="165" applyNumberFormat="0" applyProtection="0">
      <alignment horizontal="left" vertical="center" indent="1"/>
    </xf>
    <xf numFmtId="4" fontId="5" fillId="52" borderId="165" applyNumberFormat="0" applyProtection="0">
      <alignment horizontal="left" vertical="center" indent="1"/>
    </xf>
    <xf numFmtId="0" fontId="4" fillId="54" borderId="165" applyNumberFormat="0" applyProtection="0">
      <alignment horizontal="left" vertical="center" indent="1"/>
    </xf>
    <xf numFmtId="4" fontId="54" fillId="13" borderId="152" applyNumberFormat="0" applyProtection="0">
      <alignment vertical="center"/>
    </xf>
    <xf numFmtId="4" fontId="55" fillId="13" borderId="152" applyNumberFormat="0" applyProtection="0">
      <alignment vertical="center"/>
    </xf>
    <xf numFmtId="4" fontId="54" fillId="13" borderId="152" applyNumberFormat="0" applyProtection="0">
      <alignment horizontal="left" vertical="center" indent="1"/>
    </xf>
    <xf numFmtId="4" fontId="54" fillId="13" borderId="152" applyNumberFormat="0" applyProtection="0">
      <alignment horizontal="left" vertical="center" indent="1"/>
    </xf>
    <xf numFmtId="0" fontId="4" fillId="11" borderId="152" applyNumberFormat="0" applyProtection="0">
      <alignment horizontal="left" vertical="center" indent="1"/>
    </xf>
    <xf numFmtId="4" fontId="54" fillId="35" borderId="152" applyNumberFormat="0" applyProtection="0">
      <alignment horizontal="right" vertical="center"/>
    </xf>
    <xf numFmtId="4" fontId="54" fillId="48" borderId="152" applyNumberFormat="0" applyProtection="0">
      <alignment horizontal="right" vertical="center"/>
    </xf>
    <xf numFmtId="4" fontId="54" fillId="49" borderId="152" applyNumberFormat="0" applyProtection="0">
      <alignment horizontal="right" vertical="center"/>
    </xf>
    <xf numFmtId="4" fontId="54" fillId="12" borderId="152" applyNumberFormat="0" applyProtection="0">
      <alignment horizontal="right" vertical="center"/>
    </xf>
    <xf numFmtId="4" fontId="54" fillId="50" borderId="152" applyNumberFormat="0" applyProtection="0">
      <alignment horizontal="right" vertical="center"/>
    </xf>
    <xf numFmtId="4" fontId="54" fillId="15" borderId="152" applyNumberFormat="0" applyProtection="0">
      <alignment horizontal="right" vertical="center"/>
    </xf>
    <xf numFmtId="4" fontId="54" fillId="17" borderId="152" applyNumberFormat="0" applyProtection="0">
      <alignment horizontal="right" vertical="center"/>
    </xf>
    <xf numFmtId="4" fontId="54" fillId="16" borderId="152" applyNumberFormat="0" applyProtection="0">
      <alignment horizontal="right" vertical="center"/>
    </xf>
    <xf numFmtId="4" fontId="54" fillId="19" borderId="152" applyNumberFormat="0" applyProtection="0">
      <alignment horizontal="right" vertical="center"/>
    </xf>
    <xf numFmtId="4" fontId="56" fillId="51" borderId="152" applyNumberFormat="0" applyProtection="0">
      <alignment horizontal="left" vertical="center" indent="1"/>
    </xf>
    <xf numFmtId="4" fontId="54" fillId="52" borderId="153" applyNumberFormat="0" applyProtection="0">
      <alignment horizontal="left" vertical="center" indent="1"/>
    </xf>
    <xf numFmtId="0" fontId="4" fillId="11" borderId="152" applyNumberFormat="0" applyProtection="0">
      <alignment horizontal="left" vertical="center" indent="1"/>
    </xf>
    <xf numFmtId="4" fontId="5" fillId="52" borderId="152" applyNumberFormat="0" applyProtection="0">
      <alignment horizontal="left" vertical="center" indent="1"/>
    </xf>
    <xf numFmtId="4" fontId="5" fillId="54" borderId="152" applyNumberFormat="0" applyProtection="0">
      <alignment horizontal="left" vertical="center" indent="1"/>
    </xf>
    <xf numFmtId="0" fontId="4" fillId="54" borderId="152" applyNumberFormat="0" applyProtection="0">
      <alignment horizontal="left" vertical="center" indent="1"/>
    </xf>
    <xf numFmtId="0" fontId="4" fillId="54" borderId="152" applyNumberFormat="0" applyProtection="0">
      <alignment horizontal="left" vertical="center" indent="1"/>
    </xf>
    <xf numFmtId="0" fontId="4" fillId="30" borderId="152" applyNumberFormat="0" applyProtection="0">
      <alignment horizontal="left" vertical="center" indent="1"/>
    </xf>
    <xf numFmtId="0" fontId="4" fillId="30" borderId="152" applyNumberFormat="0" applyProtection="0">
      <alignment horizontal="left" vertical="center" indent="1"/>
    </xf>
    <xf numFmtId="0" fontId="4" fillId="33" borderId="152" applyNumberFormat="0" applyProtection="0">
      <alignment horizontal="left" vertical="center" indent="1"/>
    </xf>
    <xf numFmtId="0" fontId="4" fillId="33" borderId="152" applyNumberFormat="0" applyProtection="0">
      <alignment horizontal="left" vertical="center" indent="1"/>
    </xf>
    <xf numFmtId="0" fontId="4" fillId="11" borderId="152" applyNumberFormat="0" applyProtection="0">
      <alignment horizontal="left" vertical="center" indent="1"/>
    </xf>
    <xf numFmtId="0" fontId="4" fillId="11" borderId="152" applyNumberFormat="0" applyProtection="0">
      <alignment horizontal="left" vertical="center" indent="1"/>
    </xf>
    <xf numFmtId="4" fontId="54" fillId="20" borderId="152" applyNumberFormat="0" applyProtection="0">
      <alignment vertical="center"/>
    </xf>
    <xf numFmtId="4" fontId="55" fillId="20" borderId="152" applyNumberFormat="0" applyProtection="0">
      <alignment vertical="center"/>
    </xf>
    <xf numFmtId="4" fontId="54" fillId="20" borderId="152" applyNumberFormat="0" applyProtection="0">
      <alignment horizontal="left" vertical="center" indent="1"/>
    </xf>
    <xf numFmtId="4" fontId="54" fillId="20" borderId="152" applyNumberFormat="0" applyProtection="0">
      <alignment horizontal="left" vertical="center" indent="1"/>
    </xf>
    <xf numFmtId="4" fontId="54" fillId="52" borderId="152" applyNumberFormat="0" applyProtection="0">
      <alignment horizontal="right" vertical="center"/>
    </xf>
    <xf numFmtId="4" fontId="55" fillId="52" borderId="152" applyNumberFormat="0" applyProtection="0">
      <alignment horizontal="right" vertical="center"/>
    </xf>
    <xf numFmtId="0" fontId="4" fillId="11" borderId="152" applyNumberFormat="0" applyProtection="0">
      <alignment horizontal="left" vertical="center" indent="1"/>
    </xf>
    <xf numFmtId="0" fontId="4" fillId="11" borderId="152" applyNumberFormat="0" applyProtection="0">
      <alignment horizontal="left" vertical="center" indent="1"/>
    </xf>
    <xf numFmtId="4" fontId="59" fillId="52" borderId="152" applyNumberFormat="0" applyProtection="0">
      <alignment horizontal="right" vertical="center"/>
    </xf>
    <xf numFmtId="0" fontId="4" fillId="11" borderId="165" applyNumberFormat="0" applyProtection="0">
      <alignment horizontal="left" vertical="center" indent="1"/>
    </xf>
    <xf numFmtId="0" fontId="4" fillId="0" borderId="0"/>
    <xf numFmtId="4" fontId="54" fillId="13" borderId="155" applyNumberFormat="0" applyProtection="0">
      <alignment vertical="center"/>
    </xf>
    <xf numFmtId="4" fontId="55" fillId="13" borderId="155" applyNumberFormat="0" applyProtection="0">
      <alignment vertical="center"/>
    </xf>
    <xf numFmtId="4" fontId="54" fillId="13" borderId="155" applyNumberFormat="0" applyProtection="0">
      <alignment horizontal="left" vertical="center" indent="1"/>
    </xf>
    <xf numFmtId="4" fontId="54" fillId="13" borderId="155" applyNumberFormat="0" applyProtection="0">
      <alignment horizontal="left" vertical="center" indent="1"/>
    </xf>
    <xf numFmtId="0" fontId="4" fillId="11" borderId="155" applyNumberFormat="0" applyProtection="0">
      <alignment horizontal="left" vertical="center" indent="1"/>
    </xf>
    <xf numFmtId="4" fontId="54" fillId="35" borderId="155" applyNumberFormat="0" applyProtection="0">
      <alignment horizontal="right" vertical="center"/>
    </xf>
    <xf numFmtId="4" fontId="54" fillId="48" borderId="155" applyNumberFormat="0" applyProtection="0">
      <alignment horizontal="right" vertical="center"/>
    </xf>
    <xf numFmtId="4" fontId="54" fillId="49" borderId="155" applyNumberFormat="0" applyProtection="0">
      <alignment horizontal="right" vertical="center"/>
    </xf>
    <xf numFmtId="4" fontId="54" fillId="12" borderId="155" applyNumberFormat="0" applyProtection="0">
      <alignment horizontal="right" vertical="center"/>
    </xf>
    <xf numFmtId="4" fontId="54" fillId="50" borderId="155" applyNumberFormat="0" applyProtection="0">
      <alignment horizontal="right" vertical="center"/>
    </xf>
    <xf numFmtId="4" fontId="54" fillId="15" borderId="155" applyNumberFormat="0" applyProtection="0">
      <alignment horizontal="right" vertical="center"/>
    </xf>
    <xf numFmtId="4" fontId="54" fillId="17" borderId="155" applyNumberFormat="0" applyProtection="0">
      <alignment horizontal="right" vertical="center"/>
    </xf>
    <xf numFmtId="4" fontId="54" fillId="16" borderId="155" applyNumberFormat="0" applyProtection="0">
      <alignment horizontal="right" vertical="center"/>
    </xf>
    <xf numFmtId="4" fontId="54" fillId="19" borderId="155" applyNumberFormat="0" applyProtection="0">
      <alignment horizontal="right" vertical="center"/>
    </xf>
    <xf numFmtId="4" fontId="56" fillId="51" borderId="155" applyNumberFormat="0" applyProtection="0">
      <alignment horizontal="left" vertical="center" indent="1"/>
    </xf>
    <xf numFmtId="4" fontId="54" fillId="52" borderId="156" applyNumberFormat="0" applyProtection="0">
      <alignment horizontal="left" vertical="center" indent="1"/>
    </xf>
    <xf numFmtId="0" fontId="4" fillId="11" borderId="155" applyNumberFormat="0" applyProtection="0">
      <alignment horizontal="left" vertical="center" indent="1"/>
    </xf>
    <xf numFmtId="4" fontId="5" fillId="52" borderId="155" applyNumberFormat="0" applyProtection="0">
      <alignment horizontal="left" vertical="center" indent="1"/>
    </xf>
    <xf numFmtId="4" fontId="5" fillId="54" borderId="155" applyNumberFormat="0" applyProtection="0">
      <alignment horizontal="left" vertical="center" indent="1"/>
    </xf>
    <xf numFmtId="0" fontId="4" fillId="54" borderId="155" applyNumberFormat="0" applyProtection="0">
      <alignment horizontal="left" vertical="center" indent="1"/>
    </xf>
    <xf numFmtId="0" fontId="4" fillId="54" borderId="155" applyNumberFormat="0" applyProtection="0">
      <alignment horizontal="left" vertical="center" indent="1"/>
    </xf>
    <xf numFmtId="0" fontId="4" fillId="30" borderId="155" applyNumberFormat="0" applyProtection="0">
      <alignment horizontal="left" vertical="center" indent="1"/>
    </xf>
    <xf numFmtId="0" fontId="4" fillId="30" borderId="155" applyNumberFormat="0" applyProtection="0">
      <alignment horizontal="left" vertical="center" indent="1"/>
    </xf>
    <xf numFmtId="0" fontId="4" fillId="33" borderId="155" applyNumberFormat="0" applyProtection="0">
      <alignment horizontal="left" vertical="center" indent="1"/>
    </xf>
    <xf numFmtId="0" fontId="4" fillId="33" borderId="155" applyNumberFormat="0" applyProtection="0">
      <alignment horizontal="left" vertical="center" indent="1"/>
    </xf>
    <xf numFmtId="0" fontId="4" fillId="11" borderId="155" applyNumberFormat="0" applyProtection="0">
      <alignment horizontal="left" vertical="center" indent="1"/>
    </xf>
    <xf numFmtId="0" fontId="4" fillId="11" borderId="155" applyNumberFormat="0" applyProtection="0">
      <alignment horizontal="left" vertical="center" indent="1"/>
    </xf>
    <xf numFmtId="4" fontId="54" fillId="20" borderId="155" applyNumberFormat="0" applyProtection="0">
      <alignment vertical="center"/>
    </xf>
    <xf numFmtId="4" fontId="55" fillId="20" borderId="155" applyNumberFormat="0" applyProtection="0">
      <alignment vertical="center"/>
    </xf>
    <xf numFmtId="4" fontId="54" fillId="20" borderId="155" applyNumberFormat="0" applyProtection="0">
      <alignment horizontal="left" vertical="center" indent="1"/>
    </xf>
    <xf numFmtId="4" fontId="54" fillId="20" borderId="155" applyNumberFormat="0" applyProtection="0">
      <alignment horizontal="left" vertical="center" indent="1"/>
    </xf>
    <xf numFmtId="4" fontId="54" fillId="52" borderId="155" applyNumberFormat="0" applyProtection="0">
      <alignment horizontal="right" vertical="center"/>
    </xf>
    <xf numFmtId="4" fontId="55" fillId="52" borderId="155" applyNumberFormat="0" applyProtection="0">
      <alignment horizontal="right" vertical="center"/>
    </xf>
    <xf numFmtId="0" fontId="4" fillId="11" borderId="155" applyNumberFormat="0" applyProtection="0">
      <alignment horizontal="left" vertical="center" indent="1"/>
    </xf>
    <xf numFmtId="0" fontId="4" fillId="11" borderId="155" applyNumberFormat="0" applyProtection="0">
      <alignment horizontal="left" vertical="center" indent="1"/>
    </xf>
    <xf numFmtId="4" fontId="59" fillId="52" borderId="155" applyNumberFormat="0" applyProtection="0">
      <alignment horizontal="right" vertical="center"/>
    </xf>
    <xf numFmtId="0" fontId="4" fillId="11" borderId="157" applyNumberFormat="0" applyProtection="0">
      <alignment horizontal="left" vertical="center" indent="1"/>
    </xf>
    <xf numFmtId="4" fontId="54" fillId="35" borderId="157" applyNumberFormat="0" applyProtection="0">
      <alignment horizontal="right" vertical="center"/>
    </xf>
    <xf numFmtId="4" fontId="54" fillId="48" borderId="157" applyNumberFormat="0" applyProtection="0">
      <alignment horizontal="right" vertical="center"/>
    </xf>
    <xf numFmtId="4" fontId="54" fillId="49" borderId="157" applyNumberFormat="0" applyProtection="0">
      <alignment horizontal="right" vertical="center"/>
    </xf>
    <xf numFmtId="4" fontId="54" fillId="12" borderId="157" applyNumberFormat="0" applyProtection="0">
      <alignment horizontal="right" vertical="center"/>
    </xf>
    <xf numFmtId="4" fontId="54" fillId="50" borderId="157" applyNumberFormat="0" applyProtection="0">
      <alignment horizontal="right" vertical="center"/>
    </xf>
    <xf numFmtId="4" fontId="54" fillId="15" borderId="157" applyNumberFormat="0" applyProtection="0">
      <alignment horizontal="right" vertical="center"/>
    </xf>
    <xf numFmtId="4" fontId="54" fillId="17" borderId="157" applyNumberFormat="0" applyProtection="0">
      <alignment horizontal="right" vertical="center"/>
    </xf>
    <xf numFmtId="4" fontId="54" fillId="16" borderId="157" applyNumberFormat="0" applyProtection="0">
      <alignment horizontal="right" vertical="center"/>
    </xf>
    <xf numFmtId="4" fontId="54" fillId="19" borderId="157" applyNumberFormat="0" applyProtection="0">
      <alignment horizontal="right" vertical="center"/>
    </xf>
    <xf numFmtId="4" fontId="56" fillId="51" borderId="157" applyNumberFormat="0" applyProtection="0">
      <alignment horizontal="left" vertical="center" indent="1"/>
    </xf>
    <xf numFmtId="4" fontId="54" fillId="52" borderId="158" applyNumberFormat="0" applyProtection="0">
      <alignment horizontal="left" vertical="center" indent="1"/>
    </xf>
    <xf numFmtId="4" fontId="54" fillId="52" borderId="163" applyNumberFormat="0" applyProtection="0">
      <alignment horizontal="left" vertical="center" indent="1"/>
    </xf>
    <xf numFmtId="0" fontId="4" fillId="11" borderId="157" applyNumberFormat="0" applyProtection="0">
      <alignment horizontal="left" vertical="center" indent="1"/>
    </xf>
    <xf numFmtId="4" fontId="5" fillId="52" borderId="157" applyNumberFormat="0" applyProtection="0">
      <alignment horizontal="left" vertical="center" indent="1"/>
    </xf>
    <xf numFmtId="4" fontId="5" fillId="54" borderId="157" applyNumberFormat="0" applyProtection="0">
      <alignment horizontal="left" vertical="center" indent="1"/>
    </xf>
    <xf numFmtId="0" fontId="4" fillId="54" borderId="157" applyNumberFormat="0" applyProtection="0">
      <alignment horizontal="left" vertical="center" indent="1"/>
    </xf>
    <xf numFmtId="0" fontId="4" fillId="54" borderId="157" applyNumberFormat="0" applyProtection="0">
      <alignment horizontal="left" vertical="center" indent="1"/>
    </xf>
    <xf numFmtId="0" fontId="4" fillId="30" borderId="157" applyNumberFormat="0" applyProtection="0">
      <alignment horizontal="left" vertical="center" indent="1"/>
    </xf>
    <xf numFmtId="0" fontId="4" fillId="30" borderId="157" applyNumberFormat="0" applyProtection="0">
      <alignment horizontal="left" vertical="center" indent="1"/>
    </xf>
    <xf numFmtId="0" fontId="4" fillId="33" borderId="157" applyNumberFormat="0" applyProtection="0">
      <alignment horizontal="left" vertical="center" indent="1"/>
    </xf>
    <xf numFmtId="0" fontId="4" fillId="33" borderId="157" applyNumberFormat="0" applyProtection="0">
      <alignment horizontal="left" vertical="center" indent="1"/>
    </xf>
    <xf numFmtId="0" fontId="4" fillId="11" borderId="157" applyNumberFormat="0" applyProtection="0">
      <alignment horizontal="left" vertical="center" indent="1"/>
    </xf>
    <xf numFmtId="0" fontId="4" fillId="11" borderId="157" applyNumberFormat="0" applyProtection="0">
      <alignment horizontal="left" vertical="center" indent="1"/>
    </xf>
    <xf numFmtId="4" fontId="54" fillId="20" borderId="157" applyNumberFormat="0" applyProtection="0">
      <alignment vertical="center"/>
    </xf>
    <xf numFmtId="4" fontId="55" fillId="20" borderId="157" applyNumberFormat="0" applyProtection="0">
      <alignment vertical="center"/>
    </xf>
    <xf numFmtId="4" fontId="54" fillId="20" borderId="157" applyNumberFormat="0" applyProtection="0">
      <alignment horizontal="left" vertical="center" indent="1"/>
    </xf>
    <xf numFmtId="4" fontId="54" fillId="20" borderId="157" applyNumberFormat="0" applyProtection="0">
      <alignment horizontal="left" vertical="center" indent="1"/>
    </xf>
    <xf numFmtId="4" fontId="54" fillId="52" borderId="157" applyNumberFormat="0" applyProtection="0">
      <alignment horizontal="right" vertical="center"/>
    </xf>
    <xf numFmtId="4" fontId="55" fillId="52" borderId="157" applyNumberFormat="0" applyProtection="0">
      <alignment horizontal="right" vertical="center"/>
    </xf>
    <xf numFmtId="0" fontId="4" fillId="11" borderId="157" applyNumberFormat="0" applyProtection="0">
      <alignment horizontal="left" vertical="center" indent="1"/>
    </xf>
    <xf numFmtId="0" fontId="4" fillId="11" borderId="157" applyNumberFormat="0" applyProtection="0">
      <alignment horizontal="left" vertical="center" indent="1"/>
    </xf>
    <xf numFmtId="4" fontId="5" fillId="54" borderId="166" applyNumberFormat="0" applyProtection="0">
      <alignment horizontal="left" vertical="center" indent="1"/>
    </xf>
    <xf numFmtId="4" fontId="59" fillId="52" borderId="157" applyNumberFormat="0" applyProtection="0">
      <alignment horizontal="right" vertical="center"/>
    </xf>
    <xf numFmtId="0" fontId="4" fillId="30" borderId="165" applyNumberFormat="0" applyProtection="0">
      <alignment horizontal="left" vertical="center" indent="1"/>
    </xf>
    <xf numFmtId="4" fontId="5" fillId="54" borderId="165" applyNumberFormat="0" applyProtection="0">
      <alignment horizontal="left" vertical="center" indent="1"/>
    </xf>
    <xf numFmtId="0" fontId="4" fillId="11" borderId="165" applyNumberFormat="0" applyProtection="0">
      <alignment horizontal="left" vertical="center" indent="1"/>
    </xf>
    <xf numFmtId="4" fontId="54" fillId="13" borderId="157" applyNumberFormat="0" applyProtection="0">
      <alignment vertical="center"/>
    </xf>
    <xf numFmtId="4" fontId="55" fillId="13" borderId="157" applyNumberFormat="0" applyProtection="0">
      <alignment vertical="center"/>
    </xf>
    <xf numFmtId="4" fontId="54" fillId="13" borderId="157" applyNumberFormat="0" applyProtection="0">
      <alignment horizontal="left" vertical="center" indent="1"/>
    </xf>
    <xf numFmtId="4" fontId="54" fillId="13" borderId="157" applyNumberFormat="0" applyProtection="0">
      <alignment horizontal="left" vertical="center" indent="1"/>
    </xf>
    <xf numFmtId="0" fontId="4" fillId="11" borderId="157" applyNumberFormat="0" applyProtection="0">
      <alignment horizontal="left" vertical="center" indent="1"/>
    </xf>
    <xf numFmtId="4" fontId="54" fillId="35" borderId="157" applyNumberFormat="0" applyProtection="0">
      <alignment horizontal="right" vertical="center"/>
    </xf>
    <xf numFmtId="4" fontId="54" fillId="48" borderId="157" applyNumberFormat="0" applyProtection="0">
      <alignment horizontal="right" vertical="center"/>
    </xf>
    <xf numFmtId="4" fontId="54" fillId="49" borderId="157" applyNumberFormat="0" applyProtection="0">
      <alignment horizontal="right" vertical="center"/>
    </xf>
    <xf numFmtId="4" fontId="54" fillId="12" borderId="157" applyNumberFormat="0" applyProtection="0">
      <alignment horizontal="right" vertical="center"/>
    </xf>
    <xf numFmtId="4" fontId="54" fillId="50" borderId="157" applyNumberFormat="0" applyProtection="0">
      <alignment horizontal="right" vertical="center"/>
    </xf>
    <xf numFmtId="4" fontId="54" fillId="15" borderId="157" applyNumberFormat="0" applyProtection="0">
      <alignment horizontal="right" vertical="center"/>
    </xf>
    <xf numFmtId="4" fontId="54" fillId="17" borderId="157" applyNumberFormat="0" applyProtection="0">
      <alignment horizontal="right" vertical="center"/>
    </xf>
    <xf numFmtId="4" fontId="54" fillId="16" borderId="157" applyNumberFormat="0" applyProtection="0">
      <alignment horizontal="right" vertical="center"/>
    </xf>
    <xf numFmtId="4" fontId="54" fillId="19" borderId="157" applyNumberFormat="0" applyProtection="0">
      <alignment horizontal="right" vertical="center"/>
    </xf>
    <xf numFmtId="4" fontId="56" fillId="51" borderId="157" applyNumberFormat="0" applyProtection="0">
      <alignment horizontal="left" vertical="center" indent="1"/>
    </xf>
    <xf numFmtId="4" fontId="54" fillId="52" borderId="159" applyNumberFormat="0" applyProtection="0">
      <alignment horizontal="left" vertical="center" indent="1"/>
    </xf>
    <xf numFmtId="0" fontId="4" fillId="11" borderId="157" applyNumberFormat="0" applyProtection="0">
      <alignment horizontal="left" vertical="center" indent="1"/>
    </xf>
    <xf numFmtId="4" fontId="5" fillId="52" borderId="157" applyNumberFormat="0" applyProtection="0">
      <alignment horizontal="left" vertical="center" indent="1"/>
    </xf>
    <xf numFmtId="4" fontId="5" fillId="54" borderId="157" applyNumberFormat="0" applyProtection="0">
      <alignment horizontal="left" vertical="center" indent="1"/>
    </xf>
    <xf numFmtId="0" fontId="4" fillId="54" borderId="157" applyNumberFormat="0" applyProtection="0">
      <alignment horizontal="left" vertical="center" indent="1"/>
    </xf>
    <xf numFmtId="0" fontId="4" fillId="54" borderId="157" applyNumberFormat="0" applyProtection="0">
      <alignment horizontal="left" vertical="center" indent="1"/>
    </xf>
    <xf numFmtId="0" fontId="4" fillId="30" borderId="157" applyNumberFormat="0" applyProtection="0">
      <alignment horizontal="left" vertical="center" indent="1"/>
    </xf>
    <xf numFmtId="0" fontId="4" fillId="30" borderId="157" applyNumberFormat="0" applyProtection="0">
      <alignment horizontal="left" vertical="center" indent="1"/>
    </xf>
    <xf numFmtId="0" fontId="4" fillId="33" borderId="157" applyNumberFormat="0" applyProtection="0">
      <alignment horizontal="left" vertical="center" indent="1"/>
    </xf>
    <xf numFmtId="0" fontId="4" fillId="33" borderId="157" applyNumberFormat="0" applyProtection="0">
      <alignment horizontal="left" vertical="center" indent="1"/>
    </xf>
    <xf numFmtId="0" fontId="4" fillId="11" borderId="157" applyNumberFormat="0" applyProtection="0">
      <alignment horizontal="left" vertical="center" indent="1"/>
    </xf>
    <xf numFmtId="0" fontId="4" fillId="11" borderId="157" applyNumberFormat="0" applyProtection="0">
      <alignment horizontal="left" vertical="center" indent="1"/>
    </xf>
    <xf numFmtId="4" fontId="54" fillId="20" borderId="157" applyNumberFormat="0" applyProtection="0">
      <alignment vertical="center"/>
    </xf>
    <xf numFmtId="4" fontId="55" fillId="20" borderId="157" applyNumberFormat="0" applyProtection="0">
      <alignment vertical="center"/>
    </xf>
    <xf numFmtId="4" fontId="54" fillId="20" borderId="157" applyNumberFormat="0" applyProtection="0">
      <alignment horizontal="left" vertical="center" indent="1"/>
    </xf>
    <xf numFmtId="4" fontId="54" fillId="20" borderId="157" applyNumberFormat="0" applyProtection="0">
      <alignment horizontal="left" vertical="center" indent="1"/>
    </xf>
    <xf numFmtId="4" fontId="54" fillId="52" borderId="157" applyNumberFormat="0" applyProtection="0">
      <alignment horizontal="right" vertical="center"/>
    </xf>
    <xf numFmtId="4" fontId="55" fillId="52" borderId="157" applyNumberFormat="0" applyProtection="0">
      <alignment horizontal="right" vertical="center"/>
    </xf>
    <xf numFmtId="0" fontId="4" fillId="11" borderId="157" applyNumberFormat="0" applyProtection="0">
      <alignment horizontal="left" vertical="center" indent="1"/>
    </xf>
    <xf numFmtId="0" fontId="4" fillId="11" borderId="157" applyNumberFormat="0" applyProtection="0">
      <alignment horizontal="left" vertical="center" indent="1"/>
    </xf>
    <xf numFmtId="4" fontId="59" fillId="52" borderId="157" applyNumberFormat="0" applyProtection="0">
      <alignment horizontal="right" vertical="center"/>
    </xf>
    <xf numFmtId="0" fontId="4" fillId="54" borderId="165" applyNumberFormat="0" applyProtection="0">
      <alignment horizontal="left" vertical="center" indent="1"/>
    </xf>
    <xf numFmtId="4" fontId="54" fillId="13" borderId="166" applyNumberFormat="0" applyProtection="0">
      <alignment vertical="center"/>
    </xf>
    <xf numFmtId="4" fontId="55" fillId="13" borderId="166" applyNumberFormat="0" applyProtection="0">
      <alignment vertical="center"/>
    </xf>
    <xf numFmtId="4" fontId="54" fillId="13" borderId="166" applyNumberFormat="0" applyProtection="0">
      <alignment horizontal="left" vertical="center" indent="1"/>
    </xf>
    <xf numFmtId="4" fontId="54" fillId="13" borderId="166" applyNumberFormat="0" applyProtection="0">
      <alignment horizontal="left" vertical="center" indent="1"/>
    </xf>
    <xf numFmtId="0" fontId="4" fillId="11" borderId="166" applyNumberFormat="0" applyProtection="0">
      <alignment horizontal="left" vertical="center" indent="1"/>
    </xf>
    <xf numFmtId="4" fontId="54" fillId="35" borderId="166" applyNumberFormat="0" applyProtection="0">
      <alignment horizontal="right" vertical="center"/>
    </xf>
    <xf numFmtId="4" fontId="54" fillId="48" borderId="166" applyNumberFormat="0" applyProtection="0">
      <alignment horizontal="right" vertical="center"/>
    </xf>
    <xf numFmtId="4" fontId="54" fillId="52" borderId="160" applyNumberFormat="0" applyProtection="0">
      <alignment horizontal="left" vertical="center" indent="1"/>
    </xf>
    <xf numFmtId="4" fontId="54" fillId="52" borderId="167" applyNumberFormat="0" applyProtection="0">
      <alignment horizontal="left" vertical="center" indent="1"/>
    </xf>
    <xf numFmtId="0" fontId="4" fillId="11" borderId="166" applyNumberFormat="0" applyProtection="0">
      <alignment horizontal="left" vertical="center" indent="1"/>
    </xf>
    <xf numFmtId="4" fontId="5" fillId="52" borderId="166" applyNumberFormat="0" applyProtection="0">
      <alignment horizontal="left" vertical="center" indent="1"/>
    </xf>
    <xf numFmtId="0" fontId="4" fillId="54" borderId="166" applyNumberFormat="0" applyProtection="0">
      <alignment horizontal="left" vertical="center" indent="1"/>
    </xf>
    <xf numFmtId="0" fontId="4" fillId="54" borderId="166" applyNumberFormat="0" applyProtection="0">
      <alignment horizontal="left" vertical="center" indent="1"/>
    </xf>
    <xf numFmtId="0" fontId="4" fillId="30" borderId="166" applyNumberFormat="0" applyProtection="0">
      <alignment horizontal="left" vertical="center" indent="1"/>
    </xf>
    <xf numFmtId="0" fontId="4" fillId="30" borderId="166" applyNumberFormat="0" applyProtection="0">
      <alignment horizontal="left" vertical="center" indent="1"/>
    </xf>
    <xf numFmtId="0" fontId="4" fillId="33" borderId="166" applyNumberFormat="0" applyProtection="0">
      <alignment horizontal="left" vertical="center" indent="1"/>
    </xf>
    <xf numFmtId="0" fontId="4" fillId="33" borderId="166" applyNumberFormat="0" applyProtection="0">
      <alignment horizontal="left" vertical="center" indent="1"/>
    </xf>
    <xf numFmtId="0" fontId="4" fillId="11" borderId="166" applyNumberFormat="0" applyProtection="0">
      <alignment horizontal="left" vertical="center" indent="1"/>
    </xf>
    <xf numFmtId="4" fontId="55" fillId="20" borderId="166" applyNumberFormat="0" applyProtection="0">
      <alignment vertical="center"/>
    </xf>
    <xf numFmtId="4" fontId="54" fillId="20" borderId="166" applyNumberFormat="0" applyProtection="0">
      <alignment horizontal="left" vertical="center" indent="1"/>
    </xf>
    <xf numFmtId="4" fontId="54" fillId="20" borderId="166" applyNumberFormat="0" applyProtection="0">
      <alignment horizontal="left" vertical="center" indent="1"/>
    </xf>
    <xf numFmtId="4" fontId="54" fillId="52" borderId="166" applyNumberFormat="0" applyProtection="0">
      <alignment horizontal="right" vertical="center"/>
    </xf>
    <xf numFmtId="4" fontId="55" fillId="52" borderId="166" applyNumberFormat="0" applyProtection="0">
      <alignment horizontal="right" vertical="center"/>
    </xf>
    <xf numFmtId="0" fontId="4" fillId="11" borderId="166" applyNumberFormat="0" applyProtection="0">
      <alignment horizontal="left" vertical="center" indent="1"/>
    </xf>
    <xf numFmtId="4" fontId="54" fillId="50" borderId="166" applyNumberFormat="0" applyProtection="0">
      <alignment horizontal="right" vertical="center"/>
    </xf>
    <xf numFmtId="0" fontId="4" fillId="11" borderId="166" applyNumberFormat="0" applyProtection="0">
      <alignment horizontal="left" vertical="center" indent="1"/>
    </xf>
    <xf numFmtId="4" fontId="54" fillId="15" borderId="166" applyNumberFormat="0" applyProtection="0">
      <alignment horizontal="right" vertical="center"/>
    </xf>
    <xf numFmtId="4" fontId="54" fillId="16" borderId="166" applyNumberFormat="0" applyProtection="0">
      <alignment horizontal="right" vertical="center"/>
    </xf>
    <xf numFmtId="4" fontId="54" fillId="49" borderId="166" applyNumberFormat="0" applyProtection="0">
      <alignment horizontal="right" vertical="center"/>
    </xf>
    <xf numFmtId="0" fontId="4" fillId="11" borderId="166" applyNumberFormat="0" applyProtection="0">
      <alignment horizontal="left" vertical="center" indent="1"/>
    </xf>
    <xf numFmtId="4" fontId="54" fillId="20" borderId="166" applyNumberFormat="0" applyProtection="0">
      <alignment vertical="center"/>
    </xf>
    <xf numFmtId="4" fontId="54" fillId="13" borderId="161" applyNumberFormat="0" applyProtection="0">
      <alignment vertical="center"/>
    </xf>
    <xf numFmtId="4" fontId="55" fillId="13" borderId="161" applyNumberFormat="0" applyProtection="0">
      <alignment vertical="center"/>
    </xf>
    <xf numFmtId="4" fontId="54" fillId="13" borderId="161" applyNumberFormat="0" applyProtection="0">
      <alignment horizontal="left" vertical="center" indent="1"/>
    </xf>
    <xf numFmtId="4" fontId="54" fillId="13" borderId="161" applyNumberFormat="0" applyProtection="0">
      <alignment horizontal="left" vertical="center" indent="1"/>
    </xf>
    <xf numFmtId="0" fontId="4" fillId="11" borderId="161" applyNumberFormat="0" applyProtection="0">
      <alignment horizontal="left" vertical="center" indent="1"/>
    </xf>
    <xf numFmtId="4" fontId="54" fillId="35" borderId="161" applyNumberFormat="0" applyProtection="0">
      <alignment horizontal="right" vertical="center"/>
    </xf>
    <xf numFmtId="4" fontId="54" fillId="48" borderId="161" applyNumberFormat="0" applyProtection="0">
      <alignment horizontal="right" vertical="center"/>
    </xf>
    <xf numFmtId="4" fontId="54" fillId="49" borderId="161" applyNumberFormat="0" applyProtection="0">
      <alignment horizontal="right" vertical="center"/>
    </xf>
    <xf numFmtId="4" fontId="54" fillId="12" borderId="161" applyNumberFormat="0" applyProtection="0">
      <alignment horizontal="right" vertical="center"/>
    </xf>
    <xf numFmtId="4" fontId="54" fillId="50" borderId="161" applyNumberFormat="0" applyProtection="0">
      <alignment horizontal="right" vertical="center"/>
    </xf>
    <xf numFmtId="4" fontId="54" fillId="15" borderId="161" applyNumberFormat="0" applyProtection="0">
      <alignment horizontal="right" vertical="center"/>
    </xf>
    <xf numFmtId="4" fontId="54" fillId="17" borderId="161" applyNumberFormat="0" applyProtection="0">
      <alignment horizontal="right" vertical="center"/>
    </xf>
    <xf numFmtId="4" fontId="54" fillId="16" borderId="161" applyNumberFormat="0" applyProtection="0">
      <alignment horizontal="right" vertical="center"/>
    </xf>
    <xf numFmtId="4" fontId="54" fillId="19" borderId="161" applyNumberFormat="0" applyProtection="0">
      <alignment horizontal="right" vertical="center"/>
    </xf>
    <xf numFmtId="4" fontId="56" fillId="51" borderId="161" applyNumberFormat="0" applyProtection="0">
      <alignment horizontal="left" vertical="center" indent="1"/>
    </xf>
    <xf numFmtId="4" fontId="54" fillId="52" borderId="162" applyNumberFormat="0" applyProtection="0">
      <alignment horizontal="left" vertical="center" indent="1"/>
    </xf>
    <xf numFmtId="0" fontId="4" fillId="11" borderId="161" applyNumberFormat="0" applyProtection="0">
      <alignment horizontal="left" vertical="center" indent="1"/>
    </xf>
    <xf numFmtId="4" fontId="5" fillId="52" borderId="161" applyNumberFormat="0" applyProtection="0">
      <alignment horizontal="left" vertical="center" indent="1"/>
    </xf>
    <xf numFmtId="4" fontId="5" fillId="54" borderId="161" applyNumberFormat="0" applyProtection="0">
      <alignment horizontal="left" vertical="center" indent="1"/>
    </xf>
    <xf numFmtId="0" fontId="4" fillId="54" borderId="161" applyNumberFormat="0" applyProtection="0">
      <alignment horizontal="left" vertical="center" indent="1"/>
    </xf>
    <xf numFmtId="0" fontId="4" fillId="54" borderId="161" applyNumberFormat="0" applyProtection="0">
      <alignment horizontal="left" vertical="center" indent="1"/>
    </xf>
    <xf numFmtId="0" fontId="4" fillId="30" borderId="161" applyNumberFormat="0" applyProtection="0">
      <alignment horizontal="left" vertical="center" indent="1"/>
    </xf>
    <xf numFmtId="0" fontId="4" fillId="30" borderId="161" applyNumberFormat="0" applyProtection="0">
      <alignment horizontal="left" vertical="center" indent="1"/>
    </xf>
    <xf numFmtId="0" fontId="4" fillId="33" borderId="161" applyNumberFormat="0" applyProtection="0">
      <alignment horizontal="left" vertical="center" indent="1"/>
    </xf>
    <xf numFmtId="0" fontId="4" fillId="33" borderId="161" applyNumberFormat="0" applyProtection="0">
      <alignment horizontal="left" vertical="center" indent="1"/>
    </xf>
    <xf numFmtId="0" fontId="4" fillId="11" borderId="161" applyNumberFormat="0" applyProtection="0">
      <alignment horizontal="left" vertical="center" indent="1"/>
    </xf>
    <xf numFmtId="0" fontId="4" fillId="11" borderId="161" applyNumberFormat="0" applyProtection="0">
      <alignment horizontal="left" vertical="center" indent="1"/>
    </xf>
    <xf numFmtId="4" fontId="54" fillId="20" borderId="161" applyNumberFormat="0" applyProtection="0">
      <alignment vertical="center"/>
    </xf>
    <xf numFmtId="4" fontId="55" fillId="20" borderId="161" applyNumberFormat="0" applyProtection="0">
      <alignment vertical="center"/>
    </xf>
    <xf numFmtId="4" fontId="54" fillId="20" borderId="161" applyNumberFormat="0" applyProtection="0">
      <alignment horizontal="left" vertical="center" indent="1"/>
    </xf>
    <xf numFmtId="4" fontId="54" fillId="20" borderId="161" applyNumberFormat="0" applyProtection="0">
      <alignment horizontal="left" vertical="center" indent="1"/>
    </xf>
    <xf numFmtId="4" fontId="54" fillId="52" borderId="161" applyNumberFormat="0" applyProtection="0">
      <alignment horizontal="right" vertical="center"/>
    </xf>
    <xf numFmtId="4" fontId="55" fillId="52" borderId="161" applyNumberFormat="0" applyProtection="0">
      <alignment horizontal="right" vertical="center"/>
    </xf>
    <xf numFmtId="0" fontId="4" fillId="11" borderId="161" applyNumberFormat="0" applyProtection="0">
      <alignment horizontal="left" vertical="center" indent="1"/>
    </xf>
    <xf numFmtId="0" fontId="4" fillId="11" borderId="161" applyNumberFormat="0" applyProtection="0">
      <alignment horizontal="left" vertical="center" indent="1"/>
    </xf>
    <xf numFmtId="4" fontId="59" fillId="52" borderId="161" applyNumberFormat="0" applyProtection="0">
      <alignment horizontal="right" vertical="center"/>
    </xf>
    <xf numFmtId="4" fontId="54" fillId="52" borderId="170" applyNumberFormat="0" applyProtection="0">
      <alignment horizontal="left" vertical="center" indent="1"/>
    </xf>
    <xf numFmtId="4" fontId="54" fillId="52" borderId="164" applyNumberFormat="0" applyProtection="0">
      <alignment horizontal="left" vertical="center" indent="1"/>
    </xf>
    <xf numFmtId="4" fontId="54" fillId="19" borderId="166" applyNumberFormat="0" applyProtection="0">
      <alignment horizontal="right" vertical="center"/>
    </xf>
    <xf numFmtId="4" fontId="59" fillId="52" borderId="166" applyNumberFormat="0" applyProtection="0">
      <alignment horizontal="right" vertical="center"/>
    </xf>
    <xf numFmtId="4" fontId="54" fillId="13" borderId="168" applyNumberFormat="0" applyProtection="0">
      <alignment vertical="center"/>
    </xf>
    <xf numFmtId="4" fontId="55" fillId="13" borderId="168" applyNumberFormat="0" applyProtection="0">
      <alignment vertical="center"/>
    </xf>
    <xf numFmtId="4" fontId="54" fillId="13" borderId="168" applyNumberFormat="0" applyProtection="0">
      <alignment horizontal="left" vertical="center" indent="1"/>
    </xf>
    <xf numFmtId="4" fontId="54" fillId="13" borderId="168" applyNumberFormat="0" applyProtection="0">
      <alignment horizontal="left" vertical="center" indent="1"/>
    </xf>
    <xf numFmtId="0" fontId="4" fillId="11" borderId="168" applyNumberFormat="0" applyProtection="0">
      <alignment horizontal="left" vertical="center" indent="1"/>
    </xf>
    <xf numFmtId="4" fontId="54" fillId="35" borderId="168" applyNumberFormat="0" applyProtection="0">
      <alignment horizontal="right" vertical="center"/>
    </xf>
    <xf numFmtId="4" fontId="54" fillId="48" borderId="168" applyNumberFormat="0" applyProtection="0">
      <alignment horizontal="right" vertical="center"/>
    </xf>
    <xf numFmtId="4" fontId="54" fillId="49" borderId="168" applyNumberFormat="0" applyProtection="0">
      <alignment horizontal="right" vertical="center"/>
    </xf>
    <xf numFmtId="4" fontId="54" fillId="12" borderId="168" applyNumberFormat="0" applyProtection="0">
      <alignment horizontal="right" vertical="center"/>
    </xf>
    <xf numFmtId="4" fontId="54" fillId="50" borderId="168" applyNumberFormat="0" applyProtection="0">
      <alignment horizontal="right" vertical="center"/>
    </xf>
    <xf numFmtId="4" fontId="54" fillId="15" borderId="168" applyNumberFormat="0" applyProtection="0">
      <alignment horizontal="right" vertical="center"/>
    </xf>
    <xf numFmtId="4" fontId="54" fillId="17" borderId="168" applyNumberFormat="0" applyProtection="0">
      <alignment horizontal="right" vertical="center"/>
    </xf>
    <xf numFmtId="4" fontId="54" fillId="16" borderId="168" applyNumberFormat="0" applyProtection="0">
      <alignment horizontal="right" vertical="center"/>
    </xf>
    <xf numFmtId="4" fontId="54" fillId="19" borderId="168" applyNumberFormat="0" applyProtection="0">
      <alignment horizontal="right" vertical="center"/>
    </xf>
    <xf numFmtId="4" fontId="56" fillId="51" borderId="168" applyNumberFormat="0" applyProtection="0">
      <alignment horizontal="left" vertical="center" indent="1"/>
    </xf>
    <xf numFmtId="4" fontId="54" fillId="52" borderId="169" applyNumberFormat="0" applyProtection="0">
      <alignment horizontal="left" vertical="center" indent="1"/>
    </xf>
    <xf numFmtId="0" fontId="4" fillId="11" borderId="168" applyNumberFormat="0" applyProtection="0">
      <alignment horizontal="left" vertical="center" indent="1"/>
    </xf>
    <xf numFmtId="4" fontId="5" fillId="52" borderId="168" applyNumberFormat="0" applyProtection="0">
      <alignment horizontal="left" vertical="center" indent="1"/>
    </xf>
    <xf numFmtId="4" fontId="5" fillId="54" borderId="168" applyNumberFormat="0" applyProtection="0">
      <alignment horizontal="left" vertical="center" indent="1"/>
    </xf>
    <xf numFmtId="0" fontId="4" fillId="54" borderId="168" applyNumberFormat="0" applyProtection="0">
      <alignment horizontal="left" vertical="center" indent="1"/>
    </xf>
    <xf numFmtId="0" fontId="4" fillId="54" borderId="168" applyNumberFormat="0" applyProtection="0">
      <alignment horizontal="left" vertical="center" indent="1"/>
    </xf>
    <xf numFmtId="0" fontId="4" fillId="30" borderId="168" applyNumberFormat="0" applyProtection="0">
      <alignment horizontal="left" vertical="center" indent="1"/>
    </xf>
    <xf numFmtId="0" fontId="4" fillId="30" borderId="168" applyNumberFormat="0" applyProtection="0">
      <alignment horizontal="left" vertical="center" indent="1"/>
    </xf>
    <xf numFmtId="0" fontId="4" fillId="33" borderId="168" applyNumberFormat="0" applyProtection="0">
      <alignment horizontal="left" vertical="center" indent="1"/>
    </xf>
    <xf numFmtId="0" fontId="4" fillId="33" borderId="168" applyNumberFormat="0" applyProtection="0">
      <alignment horizontal="left" vertical="center" indent="1"/>
    </xf>
    <xf numFmtId="0" fontId="4" fillId="11" borderId="168" applyNumberFormat="0" applyProtection="0">
      <alignment horizontal="left" vertical="center" indent="1"/>
    </xf>
    <xf numFmtId="0" fontId="4" fillId="11" borderId="168" applyNumberFormat="0" applyProtection="0">
      <alignment horizontal="left" vertical="center" indent="1"/>
    </xf>
    <xf numFmtId="4" fontId="54" fillId="20" borderId="168" applyNumberFormat="0" applyProtection="0">
      <alignment vertical="center"/>
    </xf>
    <xf numFmtId="4" fontId="55" fillId="20" borderId="168" applyNumberFormat="0" applyProtection="0">
      <alignment vertical="center"/>
    </xf>
    <xf numFmtId="4" fontId="54" fillId="20" borderId="168" applyNumberFormat="0" applyProtection="0">
      <alignment horizontal="left" vertical="center" indent="1"/>
    </xf>
    <xf numFmtId="4" fontId="54" fillId="20" borderId="168" applyNumberFormat="0" applyProtection="0">
      <alignment horizontal="left" vertical="center" indent="1"/>
    </xf>
    <xf numFmtId="4" fontId="54" fillId="52" borderId="168" applyNumberFormat="0" applyProtection="0">
      <alignment horizontal="right" vertical="center"/>
    </xf>
    <xf numFmtId="4" fontId="55" fillId="52" borderId="168" applyNumberFormat="0" applyProtection="0">
      <alignment horizontal="right" vertical="center"/>
    </xf>
    <xf numFmtId="0" fontId="4" fillId="11" borderId="168" applyNumberFormat="0" applyProtection="0">
      <alignment horizontal="left" vertical="center" indent="1"/>
    </xf>
    <xf numFmtId="0" fontId="4" fillId="11" borderId="168" applyNumberFormat="0" applyProtection="0">
      <alignment horizontal="left" vertical="center" indent="1"/>
    </xf>
    <xf numFmtId="4" fontId="59" fillId="52" borderId="168" applyNumberFormat="0" applyProtection="0">
      <alignment horizontal="right" vertical="center"/>
    </xf>
    <xf numFmtId="4" fontId="55" fillId="13" borderId="171" applyNumberFormat="0" applyProtection="0">
      <alignment vertical="center"/>
    </xf>
    <xf numFmtId="4" fontId="54" fillId="13" borderId="171" applyNumberFormat="0" applyProtection="0">
      <alignment horizontal="left" vertical="center" indent="1"/>
    </xf>
    <xf numFmtId="4" fontId="54" fillId="13" borderId="171" applyNumberFormat="0" applyProtection="0">
      <alignment horizontal="left" vertical="center" indent="1"/>
    </xf>
    <xf numFmtId="0" fontId="4" fillId="11" borderId="171" applyNumberFormat="0" applyProtection="0">
      <alignment horizontal="left" vertical="center" indent="1"/>
    </xf>
    <xf numFmtId="4" fontId="54" fillId="35" borderId="171" applyNumberFormat="0" applyProtection="0">
      <alignment horizontal="right" vertical="center"/>
    </xf>
    <xf numFmtId="4" fontId="54" fillId="48" borderId="171" applyNumberFormat="0" applyProtection="0">
      <alignment horizontal="right" vertical="center"/>
    </xf>
    <xf numFmtId="4" fontId="54" fillId="49" borderId="171" applyNumberFormat="0" applyProtection="0">
      <alignment horizontal="right" vertical="center"/>
    </xf>
    <xf numFmtId="4" fontId="54" fillId="12" borderId="171" applyNumberFormat="0" applyProtection="0">
      <alignment horizontal="right" vertical="center"/>
    </xf>
    <xf numFmtId="4" fontId="54" fillId="50" borderId="171" applyNumberFormat="0" applyProtection="0">
      <alignment horizontal="right" vertical="center"/>
    </xf>
    <xf numFmtId="4" fontId="54" fillId="15" borderId="171" applyNumberFormat="0" applyProtection="0">
      <alignment horizontal="right" vertical="center"/>
    </xf>
    <xf numFmtId="4" fontId="54" fillId="17" borderId="171" applyNumberFormat="0" applyProtection="0">
      <alignment horizontal="right" vertical="center"/>
    </xf>
    <xf numFmtId="4" fontId="54" fillId="16" borderId="171" applyNumberFormat="0" applyProtection="0">
      <alignment horizontal="right" vertical="center"/>
    </xf>
    <xf numFmtId="4" fontId="54" fillId="19" borderId="171" applyNumberFormat="0" applyProtection="0">
      <alignment horizontal="right" vertical="center"/>
    </xf>
    <xf numFmtId="4" fontId="56" fillId="51" borderId="171" applyNumberFormat="0" applyProtection="0">
      <alignment horizontal="left" vertical="center" indent="1"/>
    </xf>
    <xf numFmtId="4" fontId="54" fillId="52" borderId="172" applyNumberFormat="0" applyProtection="0">
      <alignment horizontal="left" vertical="center" indent="1"/>
    </xf>
    <xf numFmtId="0" fontId="4" fillId="11" borderId="171" applyNumberFormat="0" applyProtection="0">
      <alignment horizontal="left" vertical="center" indent="1"/>
    </xf>
    <xf numFmtId="4" fontId="5" fillId="52" borderId="171" applyNumberFormat="0" applyProtection="0">
      <alignment horizontal="left" vertical="center" indent="1"/>
    </xf>
    <xf numFmtId="4" fontId="5" fillId="54" borderId="171" applyNumberFormat="0" applyProtection="0">
      <alignment horizontal="left" vertical="center" indent="1"/>
    </xf>
    <xf numFmtId="0" fontId="4" fillId="54" borderId="171" applyNumberFormat="0" applyProtection="0">
      <alignment horizontal="left" vertical="center" indent="1"/>
    </xf>
    <xf numFmtId="0" fontId="4" fillId="54" borderId="171" applyNumberFormat="0" applyProtection="0">
      <alignment horizontal="left" vertical="center" indent="1"/>
    </xf>
    <xf numFmtId="0" fontId="4" fillId="30" borderId="171" applyNumberFormat="0" applyProtection="0">
      <alignment horizontal="left" vertical="center" indent="1"/>
    </xf>
    <xf numFmtId="0" fontId="4" fillId="30" borderId="171" applyNumberFormat="0" applyProtection="0">
      <alignment horizontal="left" vertical="center" indent="1"/>
    </xf>
    <xf numFmtId="0" fontId="4" fillId="33" borderId="171" applyNumberFormat="0" applyProtection="0">
      <alignment horizontal="left" vertical="center" indent="1"/>
    </xf>
    <xf numFmtId="0" fontId="4" fillId="33" borderId="171" applyNumberFormat="0" applyProtection="0">
      <alignment horizontal="left" vertical="center" indent="1"/>
    </xf>
    <xf numFmtId="0" fontId="4" fillId="11" borderId="171" applyNumberFormat="0" applyProtection="0">
      <alignment horizontal="left" vertical="center" indent="1"/>
    </xf>
    <xf numFmtId="0" fontId="4" fillId="11" borderId="171" applyNumberFormat="0" applyProtection="0">
      <alignment horizontal="left" vertical="center" indent="1"/>
    </xf>
    <xf numFmtId="4" fontId="54" fillId="20" borderId="171" applyNumberFormat="0" applyProtection="0">
      <alignment vertical="center"/>
    </xf>
    <xf numFmtId="4" fontId="55" fillId="20" borderId="171" applyNumberFormat="0" applyProtection="0">
      <alignment vertical="center"/>
    </xf>
    <xf numFmtId="4" fontId="54" fillId="20" borderId="171" applyNumberFormat="0" applyProtection="0">
      <alignment horizontal="left" vertical="center" indent="1"/>
    </xf>
    <xf numFmtId="4" fontId="54" fillId="20" borderId="171" applyNumberFormat="0" applyProtection="0">
      <alignment horizontal="left" vertical="center" indent="1"/>
    </xf>
    <xf numFmtId="4" fontId="54" fillId="52" borderId="171" applyNumberFormat="0" applyProtection="0">
      <alignment horizontal="right" vertical="center"/>
    </xf>
    <xf numFmtId="4" fontId="55" fillId="52" borderId="171" applyNumberFormat="0" applyProtection="0">
      <alignment horizontal="right" vertical="center"/>
    </xf>
    <xf numFmtId="0" fontId="4" fillId="11" borderId="171" applyNumberFormat="0" applyProtection="0">
      <alignment horizontal="left" vertical="center" indent="1"/>
    </xf>
    <xf numFmtId="0" fontId="4" fillId="11" borderId="171" applyNumberFormat="0" applyProtection="0">
      <alignment horizontal="left" vertical="center" indent="1"/>
    </xf>
    <xf numFmtId="4" fontId="59" fillId="52" borderId="171" applyNumberFormat="0" applyProtection="0">
      <alignment horizontal="right" vertical="center"/>
    </xf>
    <xf numFmtId="0" fontId="1" fillId="0" borderId="0"/>
    <xf numFmtId="4" fontId="54" fillId="13" borderId="185" applyNumberFormat="0" applyProtection="0">
      <alignment vertical="center"/>
    </xf>
    <xf numFmtId="4" fontId="55" fillId="13" borderId="185" applyNumberFormat="0" applyProtection="0">
      <alignment vertical="center"/>
    </xf>
    <xf numFmtId="4" fontId="54" fillId="13" borderId="185" applyNumberFormat="0" applyProtection="0">
      <alignment horizontal="left" vertical="center" indent="1"/>
    </xf>
    <xf numFmtId="4" fontId="54" fillId="13" borderId="185" applyNumberFormat="0" applyProtection="0">
      <alignment horizontal="left" vertical="center" indent="1"/>
    </xf>
    <xf numFmtId="0" fontId="4" fillId="11" borderId="185" applyNumberFormat="0" applyProtection="0">
      <alignment horizontal="left" vertical="center" indent="1"/>
    </xf>
    <xf numFmtId="4" fontId="54" fillId="35" borderId="185" applyNumberFormat="0" applyProtection="0">
      <alignment horizontal="right" vertical="center"/>
    </xf>
    <xf numFmtId="4" fontId="54" fillId="48" borderId="185" applyNumberFormat="0" applyProtection="0">
      <alignment horizontal="right" vertical="center"/>
    </xf>
    <xf numFmtId="4" fontId="54" fillId="49" borderId="185" applyNumberFormat="0" applyProtection="0">
      <alignment horizontal="right" vertical="center"/>
    </xf>
    <xf numFmtId="4" fontId="54" fillId="12" borderId="185" applyNumberFormat="0" applyProtection="0">
      <alignment horizontal="right" vertical="center"/>
    </xf>
    <xf numFmtId="4" fontId="54" fillId="50" borderId="185" applyNumberFormat="0" applyProtection="0">
      <alignment horizontal="right" vertical="center"/>
    </xf>
    <xf numFmtId="4" fontId="54" fillId="15" borderId="185" applyNumberFormat="0" applyProtection="0">
      <alignment horizontal="right" vertical="center"/>
    </xf>
    <xf numFmtId="4" fontId="54" fillId="17" borderId="185" applyNumberFormat="0" applyProtection="0">
      <alignment horizontal="right" vertical="center"/>
    </xf>
    <xf numFmtId="4" fontId="54" fillId="16" borderId="185" applyNumberFormat="0" applyProtection="0">
      <alignment horizontal="right" vertical="center"/>
    </xf>
    <xf numFmtId="4" fontId="54" fillId="19" borderId="185" applyNumberFormat="0" applyProtection="0">
      <alignment horizontal="right" vertical="center"/>
    </xf>
    <xf numFmtId="4" fontId="56" fillId="51" borderId="185" applyNumberFormat="0" applyProtection="0">
      <alignment horizontal="left" vertical="center" indent="1"/>
    </xf>
    <xf numFmtId="4" fontId="54" fillId="52" borderId="186" applyNumberFormat="0" applyProtection="0">
      <alignment horizontal="left" vertical="center" indent="1"/>
    </xf>
    <xf numFmtId="0" fontId="4" fillId="11" borderId="185" applyNumberFormat="0" applyProtection="0">
      <alignment horizontal="left" vertical="center" indent="1"/>
    </xf>
    <xf numFmtId="4" fontId="5" fillId="52" borderId="185" applyNumberFormat="0" applyProtection="0">
      <alignment horizontal="left" vertical="center" indent="1"/>
    </xf>
    <xf numFmtId="4" fontId="5" fillId="54" borderId="185" applyNumberFormat="0" applyProtection="0">
      <alignment horizontal="left" vertical="center" indent="1"/>
    </xf>
    <xf numFmtId="0" fontId="4" fillId="54" borderId="185" applyNumberFormat="0" applyProtection="0">
      <alignment horizontal="left" vertical="center" indent="1"/>
    </xf>
    <xf numFmtId="0" fontId="4" fillId="54" borderId="185" applyNumberFormat="0" applyProtection="0">
      <alignment horizontal="left" vertical="center" indent="1"/>
    </xf>
    <xf numFmtId="0" fontId="4" fillId="30" borderId="185" applyNumberFormat="0" applyProtection="0">
      <alignment horizontal="left" vertical="center" indent="1"/>
    </xf>
    <xf numFmtId="0" fontId="4" fillId="30" borderId="185" applyNumberFormat="0" applyProtection="0">
      <alignment horizontal="left" vertical="center" indent="1"/>
    </xf>
    <xf numFmtId="0" fontId="4" fillId="33" borderId="185" applyNumberFormat="0" applyProtection="0">
      <alignment horizontal="left" vertical="center" indent="1"/>
    </xf>
    <xf numFmtId="0" fontId="4" fillId="33" borderId="185" applyNumberFormat="0" applyProtection="0">
      <alignment horizontal="left" vertical="center" indent="1"/>
    </xf>
    <xf numFmtId="0" fontId="4" fillId="11" borderId="185" applyNumberFormat="0" applyProtection="0">
      <alignment horizontal="left" vertical="center" indent="1"/>
    </xf>
    <xf numFmtId="0" fontId="4" fillId="11" borderId="185" applyNumberFormat="0" applyProtection="0">
      <alignment horizontal="left" vertical="center" indent="1"/>
    </xf>
    <xf numFmtId="4" fontId="54" fillId="20" borderId="185" applyNumberFormat="0" applyProtection="0">
      <alignment vertical="center"/>
    </xf>
    <xf numFmtId="4" fontId="55" fillId="20" borderId="185" applyNumberFormat="0" applyProtection="0">
      <alignment vertical="center"/>
    </xf>
    <xf numFmtId="4" fontId="54" fillId="20" borderId="185" applyNumberFormat="0" applyProtection="0">
      <alignment horizontal="left" vertical="center" indent="1"/>
    </xf>
    <xf numFmtId="4" fontId="54" fillId="20" borderId="185" applyNumberFormat="0" applyProtection="0">
      <alignment horizontal="left" vertical="center" indent="1"/>
    </xf>
    <xf numFmtId="4" fontId="54" fillId="52" borderId="185" applyNumberFormat="0" applyProtection="0">
      <alignment horizontal="right" vertical="center"/>
    </xf>
    <xf numFmtId="4" fontId="55" fillId="52" borderId="185" applyNumberFormat="0" applyProtection="0">
      <alignment horizontal="right" vertical="center"/>
    </xf>
    <xf numFmtId="0" fontId="4" fillId="11" borderId="185" applyNumberFormat="0" applyProtection="0">
      <alignment horizontal="left" vertical="center" indent="1"/>
    </xf>
    <xf numFmtId="0" fontId="4" fillId="11" borderId="185" applyNumberFormat="0" applyProtection="0">
      <alignment horizontal="left" vertical="center" indent="1"/>
    </xf>
    <xf numFmtId="4" fontId="59" fillId="52" borderId="185" applyNumberFormat="0" applyProtection="0">
      <alignment horizontal="right" vertical="center"/>
    </xf>
    <xf numFmtId="4" fontId="54" fillId="13" borderId="187" applyNumberFormat="0" applyProtection="0">
      <alignment horizontal="left" vertical="center" indent="1"/>
    </xf>
    <xf numFmtId="4" fontId="54" fillId="12" borderId="187" applyNumberFormat="0" applyProtection="0">
      <alignment horizontal="right" vertical="center"/>
    </xf>
    <xf numFmtId="4" fontId="54" fillId="13" borderId="187" applyNumberFormat="0" applyProtection="0">
      <alignment horizontal="left" vertical="center" indent="1"/>
    </xf>
    <xf numFmtId="4" fontId="55" fillId="13" borderId="187" applyNumberFormat="0" applyProtection="0">
      <alignment vertical="center"/>
    </xf>
    <xf numFmtId="4" fontId="54" fillId="13" borderId="187" applyNumberFormat="0" applyProtection="0">
      <alignment vertical="center"/>
    </xf>
    <xf numFmtId="4" fontId="54" fillId="17" borderId="187" applyNumberFormat="0" applyProtection="0">
      <alignment horizontal="right" vertical="center"/>
    </xf>
    <xf numFmtId="4" fontId="56" fillId="51" borderId="187" applyNumberFormat="0" applyProtection="0">
      <alignment horizontal="left" vertical="center" indent="1"/>
    </xf>
    <xf numFmtId="0" fontId="1" fillId="0" borderId="0"/>
    <xf numFmtId="4" fontId="54" fillId="13" borderId="187" applyNumberFormat="0" applyProtection="0">
      <alignment vertical="center"/>
    </xf>
    <xf numFmtId="4" fontId="55" fillId="13" borderId="187" applyNumberFormat="0" applyProtection="0">
      <alignment vertical="center"/>
    </xf>
    <xf numFmtId="4" fontId="54" fillId="13" borderId="187" applyNumberFormat="0" applyProtection="0">
      <alignment horizontal="left" vertical="center" indent="1"/>
    </xf>
    <xf numFmtId="4" fontId="54" fillId="13" borderId="187" applyNumberFormat="0" applyProtection="0">
      <alignment horizontal="left" vertical="center" indent="1"/>
    </xf>
    <xf numFmtId="0" fontId="4" fillId="11" borderId="187" applyNumberFormat="0" applyProtection="0">
      <alignment horizontal="left" vertical="center" indent="1"/>
    </xf>
    <xf numFmtId="4" fontId="54" fillId="35" borderId="187" applyNumberFormat="0" applyProtection="0">
      <alignment horizontal="right" vertical="center"/>
    </xf>
    <xf numFmtId="4" fontId="54" fillId="48" borderId="187" applyNumberFormat="0" applyProtection="0">
      <alignment horizontal="right" vertical="center"/>
    </xf>
    <xf numFmtId="4" fontId="54" fillId="49" borderId="187" applyNumberFormat="0" applyProtection="0">
      <alignment horizontal="right" vertical="center"/>
    </xf>
    <xf numFmtId="4" fontId="54" fillId="12" borderId="187" applyNumberFormat="0" applyProtection="0">
      <alignment horizontal="right" vertical="center"/>
    </xf>
    <xf numFmtId="4" fontId="54" fillId="50" borderId="187" applyNumberFormat="0" applyProtection="0">
      <alignment horizontal="right" vertical="center"/>
    </xf>
    <xf numFmtId="4" fontId="54" fillId="15" borderId="187" applyNumberFormat="0" applyProtection="0">
      <alignment horizontal="right" vertical="center"/>
    </xf>
    <xf numFmtId="4" fontId="54" fillId="17" borderId="187" applyNumberFormat="0" applyProtection="0">
      <alignment horizontal="right" vertical="center"/>
    </xf>
    <xf numFmtId="4" fontId="54" fillId="16" borderId="187" applyNumberFormat="0" applyProtection="0">
      <alignment horizontal="right" vertical="center"/>
    </xf>
    <xf numFmtId="4" fontId="54" fillId="19" borderId="187" applyNumberFormat="0" applyProtection="0">
      <alignment horizontal="right" vertical="center"/>
    </xf>
    <xf numFmtId="4" fontId="56" fillId="51" borderId="187" applyNumberFormat="0" applyProtection="0">
      <alignment horizontal="left" vertical="center" indent="1"/>
    </xf>
    <xf numFmtId="0" fontId="4" fillId="30" borderId="187" applyNumberFormat="0" applyProtection="0">
      <alignment horizontal="left" vertical="center" indent="1"/>
    </xf>
    <xf numFmtId="0" fontId="4" fillId="33" borderId="187" applyNumberFormat="0" applyProtection="0">
      <alignment horizontal="left" vertical="center" indent="1"/>
    </xf>
    <xf numFmtId="0" fontId="4" fillId="33" borderId="187" applyNumberFormat="0" applyProtection="0">
      <alignment horizontal="left" vertical="center" indent="1"/>
    </xf>
    <xf numFmtId="0" fontId="4" fillId="11" borderId="187" applyNumberFormat="0" applyProtection="0">
      <alignment horizontal="left" vertical="center" indent="1"/>
    </xf>
    <xf numFmtId="4" fontId="54" fillId="20" borderId="187" applyNumberFormat="0" applyProtection="0">
      <alignment vertical="center"/>
    </xf>
    <xf numFmtId="4" fontId="55" fillId="20" borderId="187" applyNumberFormat="0" applyProtection="0">
      <alignment vertical="center"/>
    </xf>
    <xf numFmtId="4" fontId="54" fillId="20" borderId="187" applyNumberFormat="0" applyProtection="0">
      <alignment horizontal="left" vertical="center" indent="1"/>
    </xf>
    <xf numFmtId="4" fontId="54" fillId="20" borderId="187" applyNumberFormat="0" applyProtection="0">
      <alignment horizontal="left" vertical="center" indent="1"/>
    </xf>
    <xf numFmtId="4" fontId="54" fillId="52" borderId="187" applyNumberFormat="0" applyProtection="0">
      <alignment horizontal="right" vertical="center"/>
    </xf>
    <xf numFmtId="4" fontId="55" fillId="52" borderId="187" applyNumberFormat="0" applyProtection="0">
      <alignment horizontal="right" vertical="center"/>
    </xf>
    <xf numFmtId="4" fontId="54" fillId="13" borderId="187" applyNumberFormat="0" applyProtection="0">
      <alignment vertical="center"/>
    </xf>
    <xf numFmtId="4" fontId="59" fillId="52" borderId="187" applyNumberFormat="0" applyProtection="0">
      <alignment horizontal="right" vertical="center"/>
    </xf>
    <xf numFmtId="0" fontId="4" fillId="11" borderId="187" applyNumberFormat="0" applyProtection="0">
      <alignment horizontal="left" vertical="center" indent="1"/>
    </xf>
    <xf numFmtId="0" fontId="4" fillId="11" borderId="187" applyNumberFormat="0" applyProtection="0">
      <alignment horizontal="left" vertical="center" indent="1"/>
    </xf>
    <xf numFmtId="4" fontId="5" fillId="52" borderId="187" applyNumberFormat="0" applyProtection="0">
      <alignment horizontal="left" vertical="center" indent="1"/>
    </xf>
    <xf numFmtId="0" fontId="4" fillId="54" borderId="187" applyNumberFormat="0" applyProtection="0">
      <alignment horizontal="left" vertical="center" indent="1"/>
    </xf>
    <xf numFmtId="4" fontId="54" fillId="13" borderId="187" applyNumberFormat="0" applyProtection="0">
      <alignment vertical="center"/>
    </xf>
    <xf numFmtId="4" fontId="55" fillId="13" borderId="187" applyNumberFormat="0" applyProtection="0">
      <alignment vertical="center"/>
    </xf>
    <xf numFmtId="4" fontId="54" fillId="13" borderId="187" applyNumberFormat="0" applyProtection="0">
      <alignment horizontal="left" vertical="center" indent="1"/>
    </xf>
    <xf numFmtId="4" fontId="54" fillId="13" borderId="187" applyNumberFormat="0" applyProtection="0">
      <alignment horizontal="left" vertical="center" indent="1"/>
    </xf>
    <xf numFmtId="0" fontId="4" fillId="11" borderId="187" applyNumberFormat="0" applyProtection="0">
      <alignment horizontal="left" vertical="center" indent="1"/>
    </xf>
    <xf numFmtId="4" fontId="54" fillId="35" borderId="187" applyNumberFormat="0" applyProtection="0">
      <alignment horizontal="right" vertical="center"/>
    </xf>
    <xf numFmtId="4" fontId="54" fillId="48" borderId="187" applyNumberFormat="0" applyProtection="0">
      <alignment horizontal="right" vertical="center"/>
    </xf>
    <xf numFmtId="4" fontId="54" fillId="49" borderId="187" applyNumberFormat="0" applyProtection="0">
      <alignment horizontal="right" vertical="center"/>
    </xf>
    <xf numFmtId="4" fontId="54" fillId="12" borderId="187" applyNumberFormat="0" applyProtection="0">
      <alignment horizontal="right" vertical="center"/>
    </xf>
    <xf numFmtId="4" fontId="54" fillId="50" borderId="187" applyNumberFormat="0" applyProtection="0">
      <alignment horizontal="right" vertical="center"/>
    </xf>
    <xf numFmtId="4" fontId="54" fillId="15" borderId="187" applyNumberFormat="0" applyProtection="0">
      <alignment horizontal="right" vertical="center"/>
    </xf>
    <xf numFmtId="4" fontId="54" fillId="17" borderId="187" applyNumberFormat="0" applyProtection="0">
      <alignment horizontal="right" vertical="center"/>
    </xf>
    <xf numFmtId="4" fontId="54" fillId="16" borderId="187" applyNumberFormat="0" applyProtection="0">
      <alignment horizontal="right" vertical="center"/>
    </xf>
    <xf numFmtId="4" fontId="54" fillId="19" borderId="187" applyNumberFormat="0" applyProtection="0">
      <alignment horizontal="right" vertical="center"/>
    </xf>
    <xf numFmtId="4" fontId="56" fillId="51" borderId="187" applyNumberFormat="0" applyProtection="0">
      <alignment horizontal="left" vertical="center" indent="1"/>
    </xf>
    <xf numFmtId="4" fontId="54" fillId="52" borderId="188" applyNumberFormat="0" applyProtection="0">
      <alignment horizontal="left" vertical="center" indent="1"/>
    </xf>
    <xf numFmtId="0" fontId="4" fillId="11" borderId="187" applyNumberFormat="0" applyProtection="0">
      <alignment horizontal="left" vertical="center" indent="1"/>
    </xf>
    <xf numFmtId="4" fontId="5" fillId="52" borderId="187" applyNumberFormat="0" applyProtection="0">
      <alignment horizontal="left" vertical="center" indent="1"/>
    </xf>
    <xf numFmtId="4" fontId="5" fillId="54" borderId="187" applyNumberFormat="0" applyProtection="0">
      <alignment horizontal="left" vertical="center" indent="1"/>
    </xf>
    <xf numFmtId="0" fontId="4" fillId="54" borderId="187" applyNumberFormat="0" applyProtection="0">
      <alignment horizontal="left" vertical="center" indent="1"/>
    </xf>
    <xf numFmtId="0" fontId="4" fillId="54" borderId="187" applyNumberFormat="0" applyProtection="0">
      <alignment horizontal="left" vertical="center" indent="1"/>
    </xf>
    <xf numFmtId="0" fontId="4" fillId="30" borderId="187" applyNumberFormat="0" applyProtection="0">
      <alignment horizontal="left" vertical="center" indent="1"/>
    </xf>
    <xf numFmtId="0" fontId="4" fillId="30" borderId="187" applyNumberFormat="0" applyProtection="0">
      <alignment horizontal="left" vertical="center" indent="1"/>
    </xf>
    <xf numFmtId="0" fontId="4" fillId="33" borderId="187" applyNumberFormat="0" applyProtection="0">
      <alignment horizontal="left" vertical="center" indent="1"/>
    </xf>
    <xf numFmtId="0" fontId="4" fillId="33" borderId="187" applyNumberFormat="0" applyProtection="0">
      <alignment horizontal="left" vertical="center" indent="1"/>
    </xf>
    <xf numFmtId="0" fontId="4" fillId="11" borderId="187" applyNumberFormat="0" applyProtection="0">
      <alignment horizontal="left" vertical="center" indent="1"/>
    </xf>
    <xf numFmtId="0" fontId="4" fillId="11" borderId="187" applyNumberFormat="0" applyProtection="0">
      <alignment horizontal="left" vertical="center" indent="1"/>
    </xf>
    <xf numFmtId="4" fontId="54" fillId="20" borderId="187" applyNumberFormat="0" applyProtection="0">
      <alignment vertical="center"/>
    </xf>
    <xf numFmtId="4" fontId="55" fillId="20" borderId="187" applyNumberFormat="0" applyProtection="0">
      <alignment vertical="center"/>
    </xf>
    <xf numFmtId="4" fontId="54" fillId="20" borderId="187" applyNumberFormat="0" applyProtection="0">
      <alignment horizontal="left" vertical="center" indent="1"/>
    </xf>
    <xf numFmtId="4" fontId="54" fillId="20" borderId="187" applyNumberFormat="0" applyProtection="0">
      <alignment horizontal="left" vertical="center" indent="1"/>
    </xf>
    <xf numFmtId="4" fontId="54" fillId="52" borderId="187" applyNumberFormat="0" applyProtection="0">
      <alignment horizontal="right" vertical="center"/>
    </xf>
    <xf numFmtId="4" fontId="55" fillId="52" borderId="187" applyNumberFormat="0" applyProtection="0">
      <alignment horizontal="right" vertical="center"/>
    </xf>
    <xf numFmtId="0" fontId="4" fillId="11" borderId="187" applyNumberFormat="0" applyProtection="0">
      <alignment horizontal="left" vertical="center" indent="1"/>
    </xf>
    <xf numFmtId="0" fontId="4" fillId="11" borderId="187" applyNumberFormat="0" applyProtection="0">
      <alignment horizontal="left" vertical="center" indent="1"/>
    </xf>
    <xf numFmtId="4" fontId="59" fillId="52" borderId="187" applyNumberFormat="0" applyProtection="0">
      <alignment horizontal="right" vertical="center"/>
    </xf>
    <xf numFmtId="0" fontId="4" fillId="11" borderId="187" applyNumberFormat="0" applyProtection="0">
      <alignment horizontal="left" vertical="center" indent="1"/>
    </xf>
    <xf numFmtId="4" fontId="54" fillId="13" borderId="187" applyNumberFormat="0" applyProtection="0">
      <alignment vertical="center"/>
    </xf>
    <xf numFmtId="4" fontId="55" fillId="13" borderId="187" applyNumberFormat="0" applyProtection="0">
      <alignment vertical="center"/>
    </xf>
    <xf numFmtId="4" fontId="54" fillId="13" borderId="187" applyNumberFormat="0" applyProtection="0">
      <alignment horizontal="left" vertical="center" indent="1"/>
    </xf>
    <xf numFmtId="4" fontId="54" fillId="13" borderId="187" applyNumberFormat="0" applyProtection="0">
      <alignment horizontal="left" vertical="center" indent="1"/>
    </xf>
    <xf numFmtId="0" fontId="4" fillId="11" borderId="187" applyNumberFormat="0" applyProtection="0">
      <alignment horizontal="left" vertical="center" indent="1"/>
    </xf>
    <xf numFmtId="4" fontId="54" fillId="35" borderId="187" applyNumberFormat="0" applyProtection="0">
      <alignment horizontal="right" vertical="center"/>
    </xf>
    <xf numFmtId="4" fontId="54" fillId="48" borderId="187" applyNumberFormat="0" applyProtection="0">
      <alignment horizontal="right" vertical="center"/>
    </xf>
    <xf numFmtId="4" fontId="54" fillId="49" borderId="187" applyNumberFormat="0" applyProtection="0">
      <alignment horizontal="right" vertical="center"/>
    </xf>
    <xf numFmtId="4" fontId="54" fillId="12" borderId="187" applyNumberFormat="0" applyProtection="0">
      <alignment horizontal="right" vertical="center"/>
    </xf>
    <xf numFmtId="4" fontId="54" fillId="50" borderId="187" applyNumberFormat="0" applyProtection="0">
      <alignment horizontal="right" vertical="center"/>
    </xf>
    <xf numFmtId="4" fontId="54" fillId="15" borderId="187" applyNumberFormat="0" applyProtection="0">
      <alignment horizontal="right" vertical="center"/>
    </xf>
    <xf numFmtId="4" fontId="54" fillId="17" borderId="187" applyNumberFormat="0" applyProtection="0">
      <alignment horizontal="right" vertical="center"/>
    </xf>
    <xf numFmtId="4" fontId="54" fillId="16" borderId="187" applyNumberFormat="0" applyProtection="0">
      <alignment horizontal="right" vertical="center"/>
    </xf>
    <xf numFmtId="4" fontId="54" fillId="19" borderId="187" applyNumberFormat="0" applyProtection="0">
      <alignment horizontal="right" vertical="center"/>
    </xf>
    <xf numFmtId="4" fontId="56" fillId="51" borderId="187" applyNumberFormat="0" applyProtection="0">
      <alignment horizontal="left" vertical="center" indent="1"/>
    </xf>
    <xf numFmtId="4" fontId="54" fillId="52" borderId="188" applyNumberFormat="0" applyProtection="0">
      <alignment horizontal="left" vertical="center" indent="1"/>
    </xf>
    <xf numFmtId="0" fontId="4" fillId="11" borderId="187" applyNumberFormat="0" applyProtection="0">
      <alignment horizontal="left" vertical="center" indent="1"/>
    </xf>
    <xf numFmtId="4" fontId="5" fillId="52" borderId="187" applyNumberFormat="0" applyProtection="0">
      <alignment horizontal="left" vertical="center" indent="1"/>
    </xf>
    <xf numFmtId="4" fontId="5" fillId="54" borderId="187" applyNumberFormat="0" applyProtection="0">
      <alignment horizontal="left" vertical="center" indent="1"/>
    </xf>
    <xf numFmtId="0" fontId="4" fillId="54" borderId="187" applyNumberFormat="0" applyProtection="0">
      <alignment horizontal="left" vertical="center" indent="1"/>
    </xf>
    <xf numFmtId="0" fontId="4" fillId="54" borderId="187" applyNumberFormat="0" applyProtection="0">
      <alignment horizontal="left" vertical="center" indent="1"/>
    </xf>
    <xf numFmtId="0" fontId="4" fillId="30" borderId="187" applyNumberFormat="0" applyProtection="0">
      <alignment horizontal="left" vertical="center" indent="1"/>
    </xf>
    <xf numFmtId="0" fontId="4" fillId="30" borderId="187" applyNumberFormat="0" applyProtection="0">
      <alignment horizontal="left" vertical="center" indent="1"/>
    </xf>
    <xf numFmtId="0" fontId="4" fillId="33" borderId="187" applyNumberFormat="0" applyProtection="0">
      <alignment horizontal="left" vertical="center" indent="1"/>
    </xf>
    <xf numFmtId="0" fontId="4" fillId="33" borderId="187" applyNumberFormat="0" applyProtection="0">
      <alignment horizontal="left" vertical="center" indent="1"/>
    </xf>
    <xf numFmtId="0" fontId="4" fillId="11" borderId="187" applyNumberFormat="0" applyProtection="0">
      <alignment horizontal="left" vertical="center" indent="1"/>
    </xf>
    <xf numFmtId="0" fontId="4" fillId="11" borderId="187" applyNumberFormat="0" applyProtection="0">
      <alignment horizontal="left" vertical="center" indent="1"/>
    </xf>
    <xf numFmtId="4" fontId="54" fillId="20" borderId="187" applyNumberFormat="0" applyProtection="0">
      <alignment vertical="center"/>
    </xf>
    <xf numFmtId="4" fontId="55" fillId="20" borderId="187" applyNumberFormat="0" applyProtection="0">
      <alignment vertical="center"/>
    </xf>
    <xf numFmtId="4" fontId="54" fillId="20" borderId="187" applyNumberFormat="0" applyProtection="0">
      <alignment horizontal="left" vertical="center" indent="1"/>
    </xf>
    <xf numFmtId="4" fontId="54" fillId="20" borderId="187" applyNumberFormat="0" applyProtection="0">
      <alignment horizontal="left" vertical="center" indent="1"/>
    </xf>
    <xf numFmtId="4" fontId="54" fillId="52" borderId="187" applyNumberFormat="0" applyProtection="0">
      <alignment horizontal="right" vertical="center"/>
    </xf>
    <xf numFmtId="4" fontId="55" fillId="52" borderId="187" applyNumberFormat="0" applyProtection="0">
      <alignment horizontal="right" vertical="center"/>
    </xf>
    <xf numFmtId="0" fontId="4" fillId="11" borderId="187" applyNumberFormat="0" applyProtection="0">
      <alignment horizontal="left" vertical="center" indent="1"/>
    </xf>
    <xf numFmtId="0" fontId="4" fillId="11" borderId="187" applyNumberFormat="0" applyProtection="0">
      <alignment horizontal="left" vertical="center" indent="1"/>
    </xf>
    <xf numFmtId="4" fontId="59" fillId="52" borderId="187" applyNumberFormat="0" applyProtection="0">
      <alignment horizontal="right" vertical="center"/>
    </xf>
    <xf numFmtId="0" fontId="4" fillId="11" borderId="187" applyNumberFormat="0" applyProtection="0">
      <alignment horizontal="left" vertical="center" indent="1"/>
    </xf>
    <xf numFmtId="4" fontId="54" fillId="35" borderId="187" applyNumberFormat="0" applyProtection="0">
      <alignment horizontal="right" vertical="center"/>
    </xf>
    <xf numFmtId="4" fontId="54" fillId="48" borderId="187" applyNumberFormat="0" applyProtection="0">
      <alignment horizontal="right" vertical="center"/>
    </xf>
    <xf numFmtId="4" fontId="54" fillId="49" borderId="187" applyNumberFormat="0" applyProtection="0">
      <alignment horizontal="right" vertical="center"/>
    </xf>
    <xf numFmtId="4" fontId="54" fillId="12" borderId="187" applyNumberFormat="0" applyProtection="0">
      <alignment horizontal="right" vertical="center"/>
    </xf>
    <xf numFmtId="4" fontId="54" fillId="50" borderId="187" applyNumberFormat="0" applyProtection="0">
      <alignment horizontal="right" vertical="center"/>
    </xf>
    <xf numFmtId="4" fontId="54" fillId="15" borderId="187" applyNumberFormat="0" applyProtection="0">
      <alignment horizontal="right" vertical="center"/>
    </xf>
    <xf numFmtId="4" fontId="54" fillId="17" borderId="187" applyNumberFormat="0" applyProtection="0">
      <alignment horizontal="right" vertical="center"/>
    </xf>
    <xf numFmtId="4" fontId="54" fillId="16" borderId="187" applyNumberFormat="0" applyProtection="0">
      <alignment horizontal="right" vertical="center"/>
    </xf>
    <xf numFmtId="4" fontId="54" fillId="19" borderId="187" applyNumberFormat="0" applyProtection="0">
      <alignment horizontal="right" vertical="center"/>
    </xf>
    <xf numFmtId="4" fontId="56" fillId="51" borderId="187" applyNumberFormat="0" applyProtection="0">
      <alignment horizontal="left" vertical="center" indent="1"/>
    </xf>
    <xf numFmtId="4" fontId="54" fillId="52" borderId="188" applyNumberFormat="0" applyProtection="0">
      <alignment horizontal="left" vertical="center" indent="1"/>
    </xf>
    <xf numFmtId="4" fontId="54" fillId="52" borderId="188" applyNumberFormat="0" applyProtection="0">
      <alignment horizontal="left" vertical="center" indent="1"/>
    </xf>
    <xf numFmtId="0" fontId="4" fillId="11" borderId="187" applyNumberFormat="0" applyProtection="0">
      <alignment horizontal="left" vertical="center" indent="1"/>
    </xf>
    <xf numFmtId="4" fontId="5" fillId="52" borderId="187" applyNumberFormat="0" applyProtection="0">
      <alignment horizontal="left" vertical="center" indent="1"/>
    </xf>
    <xf numFmtId="4" fontId="5" fillId="54" borderId="187" applyNumberFormat="0" applyProtection="0">
      <alignment horizontal="left" vertical="center" indent="1"/>
    </xf>
    <xf numFmtId="0" fontId="4" fillId="54" borderId="187" applyNumberFormat="0" applyProtection="0">
      <alignment horizontal="left" vertical="center" indent="1"/>
    </xf>
    <xf numFmtId="0" fontId="4" fillId="54" borderId="187" applyNumberFormat="0" applyProtection="0">
      <alignment horizontal="left" vertical="center" indent="1"/>
    </xf>
    <xf numFmtId="0" fontId="4" fillId="30" borderId="187" applyNumberFormat="0" applyProtection="0">
      <alignment horizontal="left" vertical="center" indent="1"/>
    </xf>
    <xf numFmtId="0" fontId="4" fillId="30" borderId="187" applyNumberFormat="0" applyProtection="0">
      <alignment horizontal="left" vertical="center" indent="1"/>
    </xf>
    <xf numFmtId="0" fontId="4" fillId="33" borderId="187" applyNumberFormat="0" applyProtection="0">
      <alignment horizontal="left" vertical="center" indent="1"/>
    </xf>
    <xf numFmtId="0" fontId="4" fillId="33" borderId="187" applyNumberFormat="0" applyProtection="0">
      <alignment horizontal="left" vertical="center" indent="1"/>
    </xf>
    <xf numFmtId="0" fontId="4" fillId="11" borderId="187" applyNumberFormat="0" applyProtection="0">
      <alignment horizontal="left" vertical="center" indent="1"/>
    </xf>
    <xf numFmtId="0" fontId="4" fillId="11" borderId="187" applyNumberFormat="0" applyProtection="0">
      <alignment horizontal="left" vertical="center" indent="1"/>
    </xf>
    <xf numFmtId="4" fontId="54" fillId="20" borderId="187" applyNumberFormat="0" applyProtection="0">
      <alignment vertical="center"/>
    </xf>
    <xf numFmtId="4" fontId="55" fillId="20" borderId="187" applyNumberFormat="0" applyProtection="0">
      <alignment vertical="center"/>
    </xf>
    <xf numFmtId="4" fontId="54" fillId="20" borderId="187" applyNumberFormat="0" applyProtection="0">
      <alignment horizontal="left" vertical="center" indent="1"/>
    </xf>
    <xf numFmtId="4" fontId="54" fillId="20" borderId="187" applyNumberFormat="0" applyProtection="0">
      <alignment horizontal="left" vertical="center" indent="1"/>
    </xf>
    <xf numFmtId="4" fontId="54" fillId="52" borderId="187" applyNumberFormat="0" applyProtection="0">
      <alignment horizontal="right" vertical="center"/>
    </xf>
    <xf numFmtId="4" fontId="55" fillId="52" borderId="187" applyNumberFormat="0" applyProtection="0">
      <alignment horizontal="right" vertical="center"/>
    </xf>
    <xf numFmtId="0" fontId="4" fillId="11" borderId="187" applyNumberFormat="0" applyProtection="0">
      <alignment horizontal="left" vertical="center" indent="1"/>
    </xf>
    <xf numFmtId="0" fontId="4" fillId="11" borderId="187" applyNumberFormat="0" applyProtection="0">
      <alignment horizontal="left" vertical="center" indent="1"/>
    </xf>
    <xf numFmtId="4" fontId="5" fillId="54" borderId="187" applyNumberFormat="0" applyProtection="0">
      <alignment horizontal="left" vertical="center" indent="1"/>
    </xf>
    <xf numFmtId="4" fontId="59" fillId="52" borderId="187" applyNumberFormat="0" applyProtection="0">
      <alignment horizontal="right" vertical="center"/>
    </xf>
    <xf numFmtId="0" fontId="4" fillId="30" borderId="187" applyNumberFormat="0" applyProtection="0">
      <alignment horizontal="left" vertical="center" indent="1"/>
    </xf>
    <xf numFmtId="4" fontId="5" fillId="54" borderId="187" applyNumberFormat="0" applyProtection="0">
      <alignment horizontal="left" vertical="center" indent="1"/>
    </xf>
    <xf numFmtId="0" fontId="4" fillId="11" borderId="187" applyNumberFormat="0" applyProtection="0">
      <alignment horizontal="left" vertical="center" indent="1"/>
    </xf>
    <xf numFmtId="4" fontId="54" fillId="13" borderId="187" applyNumberFormat="0" applyProtection="0">
      <alignment vertical="center"/>
    </xf>
    <xf numFmtId="4" fontId="55" fillId="13" borderId="187" applyNumberFormat="0" applyProtection="0">
      <alignment vertical="center"/>
    </xf>
    <xf numFmtId="4" fontId="54" fillId="13" borderId="187" applyNumberFormat="0" applyProtection="0">
      <alignment horizontal="left" vertical="center" indent="1"/>
    </xf>
    <xf numFmtId="4" fontId="54" fillId="13" borderId="187" applyNumberFormat="0" applyProtection="0">
      <alignment horizontal="left" vertical="center" indent="1"/>
    </xf>
    <xf numFmtId="0" fontId="4" fillId="11" borderId="187" applyNumberFormat="0" applyProtection="0">
      <alignment horizontal="left" vertical="center" indent="1"/>
    </xf>
    <xf numFmtId="4" fontId="54" fillId="35" borderId="187" applyNumberFormat="0" applyProtection="0">
      <alignment horizontal="right" vertical="center"/>
    </xf>
    <xf numFmtId="4" fontId="54" fillId="48" borderId="187" applyNumberFormat="0" applyProtection="0">
      <alignment horizontal="right" vertical="center"/>
    </xf>
    <xf numFmtId="4" fontId="54" fillId="49" borderId="187" applyNumberFormat="0" applyProtection="0">
      <alignment horizontal="right" vertical="center"/>
    </xf>
    <xf numFmtId="4" fontId="54" fillId="12" borderId="187" applyNumberFormat="0" applyProtection="0">
      <alignment horizontal="right" vertical="center"/>
    </xf>
    <xf numFmtId="4" fontId="54" fillId="50" borderId="187" applyNumberFormat="0" applyProtection="0">
      <alignment horizontal="right" vertical="center"/>
    </xf>
    <xf numFmtId="4" fontId="54" fillId="15" borderId="187" applyNumberFormat="0" applyProtection="0">
      <alignment horizontal="right" vertical="center"/>
    </xf>
    <xf numFmtId="4" fontId="54" fillId="17" borderId="187" applyNumberFormat="0" applyProtection="0">
      <alignment horizontal="right" vertical="center"/>
    </xf>
    <xf numFmtId="4" fontId="54" fillId="16" borderId="187" applyNumberFormat="0" applyProtection="0">
      <alignment horizontal="right" vertical="center"/>
    </xf>
    <xf numFmtId="4" fontId="54" fillId="19" borderId="187" applyNumberFormat="0" applyProtection="0">
      <alignment horizontal="right" vertical="center"/>
    </xf>
    <xf numFmtId="4" fontId="56" fillId="51" borderId="187" applyNumberFormat="0" applyProtection="0">
      <alignment horizontal="left" vertical="center" indent="1"/>
    </xf>
    <xf numFmtId="4" fontId="54" fillId="52" borderId="188" applyNumberFormat="0" applyProtection="0">
      <alignment horizontal="left" vertical="center" indent="1"/>
    </xf>
    <xf numFmtId="0" fontId="4" fillId="11" borderId="187" applyNumberFormat="0" applyProtection="0">
      <alignment horizontal="left" vertical="center" indent="1"/>
    </xf>
    <xf numFmtId="4" fontId="5" fillId="52" borderId="187" applyNumberFormat="0" applyProtection="0">
      <alignment horizontal="left" vertical="center" indent="1"/>
    </xf>
    <xf numFmtId="4" fontId="5" fillId="54" borderId="187" applyNumberFormat="0" applyProtection="0">
      <alignment horizontal="left" vertical="center" indent="1"/>
    </xf>
    <xf numFmtId="0" fontId="4" fillId="54" borderId="187" applyNumberFormat="0" applyProtection="0">
      <alignment horizontal="left" vertical="center" indent="1"/>
    </xf>
    <xf numFmtId="0" fontId="4" fillId="54" borderId="187" applyNumberFormat="0" applyProtection="0">
      <alignment horizontal="left" vertical="center" indent="1"/>
    </xf>
    <xf numFmtId="0" fontId="4" fillId="30" borderId="187" applyNumberFormat="0" applyProtection="0">
      <alignment horizontal="left" vertical="center" indent="1"/>
    </xf>
    <xf numFmtId="0" fontId="4" fillId="30" borderId="187" applyNumberFormat="0" applyProtection="0">
      <alignment horizontal="left" vertical="center" indent="1"/>
    </xf>
    <xf numFmtId="0" fontId="4" fillId="33" borderId="187" applyNumberFormat="0" applyProtection="0">
      <alignment horizontal="left" vertical="center" indent="1"/>
    </xf>
    <xf numFmtId="0" fontId="4" fillId="33" borderId="187" applyNumberFormat="0" applyProtection="0">
      <alignment horizontal="left" vertical="center" indent="1"/>
    </xf>
    <xf numFmtId="0" fontId="4" fillId="11" borderId="187" applyNumberFormat="0" applyProtection="0">
      <alignment horizontal="left" vertical="center" indent="1"/>
    </xf>
    <xf numFmtId="0" fontId="4" fillId="11" borderId="187" applyNumberFormat="0" applyProtection="0">
      <alignment horizontal="left" vertical="center" indent="1"/>
    </xf>
    <xf numFmtId="4" fontId="54" fillId="20" borderId="187" applyNumberFormat="0" applyProtection="0">
      <alignment vertical="center"/>
    </xf>
    <xf numFmtId="4" fontId="55" fillId="20" borderId="187" applyNumberFormat="0" applyProtection="0">
      <alignment vertical="center"/>
    </xf>
    <xf numFmtId="4" fontId="54" fillId="20" borderId="187" applyNumberFormat="0" applyProtection="0">
      <alignment horizontal="left" vertical="center" indent="1"/>
    </xf>
    <xf numFmtId="4" fontId="54" fillId="20" borderId="187" applyNumberFormat="0" applyProtection="0">
      <alignment horizontal="left" vertical="center" indent="1"/>
    </xf>
    <xf numFmtId="4" fontId="54" fillId="52" borderId="187" applyNumberFormat="0" applyProtection="0">
      <alignment horizontal="right" vertical="center"/>
    </xf>
    <xf numFmtId="4" fontId="55" fillId="52" borderId="187" applyNumberFormat="0" applyProtection="0">
      <alignment horizontal="right" vertical="center"/>
    </xf>
    <xf numFmtId="0" fontId="4" fillId="11" borderId="187" applyNumberFormat="0" applyProtection="0">
      <alignment horizontal="left" vertical="center" indent="1"/>
    </xf>
    <xf numFmtId="0" fontId="4" fillId="11" borderId="187" applyNumberFormat="0" applyProtection="0">
      <alignment horizontal="left" vertical="center" indent="1"/>
    </xf>
    <xf numFmtId="4" fontId="59" fillId="52" borderId="187" applyNumberFormat="0" applyProtection="0">
      <alignment horizontal="right" vertical="center"/>
    </xf>
    <xf numFmtId="0" fontId="4" fillId="54" borderId="187" applyNumberFormat="0" applyProtection="0">
      <alignment horizontal="left" vertical="center" indent="1"/>
    </xf>
    <xf numFmtId="4" fontId="54" fillId="13" borderId="187" applyNumberFormat="0" applyProtection="0">
      <alignment vertical="center"/>
    </xf>
    <xf numFmtId="4" fontId="55" fillId="13" borderId="187" applyNumberFormat="0" applyProtection="0">
      <alignment vertical="center"/>
    </xf>
    <xf numFmtId="4" fontId="54" fillId="13" borderId="187" applyNumberFormat="0" applyProtection="0">
      <alignment horizontal="left" vertical="center" indent="1"/>
    </xf>
    <xf numFmtId="4" fontId="54" fillId="13" borderId="187" applyNumberFormat="0" applyProtection="0">
      <alignment horizontal="left" vertical="center" indent="1"/>
    </xf>
    <xf numFmtId="0" fontId="4" fillId="11" borderId="187" applyNumberFormat="0" applyProtection="0">
      <alignment horizontal="left" vertical="center" indent="1"/>
    </xf>
    <xf numFmtId="4" fontId="54" fillId="35" borderId="187" applyNumberFormat="0" applyProtection="0">
      <alignment horizontal="right" vertical="center"/>
    </xf>
    <xf numFmtId="4" fontId="54" fillId="48" borderId="187" applyNumberFormat="0" applyProtection="0">
      <alignment horizontal="right" vertical="center"/>
    </xf>
    <xf numFmtId="4" fontId="54" fillId="52" borderId="188" applyNumberFormat="0" applyProtection="0">
      <alignment horizontal="left" vertical="center" indent="1"/>
    </xf>
    <xf numFmtId="4" fontId="54" fillId="52" borderId="188" applyNumberFormat="0" applyProtection="0">
      <alignment horizontal="left" vertical="center" indent="1"/>
    </xf>
    <xf numFmtId="0" fontId="4" fillId="11" borderId="187" applyNumberFormat="0" applyProtection="0">
      <alignment horizontal="left" vertical="center" indent="1"/>
    </xf>
    <xf numFmtId="4" fontId="5" fillId="52" borderId="187" applyNumberFormat="0" applyProtection="0">
      <alignment horizontal="left" vertical="center" indent="1"/>
    </xf>
    <xf numFmtId="0" fontId="4" fillId="54" borderId="187" applyNumberFormat="0" applyProtection="0">
      <alignment horizontal="left" vertical="center" indent="1"/>
    </xf>
    <xf numFmtId="0" fontId="4" fillId="54" borderId="187" applyNumberFormat="0" applyProtection="0">
      <alignment horizontal="left" vertical="center" indent="1"/>
    </xf>
    <xf numFmtId="0" fontId="4" fillId="30" borderId="187" applyNumberFormat="0" applyProtection="0">
      <alignment horizontal="left" vertical="center" indent="1"/>
    </xf>
    <xf numFmtId="0" fontId="4" fillId="30" borderId="187" applyNumberFormat="0" applyProtection="0">
      <alignment horizontal="left" vertical="center" indent="1"/>
    </xf>
    <xf numFmtId="0" fontId="4" fillId="33" borderId="187" applyNumberFormat="0" applyProtection="0">
      <alignment horizontal="left" vertical="center" indent="1"/>
    </xf>
    <xf numFmtId="0" fontId="4" fillId="33" borderId="187" applyNumberFormat="0" applyProtection="0">
      <alignment horizontal="left" vertical="center" indent="1"/>
    </xf>
    <xf numFmtId="0" fontId="4" fillId="11" borderId="187" applyNumberFormat="0" applyProtection="0">
      <alignment horizontal="left" vertical="center" indent="1"/>
    </xf>
    <xf numFmtId="4" fontId="55" fillId="20" borderId="187" applyNumberFormat="0" applyProtection="0">
      <alignment vertical="center"/>
    </xf>
    <xf numFmtId="4" fontId="54" fillId="20" borderId="187" applyNumberFormat="0" applyProtection="0">
      <alignment horizontal="left" vertical="center" indent="1"/>
    </xf>
    <xf numFmtId="4" fontId="54" fillId="20" borderId="187" applyNumberFormat="0" applyProtection="0">
      <alignment horizontal="left" vertical="center" indent="1"/>
    </xf>
    <xf numFmtId="4" fontId="54" fillId="52" borderId="187" applyNumberFormat="0" applyProtection="0">
      <alignment horizontal="right" vertical="center"/>
    </xf>
    <xf numFmtId="4" fontId="55" fillId="52" borderId="187" applyNumberFormat="0" applyProtection="0">
      <alignment horizontal="right" vertical="center"/>
    </xf>
    <xf numFmtId="0" fontId="4" fillId="11" borderId="187" applyNumberFormat="0" applyProtection="0">
      <alignment horizontal="left" vertical="center" indent="1"/>
    </xf>
    <xf numFmtId="4" fontId="54" fillId="50" borderId="187" applyNumberFormat="0" applyProtection="0">
      <alignment horizontal="right" vertical="center"/>
    </xf>
    <xf numFmtId="0" fontId="4" fillId="11" borderId="187" applyNumberFormat="0" applyProtection="0">
      <alignment horizontal="left" vertical="center" indent="1"/>
    </xf>
    <xf numFmtId="4" fontId="54" fillId="15" borderId="187" applyNumberFormat="0" applyProtection="0">
      <alignment horizontal="right" vertical="center"/>
    </xf>
    <xf numFmtId="4" fontId="54" fillId="16" borderId="187" applyNumberFormat="0" applyProtection="0">
      <alignment horizontal="right" vertical="center"/>
    </xf>
    <xf numFmtId="4" fontId="54" fillId="49" borderId="187" applyNumberFormat="0" applyProtection="0">
      <alignment horizontal="right" vertical="center"/>
    </xf>
    <xf numFmtId="0" fontId="4" fillId="11" borderId="187" applyNumberFormat="0" applyProtection="0">
      <alignment horizontal="left" vertical="center" indent="1"/>
    </xf>
    <xf numFmtId="4" fontId="54" fillId="20" borderId="187" applyNumberFormat="0" applyProtection="0">
      <alignment vertical="center"/>
    </xf>
    <xf numFmtId="4" fontId="54" fillId="13" borderId="187" applyNumberFormat="0" applyProtection="0">
      <alignment vertical="center"/>
    </xf>
    <xf numFmtId="4" fontId="55" fillId="13" borderId="187" applyNumberFormat="0" applyProtection="0">
      <alignment vertical="center"/>
    </xf>
    <xf numFmtId="4" fontId="54" fillId="13" borderId="187" applyNumberFormat="0" applyProtection="0">
      <alignment horizontal="left" vertical="center" indent="1"/>
    </xf>
    <xf numFmtId="4" fontId="54" fillId="13" borderId="187" applyNumberFormat="0" applyProtection="0">
      <alignment horizontal="left" vertical="center" indent="1"/>
    </xf>
    <xf numFmtId="0" fontId="4" fillId="11" borderId="187" applyNumberFormat="0" applyProtection="0">
      <alignment horizontal="left" vertical="center" indent="1"/>
    </xf>
    <xf numFmtId="4" fontId="54" fillId="35" borderId="187" applyNumberFormat="0" applyProtection="0">
      <alignment horizontal="right" vertical="center"/>
    </xf>
    <xf numFmtId="4" fontId="54" fillId="48" borderId="187" applyNumberFormat="0" applyProtection="0">
      <alignment horizontal="right" vertical="center"/>
    </xf>
    <xf numFmtId="4" fontId="54" fillId="49" borderId="187" applyNumberFormat="0" applyProtection="0">
      <alignment horizontal="right" vertical="center"/>
    </xf>
    <xf numFmtId="4" fontId="54" fillId="12" borderId="187" applyNumberFormat="0" applyProtection="0">
      <alignment horizontal="right" vertical="center"/>
    </xf>
    <xf numFmtId="4" fontId="54" fillId="50" borderId="187" applyNumberFormat="0" applyProtection="0">
      <alignment horizontal="right" vertical="center"/>
    </xf>
    <xf numFmtId="4" fontId="54" fillId="15" borderId="187" applyNumberFormat="0" applyProtection="0">
      <alignment horizontal="right" vertical="center"/>
    </xf>
    <xf numFmtId="4" fontId="54" fillId="17" borderId="187" applyNumberFormat="0" applyProtection="0">
      <alignment horizontal="right" vertical="center"/>
    </xf>
    <xf numFmtId="4" fontId="54" fillId="16" borderId="187" applyNumberFormat="0" applyProtection="0">
      <alignment horizontal="right" vertical="center"/>
    </xf>
    <xf numFmtId="4" fontId="54" fillId="19" borderId="187" applyNumberFormat="0" applyProtection="0">
      <alignment horizontal="right" vertical="center"/>
    </xf>
    <xf numFmtId="4" fontId="56" fillId="51" borderId="187" applyNumberFormat="0" applyProtection="0">
      <alignment horizontal="left" vertical="center" indent="1"/>
    </xf>
    <xf numFmtId="4" fontId="54" fillId="52" borderId="188" applyNumberFormat="0" applyProtection="0">
      <alignment horizontal="left" vertical="center" indent="1"/>
    </xf>
    <xf numFmtId="0" fontId="4" fillId="11" borderId="187" applyNumberFormat="0" applyProtection="0">
      <alignment horizontal="left" vertical="center" indent="1"/>
    </xf>
    <xf numFmtId="4" fontId="5" fillId="52" borderId="187" applyNumberFormat="0" applyProtection="0">
      <alignment horizontal="left" vertical="center" indent="1"/>
    </xf>
    <xf numFmtId="4" fontId="5" fillId="54" borderId="187" applyNumberFormat="0" applyProtection="0">
      <alignment horizontal="left" vertical="center" indent="1"/>
    </xf>
    <xf numFmtId="0" fontId="4" fillId="54" borderId="187" applyNumberFormat="0" applyProtection="0">
      <alignment horizontal="left" vertical="center" indent="1"/>
    </xf>
    <xf numFmtId="0" fontId="4" fillId="54" borderId="187" applyNumberFormat="0" applyProtection="0">
      <alignment horizontal="left" vertical="center" indent="1"/>
    </xf>
    <xf numFmtId="0" fontId="4" fillId="30" borderId="187" applyNumberFormat="0" applyProtection="0">
      <alignment horizontal="left" vertical="center" indent="1"/>
    </xf>
    <xf numFmtId="0" fontId="4" fillId="30" borderId="187" applyNumberFormat="0" applyProtection="0">
      <alignment horizontal="left" vertical="center" indent="1"/>
    </xf>
    <xf numFmtId="0" fontId="4" fillId="33" borderId="187" applyNumberFormat="0" applyProtection="0">
      <alignment horizontal="left" vertical="center" indent="1"/>
    </xf>
    <xf numFmtId="0" fontId="4" fillId="33" borderId="187" applyNumberFormat="0" applyProtection="0">
      <alignment horizontal="left" vertical="center" indent="1"/>
    </xf>
    <xf numFmtId="0" fontId="4" fillId="11" borderId="187" applyNumberFormat="0" applyProtection="0">
      <alignment horizontal="left" vertical="center" indent="1"/>
    </xf>
    <xf numFmtId="0" fontId="4" fillId="11" borderId="187" applyNumberFormat="0" applyProtection="0">
      <alignment horizontal="left" vertical="center" indent="1"/>
    </xf>
    <xf numFmtId="4" fontId="54" fillId="20" borderId="187" applyNumberFormat="0" applyProtection="0">
      <alignment vertical="center"/>
    </xf>
    <xf numFmtId="4" fontId="55" fillId="20" borderId="187" applyNumberFormat="0" applyProtection="0">
      <alignment vertical="center"/>
    </xf>
    <xf numFmtId="4" fontId="54" fillId="20" borderId="187" applyNumberFormat="0" applyProtection="0">
      <alignment horizontal="left" vertical="center" indent="1"/>
    </xf>
    <xf numFmtId="4" fontId="54" fillId="20" borderId="187" applyNumberFormat="0" applyProtection="0">
      <alignment horizontal="left" vertical="center" indent="1"/>
    </xf>
    <xf numFmtId="4" fontId="54" fillId="52" borderId="187" applyNumberFormat="0" applyProtection="0">
      <alignment horizontal="right" vertical="center"/>
    </xf>
    <xf numFmtId="4" fontId="55" fillId="52" borderId="187" applyNumberFormat="0" applyProtection="0">
      <alignment horizontal="right" vertical="center"/>
    </xf>
    <xf numFmtId="0" fontId="4" fillId="11" borderId="187" applyNumberFormat="0" applyProtection="0">
      <alignment horizontal="left" vertical="center" indent="1"/>
    </xf>
    <xf numFmtId="0" fontId="4" fillId="11" borderId="187" applyNumberFormat="0" applyProtection="0">
      <alignment horizontal="left" vertical="center" indent="1"/>
    </xf>
    <xf numFmtId="4" fontId="59" fillId="52" borderId="187" applyNumberFormat="0" applyProtection="0">
      <alignment horizontal="right" vertical="center"/>
    </xf>
    <xf numFmtId="4" fontId="54" fillId="52" borderId="188" applyNumberFormat="0" applyProtection="0">
      <alignment horizontal="left" vertical="center" indent="1"/>
    </xf>
    <xf numFmtId="4" fontId="54" fillId="52" borderId="188" applyNumberFormat="0" applyProtection="0">
      <alignment horizontal="left" vertical="center" indent="1"/>
    </xf>
    <xf numFmtId="4" fontId="54" fillId="19" borderId="187" applyNumberFormat="0" applyProtection="0">
      <alignment horizontal="right" vertical="center"/>
    </xf>
    <xf numFmtId="4" fontId="59" fillId="52" borderId="187" applyNumberFormat="0" applyProtection="0">
      <alignment horizontal="right" vertical="center"/>
    </xf>
    <xf numFmtId="4" fontId="54" fillId="13" borderId="187" applyNumberFormat="0" applyProtection="0">
      <alignment vertical="center"/>
    </xf>
    <xf numFmtId="4" fontId="55" fillId="13" borderId="187" applyNumberFormat="0" applyProtection="0">
      <alignment vertical="center"/>
    </xf>
    <xf numFmtId="4" fontId="54" fillId="13" borderId="187" applyNumberFormat="0" applyProtection="0">
      <alignment horizontal="left" vertical="center" indent="1"/>
    </xf>
    <xf numFmtId="4" fontId="54" fillId="13" borderId="187" applyNumberFormat="0" applyProtection="0">
      <alignment horizontal="left" vertical="center" indent="1"/>
    </xf>
    <xf numFmtId="0" fontId="4" fillId="11" borderId="187" applyNumberFormat="0" applyProtection="0">
      <alignment horizontal="left" vertical="center" indent="1"/>
    </xf>
    <xf numFmtId="4" fontId="54" fillId="35" borderId="187" applyNumberFormat="0" applyProtection="0">
      <alignment horizontal="right" vertical="center"/>
    </xf>
    <xf numFmtId="4" fontId="54" fillId="48" borderId="187" applyNumberFormat="0" applyProtection="0">
      <alignment horizontal="right" vertical="center"/>
    </xf>
    <xf numFmtId="4" fontId="54" fillId="49" borderId="187" applyNumberFormat="0" applyProtection="0">
      <alignment horizontal="right" vertical="center"/>
    </xf>
    <xf numFmtId="4" fontId="54" fillId="12" borderId="187" applyNumberFormat="0" applyProtection="0">
      <alignment horizontal="right" vertical="center"/>
    </xf>
    <xf numFmtId="4" fontId="54" fillId="50" borderId="187" applyNumberFormat="0" applyProtection="0">
      <alignment horizontal="right" vertical="center"/>
    </xf>
    <xf numFmtId="4" fontId="54" fillId="15" borderId="187" applyNumberFormat="0" applyProtection="0">
      <alignment horizontal="right" vertical="center"/>
    </xf>
    <xf numFmtId="4" fontId="54" fillId="17" borderId="187" applyNumberFormat="0" applyProtection="0">
      <alignment horizontal="right" vertical="center"/>
    </xf>
    <xf numFmtId="4" fontId="54" fillId="16" borderId="187" applyNumberFormat="0" applyProtection="0">
      <alignment horizontal="right" vertical="center"/>
    </xf>
    <xf numFmtId="4" fontId="54" fillId="19" borderId="187" applyNumberFormat="0" applyProtection="0">
      <alignment horizontal="right" vertical="center"/>
    </xf>
    <xf numFmtId="4" fontId="56" fillId="51" borderId="187" applyNumberFormat="0" applyProtection="0">
      <alignment horizontal="left" vertical="center" indent="1"/>
    </xf>
    <xf numFmtId="4" fontId="54" fillId="52" borderId="188" applyNumberFormat="0" applyProtection="0">
      <alignment horizontal="left" vertical="center" indent="1"/>
    </xf>
    <xf numFmtId="0" fontId="4" fillId="11" borderId="187" applyNumberFormat="0" applyProtection="0">
      <alignment horizontal="left" vertical="center" indent="1"/>
    </xf>
    <xf numFmtId="4" fontId="5" fillId="52" borderId="187" applyNumberFormat="0" applyProtection="0">
      <alignment horizontal="left" vertical="center" indent="1"/>
    </xf>
    <xf numFmtId="4" fontId="5" fillId="54" borderId="187" applyNumberFormat="0" applyProtection="0">
      <alignment horizontal="left" vertical="center" indent="1"/>
    </xf>
    <xf numFmtId="0" fontId="4" fillId="54" borderId="187" applyNumberFormat="0" applyProtection="0">
      <alignment horizontal="left" vertical="center" indent="1"/>
    </xf>
    <xf numFmtId="0" fontId="4" fillId="54" borderId="187" applyNumberFormat="0" applyProtection="0">
      <alignment horizontal="left" vertical="center" indent="1"/>
    </xf>
    <xf numFmtId="0" fontId="4" fillId="30" borderId="187" applyNumberFormat="0" applyProtection="0">
      <alignment horizontal="left" vertical="center" indent="1"/>
    </xf>
    <xf numFmtId="0" fontId="4" fillId="30" borderId="187" applyNumberFormat="0" applyProtection="0">
      <alignment horizontal="left" vertical="center" indent="1"/>
    </xf>
    <xf numFmtId="0" fontId="4" fillId="33" borderId="187" applyNumberFormat="0" applyProtection="0">
      <alignment horizontal="left" vertical="center" indent="1"/>
    </xf>
    <xf numFmtId="0" fontId="4" fillId="33" borderId="187" applyNumberFormat="0" applyProtection="0">
      <alignment horizontal="left" vertical="center" indent="1"/>
    </xf>
    <xf numFmtId="0" fontId="4" fillId="11" borderId="187" applyNumberFormat="0" applyProtection="0">
      <alignment horizontal="left" vertical="center" indent="1"/>
    </xf>
    <xf numFmtId="0" fontId="4" fillId="11" borderId="187" applyNumberFormat="0" applyProtection="0">
      <alignment horizontal="left" vertical="center" indent="1"/>
    </xf>
    <xf numFmtId="4" fontId="54" fillId="20" borderId="187" applyNumberFormat="0" applyProtection="0">
      <alignment vertical="center"/>
    </xf>
    <xf numFmtId="4" fontId="55" fillId="20" borderId="187" applyNumberFormat="0" applyProtection="0">
      <alignment vertical="center"/>
    </xf>
    <xf numFmtId="4" fontId="54" fillId="20" borderId="187" applyNumberFormat="0" applyProtection="0">
      <alignment horizontal="left" vertical="center" indent="1"/>
    </xf>
    <xf numFmtId="4" fontId="54" fillId="20" borderId="187" applyNumberFormat="0" applyProtection="0">
      <alignment horizontal="left" vertical="center" indent="1"/>
    </xf>
    <xf numFmtId="4" fontId="54" fillId="52" borderId="187" applyNumberFormat="0" applyProtection="0">
      <alignment horizontal="right" vertical="center"/>
    </xf>
    <xf numFmtId="4" fontId="55" fillId="52" borderId="187" applyNumberFormat="0" applyProtection="0">
      <alignment horizontal="right" vertical="center"/>
    </xf>
    <xf numFmtId="0" fontId="4" fillId="11" borderId="187" applyNumberFormat="0" applyProtection="0">
      <alignment horizontal="left" vertical="center" indent="1"/>
    </xf>
    <xf numFmtId="0" fontId="4" fillId="11" borderId="187" applyNumberFormat="0" applyProtection="0">
      <alignment horizontal="left" vertical="center" indent="1"/>
    </xf>
    <xf numFmtId="4" fontId="59" fillId="52" borderId="187" applyNumberFormat="0" applyProtection="0">
      <alignment horizontal="right" vertical="center"/>
    </xf>
    <xf numFmtId="4" fontId="55" fillId="13" borderId="187" applyNumberFormat="0" applyProtection="0">
      <alignment vertical="center"/>
    </xf>
    <xf numFmtId="4" fontId="54" fillId="13" borderId="187" applyNumberFormat="0" applyProtection="0">
      <alignment horizontal="left" vertical="center" indent="1"/>
    </xf>
    <xf numFmtId="4" fontId="54" fillId="13" borderId="187" applyNumberFormat="0" applyProtection="0">
      <alignment horizontal="left" vertical="center" indent="1"/>
    </xf>
    <xf numFmtId="0" fontId="4" fillId="11" borderId="187" applyNumberFormat="0" applyProtection="0">
      <alignment horizontal="left" vertical="center" indent="1"/>
    </xf>
    <xf numFmtId="4" fontId="54" fillId="35" borderId="187" applyNumberFormat="0" applyProtection="0">
      <alignment horizontal="right" vertical="center"/>
    </xf>
    <xf numFmtId="4" fontId="54" fillId="48" borderId="187" applyNumberFormat="0" applyProtection="0">
      <alignment horizontal="right" vertical="center"/>
    </xf>
    <xf numFmtId="4" fontId="54" fillId="49" borderId="187" applyNumberFormat="0" applyProtection="0">
      <alignment horizontal="right" vertical="center"/>
    </xf>
    <xf numFmtId="4" fontId="54" fillId="12" borderId="187" applyNumberFormat="0" applyProtection="0">
      <alignment horizontal="right" vertical="center"/>
    </xf>
    <xf numFmtId="4" fontId="54" fillId="50" borderId="187" applyNumberFormat="0" applyProtection="0">
      <alignment horizontal="right" vertical="center"/>
    </xf>
    <xf numFmtId="4" fontId="54" fillId="15" borderId="187" applyNumberFormat="0" applyProtection="0">
      <alignment horizontal="right" vertical="center"/>
    </xf>
    <xf numFmtId="4" fontId="54" fillId="17" borderId="187" applyNumberFormat="0" applyProtection="0">
      <alignment horizontal="right" vertical="center"/>
    </xf>
    <xf numFmtId="4" fontId="54" fillId="16" borderId="187" applyNumberFormat="0" applyProtection="0">
      <alignment horizontal="right" vertical="center"/>
    </xf>
    <xf numFmtId="4" fontId="54" fillId="19" borderId="187" applyNumberFormat="0" applyProtection="0">
      <alignment horizontal="right" vertical="center"/>
    </xf>
    <xf numFmtId="4" fontId="56" fillId="51" borderId="187" applyNumberFormat="0" applyProtection="0">
      <alignment horizontal="left" vertical="center" indent="1"/>
    </xf>
    <xf numFmtId="4" fontId="54" fillId="52" borderId="188" applyNumberFormat="0" applyProtection="0">
      <alignment horizontal="left" vertical="center" indent="1"/>
    </xf>
    <xf numFmtId="0" fontId="4" fillId="11" borderId="187" applyNumberFormat="0" applyProtection="0">
      <alignment horizontal="left" vertical="center" indent="1"/>
    </xf>
    <xf numFmtId="4" fontId="5" fillId="52" borderId="187" applyNumberFormat="0" applyProtection="0">
      <alignment horizontal="left" vertical="center" indent="1"/>
    </xf>
    <xf numFmtId="4" fontId="5" fillId="54" borderId="187" applyNumberFormat="0" applyProtection="0">
      <alignment horizontal="left" vertical="center" indent="1"/>
    </xf>
    <xf numFmtId="0" fontId="4" fillId="54" borderId="187" applyNumberFormat="0" applyProtection="0">
      <alignment horizontal="left" vertical="center" indent="1"/>
    </xf>
    <xf numFmtId="0" fontId="4" fillId="54" borderId="187" applyNumberFormat="0" applyProtection="0">
      <alignment horizontal="left" vertical="center" indent="1"/>
    </xf>
    <xf numFmtId="0" fontId="4" fillId="30" borderId="187" applyNumberFormat="0" applyProtection="0">
      <alignment horizontal="left" vertical="center" indent="1"/>
    </xf>
    <xf numFmtId="0" fontId="4" fillId="30" borderId="187" applyNumberFormat="0" applyProtection="0">
      <alignment horizontal="left" vertical="center" indent="1"/>
    </xf>
    <xf numFmtId="0" fontId="4" fillId="33" borderId="187" applyNumberFormat="0" applyProtection="0">
      <alignment horizontal="left" vertical="center" indent="1"/>
    </xf>
    <xf numFmtId="0" fontId="4" fillId="33" borderId="187" applyNumberFormat="0" applyProtection="0">
      <alignment horizontal="left" vertical="center" indent="1"/>
    </xf>
    <xf numFmtId="0" fontId="4" fillId="11" borderId="187" applyNumberFormat="0" applyProtection="0">
      <alignment horizontal="left" vertical="center" indent="1"/>
    </xf>
    <xf numFmtId="0" fontId="4" fillId="11" borderId="187" applyNumberFormat="0" applyProtection="0">
      <alignment horizontal="left" vertical="center" indent="1"/>
    </xf>
    <xf numFmtId="4" fontId="54" fillId="20" borderId="187" applyNumberFormat="0" applyProtection="0">
      <alignment vertical="center"/>
    </xf>
    <xf numFmtId="4" fontId="55" fillId="20" borderId="187" applyNumberFormat="0" applyProtection="0">
      <alignment vertical="center"/>
    </xf>
    <xf numFmtId="4" fontId="54" fillId="20" borderId="187" applyNumberFormat="0" applyProtection="0">
      <alignment horizontal="left" vertical="center" indent="1"/>
    </xf>
    <xf numFmtId="4" fontId="54" fillId="20" borderId="187" applyNumberFormat="0" applyProtection="0">
      <alignment horizontal="left" vertical="center" indent="1"/>
    </xf>
    <xf numFmtId="4" fontId="54" fillId="52" borderId="187" applyNumberFormat="0" applyProtection="0">
      <alignment horizontal="right" vertical="center"/>
    </xf>
    <xf numFmtId="4" fontId="55" fillId="52" borderId="187" applyNumberFormat="0" applyProtection="0">
      <alignment horizontal="right" vertical="center"/>
    </xf>
    <xf numFmtId="0" fontId="4" fillId="11" borderId="187" applyNumberFormat="0" applyProtection="0">
      <alignment horizontal="left" vertical="center" indent="1"/>
    </xf>
    <xf numFmtId="0" fontId="4" fillId="11" borderId="187" applyNumberFormat="0" applyProtection="0">
      <alignment horizontal="left" vertical="center" indent="1"/>
    </xf>
    <xf numFmtId="4" fontId="59" fillId="52" borderId="187" applyNumberFormat="0" applyProtection="0">
      <alignment horizontal="right" vertical="center"/>
    </xf>
  </cellStyleXfs>
  <cellXfs count="4251">
    <xf numFmtId="0" fontId="0" fillId="0" borderId="0" xfId="0"/>
    <xf numFmtId="0" fontId="7" fillId="6" borderId="20" xfId="0" applyFont="1" applyFill="1" applyBorder="1" applyAlignment="1">
      <alignment vertical="center" wrapText="1"/>
    </xf>
    <xf numFmtId="3" fontId="8" fillId="6" borderId="70" xfId="0" applyNumberFormat="1" applyFont="1" applyFill="1" applyBorder="1"/>
    <xf numFmtId="3" fontId="8" fillId="6" borderId="30" xfId="0" applyNumberFormat="1" applyFont="1" applyFill="1" applyBorder="1"/>
    <xf numFmtId="3" fontId="8" fillId="6" borderId="29" xfId="0" applyNumberFormat="1" applyFont="1" applyFill="1" applyBorder="1"/>
    <xf numFmtId="3" fontId="6" fillId="6" borderId="47" xfId="0" applyNumberFormat="1" applyFont="1" applyFill="1" applyBorder="1"/>
    <xf numFmtId="0" fontId="14" fillId="2" borderId="0" xfId="3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right" vertical="center"/>
    </xf>
    <xf numFmtId="0" fontId="24" fillId="0" borderId="12" xfId="0" applyFont="1" applyBorder="1" applyAlignment="1">
      <alignment horizontal="center" vertical="center"/>
    </xf>
    <xf numFmtId="0" fontId="18" fillId="0" borderId="52" xfId="4" applyFont="1" applyBorder="1" applyAlignment="1">
      <alignment horizontal="center" vertical="center"/>
    </xf>
    <xf numFmtId="0" fontId="18" fillId="0" borderId="80" xfId="4" applyFont="1" applyBorder="1" applyAlignment="1">
      <alignment horizontal="center" vertical="center"/>
    </xf>
    <xf numFmtId="0" fontId="22" fillId="0" borderId="38" xfId="0" applyFont="1" applyBorder="1" applyAlignment="1">
      <alignment horizontal="center" vertical="center" wrapText="1"/>
    </xf>
    <xf numFmtId="0" fontId="22" fillId="0" borderId="51" xfId="6" applyFont="1" applyBorder="1" applyAlignment="1">
      <alignment horizontal="center" vertical="center" wrapText="1"/>
    </xf>
    <xf numFmtId="0" fontId="22" fillId="0" borderId="39" xfId="0" applyFont="1" applyBorder="1" applyAlignment="1">
      <alignment horizontal="center" vertical="center" wrapText="1"/>
    </xf>
    <xf numFmtId="0" fontId="18" fillId="0" borderId="50" xfId="0" applyFont="1" applyBorder="1" applyAlignment="1">
      <alignment horizontal="center" vertical="center"/>
    </xf>
    <xf numFmtId="0" fontId="21" fillId="0" borderId="50" xfId="4" applyFont="1" applyBorder="1" applyAlignment="1">
      <alignment horizontal="center" vertical="center" wrapText="1"/>
    </xf>
    <xf numFmtId="0" fontId="22" fillId="0" borderId="50" xfId="6" applyFont="1" applyBorder="1" applyAlignment="1">
      <alignment horizontal="center" vertical="center"/>
    </xf>
    <xf numFmtId="0" fontId="22" fillId="0" borderId="39" xfId="6" applyFont="1" applyBorder="1" applyAlignment="1">
      <alignment horizontal="center" vertical="center"/>
    </xf>
    <xf numFmtId="0" fontId="22" fillId="19" borderId="39" xfId="0" applyFont="1" applyFill="1" applyBorder="1" applyAlignment="1">
      <alignment horizontal="center" vertical="center" wrapText="1"/>
    </xf>
    <xf numFmtId="0" fontId="21" fillId="0" borderId="80" xfId="4" applyFont="1" applyBorder="1" applyAlignment="1">
      <alignment horizontal="center" vertical="center" wrapText="1"/>
    </xf>
    <xf numFmtId="3" fontId="27" fillId="21" borderId="70" xfId="4" applyNumberFormat="1" applyFont="1" applyFill="1" applyBorder="1" applyAlignment="1">
      <alignment horizontal="right" vertical="center"/>
    </xf>
    <xf numFmtId="3" fontId="18" fillId="8" borderId="43" xfId="4" applyNumberFormat="1" applyFont="1" applyFill="1" applyBorder="1" applyAlignment="1">
      <alignment vertical="top" wrapText="1"/>
    </xf>
    <xf numFmtId="3" fontId="27" fillId="21" borderId="13" xfId="4" applyNumberFormat="1" applyFont="1" applyFill="1" applyBorder="1" applyAlignment="1">
      <alignment horizontal="right" vertical="center"/>
    </xf>
    <xf numFmtId="0" fontId="25" fillId="6" borderId="45" xfId="4" applyFont="1" applyFill="1" applyBorder="1" applyAlignment="1">
      <alignment horizontal="left" vertical="center"/>
    </xf>
    <xf numFmtId="0" fontId="25" fillId="6" borderId="18" xfId="4" applyFont="1" applyFill="1" applyBorder="1" applyAlignment="1">
      <alignment horizontal="left" vertical="center"/>
    </xf>
    <xf numFmtId="0" fontId="25" fillId="6" borderId="32" xfId="4" applyFont="1" applyFill="1" applyBorder="1" applyAlignment="1">
      <alignment horizontal="left" vertical="center"/>
    </xf>
    <xf numFmtId="0" fontId="25" fillId="6" borderId="28" xfId="4" applyFont="1" applyFill="1" applyBorder="1" applyAlignment="1">
      <alignment horizontal="left" vertical="center"/>
    </xf>
    <xf numFmtId="0" fontId="7" fillId="8" borderId="21" xfId="4" applyFont="1" applyFill="1" applyBorder="1" applyAlignment="1">
      <alignment horizontal="left" vertical="center"/>
    </xf>
    <xf numFmtId="0" fontId="7" fillId="8" borderId="20" xfId="4" applyFont="1" applyFill="1" applyBorder="1" applyAlignment="1">
      <alignment horizontal="left" vertical="center"/>
    </xf>
    <xf numFmtId="3" fontId="7" fillId="8" borderId="20" xfId="4" applyNumberFormat="1" applyFont="1" applyFill="1" applyBorder="1" applyAlignment="1">
      <alignment horizontal="left" vertical="center"/>
    </xf>
    <xf numFmtId="0" fontId="7" fillId="8" borderId="77" xfId="4" applyFont="1" applyFill="1" applyBorder="1" applyAlignment="1">
      <alignment vertical="center"/>
    </xf>
    <xf numFmtId="0" fontId="7" fillId="8" borderId="22" xfId="4" applyFont="1" applyFill="1" applyBorder="1" applyAlignment="1">
      <alignment vertical="center"/>
    </xf>
    <xf numFmtId="0" fontId="7" fillId="13" borderId="0" xfId="4" applyFont="1" applyFill="1" applyBorder="1" applyAlignment="1">
      <alignment horizontal="right" vertical="center"/>
    </xf>
    <xf numFmtId="3" fontId="24" fillId="13" borderId="35" xfId="4" applyNumberFormat="1" applyFont="1" applyFill="1" applyBorder="1" applyAlignment="1">
      <alignment horizontal="right" vertical="center"/>
    </xf>
    <xf numFmtId="164" fontId="24" fillId="13" borderId="35" xfId="4" applyNumberFormat="1" applyFont="1" applyFill="1" applyBorder="1" applyAlignment="1">
      <alignment horizontal="right" vertical="center"/>
    </xf>
    <xf numFmtId="3" fontId="7" fillId="13" borderId="35" xfId="4" applyNumberFormat="1" applyFont="1" applyFill="1" applyBorder="1" applyAlignment="1">
      <alignment horizontal="right" vertical="center"/>
    </xf>
    <xf numFmtId="3" fontId="7" fillId="13" borderId="10" xfId="4" applyNumberFormat="1" applyFont="1" applyFill="1" applyBorder="1" applyAlignment="1">
      <alignment horizontal="right" vertical="center"/>
    </xf>
    <xf numFmtId="3" fontId="7" fillId="24" borderId="10" xfId="4" applyNumberFormat="1" applyFont="1" applyFill="1" applyBorder="1" applyAlignment="1">
      <alignment horizontal="right" vertical="center"/>
    </xf>
    <xf numFmtId="0" fontId="25" fillId="6" borderId="34" xfId="4" applyFont="1" applyFill="1" applyBorder="1" applyAlignment="1">
      <alignment horizontal="left" vertical="center"/>
    </xf>
    <xf numFmtId="3" fontId="24" fillId="6" borderId="29" xfId="4" applyNumberFormat="1" applyFont="1" applyFill="1" applyBorder="1" applyAlignment="1">
      <alignment horizontal="right" vertical="center"/>
    </xf>
    <xf numFmtId="3" fontId="24" fillId="22" borderId="30" xfId="4" applyNumberFormat="1" applyFont="1" applyFill="1" applyBorder="1" applyAlignment="1">
      <alignment horizontal="right" vertical="center"/>
    </xf>
    <xf numFmtId="3" fontId="29" fillId="13" borderId="29" xfId="4" applyNumberFormat="1" applyFont="1" applyFill="1" applyBorder="1" applyAlignment="1">
      <alignment horizontal="right" vertical="center"/>
    </xf>
    <xf numFmtId="3" fontId="29" fillId="24" borderId="29" xfId="4" applyNumberFormat="1" applyFont="1" applyFill="1" applyBorder="1" applyAlignment="1">
      <alignment horizontal="right" vertical="center"/>
    </xf>
    <xf numFmtId="3" fontId="7" fillId="13" borderId="29" xfId="4" applyNumberFormat="1" applyFont="1" applyFill="1" applyBorder="1" applyAlignment="1">
      <alignment horizontal="right" vertical="center"/>
    </xf>
    <xf numFmtId="3" fontId="31" fillId="25" borderId="29" xfId="4" applyNumberFormat="1" applyFont="1" applyFill="1" applyBorder="1" applyAlignment="1">
      <alignment horizontal="right" vertical="center"/>
    </xf>
    <xf numFmtId="3" fontId="33" fillId="13" borderId="9" xfId="6" applyNumberFormat="1" applyFont="1" applyFill="1" applyBorder="1" applyAlignment="1">
      <alignment vertical="center"/>
    </xf>
    <xf numFmtId="0" fontId="7" fillId="13" borderId="36" xfId="4" applyFont="1" applyFill="1" applyBorder="1" applyAlignment="1">
      <alignment horizontal="left" vertical="center"/>
    </xf>
    <xf numFmtId="0" fontId="7" fillId="13" borderId="20" xfId="4" applyFont="1" applyFill="1" applyBorder="1" applyAlignment="1">
      <alignment horizontal="left" vertical="center"/>
    </xf>
    <xf numFmtId="0" fontId="7" fillId="13" borderId="77" xfId="4" applyFont="1" applyFill="1" applyBorder="1" applyAlignment="1">
      <alignment vertical="center"/>
    </xf>
    <xf numFmtId="0" fontId="7" fillId="13" borderId="37" xfId="4" applyFont="1" applyFill="1" applyBorder="1" applyAlignment="1">
      <alignment vertical="center"/>
    </xf>
    <xf numFmtId="3" fontId="24" fillId="8" borderId="70" xfId="4" applyNumberFormat="1" applyFont="1" applyFill="1" applyBorder="1" applyAlignment="1">
      <alignment horizontal="right" vertical="center"/>
    </xf>
    <xf numFmtId="3" fontId="24" fillId="8" borderId="17" xfId="4" applyNumberFormat="1" applyFont="1" applyFill="1" applyBorder="1" applyAlignment="1">
      <alignment horizontal="right" vertical="center"/>
    </xf>
    <xf numFmtId="3" fontId="24" fillId="8" borderId="2" xfId="4" applyNumberFormat="1" applyFont="1" applyFill="1" applyBorder="1" applyAlignment="1">
      <alignment horizontal="right" vertical="center"/>
    </xf>
    <xf numFmtId="3" fontId="24" fillId="23" borderId="2" xfId="4" applyNumberFormat="1" applyFont="1" applyFill="1" applyBorder="1" applyAlignment="1">
      <alignment horizontal="right" vertical="center"/>
    </xf>
    <xf numFmtId="0" fontId="20" fillId="0" borderId="42" xfId="4" applyFont="1" applyFill="1" applyBorder="1" applyAlignment="1">
      <alignment horizontal="center" vertical="center" wrapText="1"/>
    </xf>
    <xf numFmtId="3" fontId="31" fillId="25" borderId="30" xfId="4" applyNumberFormat="1" applyFont="1" applyFill="1" applyBorder="1" applyAlignment="1">
      <alignment horizontal="right" vertical="center"/>
    </xf>
    <xf numFmtId="3" fontId="32" fillId="0" borderId="65" xfId="6" applyNumberFormat="1" applyFont="1" applyFill="1" applyBorder="1" applyAlignment="1">
      <alignment vertical="center"/>
    </xf>
    <xf numFmtId="3" fontId="7" fillId="0" borderId="63" xfId="4" applyNumberFormat="1" applyFont="1" applyFill="1" applyBorder="1" applyAlignment="1">
      <alignment horizontal="right" vertical="center"/>
    </xf>
    <xf numFmtId="3" fontId="33" fillId="0" borderId="65" xfId="6" applyNumberFormat="1" applyFont="1" applyFill="1" applyBorder="1" applyAlignment="1">
      <alignment vertical="center"/>
    </xf>
    <xf numFmtId="3" fontId="7" fillId="0" borderId="30" xfId="4" applyNumberFormat="1" applyFont="1" applyFill="1" applyBorder="1" applyAlignment="1">
      <alignment horizontal="right" vertical="center"/>
    </xf>
    <xf numFmtId="3" fontId="7" fillId="0" borderId="29" xfId="4" applyNumberFormat="1" applyFont="1" applyFill="1" applyBorder="1" applyAlignment="1">
      <alignment horizontal="right" vertical="center"/>
    </xf>
    <xf numFmtId="3" fontId="33" fillId="0" borderId="29" xfId="6" applyNumberFormat="1" applyFont="1" applyFill="1" applyBorder="1" applyAlignment="1">
      <alignment vertical="center"/>
    </xf>
    <xf numFmtId="3" fontId="33" fillId="0" borderId="30" xfId="6" applyNumberFormat="1" applyFont="1" applyFill="1" applyBorder="1" applyAlignment="1">
      <alignment vertical="center"/>
    </xf>
    <xf numFmtId="3" fontId="33" fillId="25" borderId="30" xfId="6" applyNumberFormat="1" applyFont="1" applyFill="1" applyBorder="1" applyAlignment="1">
      <alignment vertical="center"/>
    </xf>
    <xf numFmtId="3" fontId="7" fillId="0" borderId="65" xfId="4" applyNumberFormat="1" applyFont="1" applyFill="1" applyBorder="1" applyAlignment="1">
      <alignment horizontal="right" vertical="center"/>
    </xf>
    <xf numFmtId="3" fontId="33" fillId="0" borderId="9" xfId="6" applyNumberFormat="1" applyFont="1" applyFill="1" applyBorder="1" applyAlignment="1">
      <alignment vertical="center"/>
    </xf>
    <xf numFmtId="3" fontId="32" fillId="0" borderId="29" xfId="6" applyNumberFormat="1" applyFont="1" applyFill="1" applyBorder="1" applyAlignment="1">
      <alignment vertical="center"/>
    </xf>
    <xf numFmtId="3" fontId="32" fillId="0" borderId="30" xfId="6" applyNumberFormat="1" applyFont="1" applyFill="1" applyBorder="1" applyAlignment="1">
      <alignment vertical="center"/>
    </xf>
    <xf numFmtId="0" fontId="31" fillId="0" borderId="83" xfId="4" applyFont="1" applyFill="1" applyBorder="1" applyAlignment="1">
      <alignment vertical="center"/>
    </xf>
    <xf numFmtId="3" fontId="32" fillId="0" borderId="23" xfId="6" applyNumberFormat="1" applyFont="1" applyFill="1" applyBorder="1" applyAlignment="1">
      <alignment vertical="center"/>
    </xf>
    <xf numFmtId="3" fontId="7" fillId="0" borderId="12" xfId="4" applyNumberFormat="1" applyFont="1" applyFill="1" applyBorder="1" applyAlignment="1">
      <alignment horizontal="right" vertical="center"/>
    </xf>
    <xf numFmtId="3" fontId="7" fillId="0" borderId="23" xfId="4" applyNumberFormat="1" applyFont="1" applyFill="1" applyBorder="1" applyAlignment="1">
      <alignment horizontal="right" vertical="center"/>
    </xf>
    <xf numFmtId="3" fontId="7" fillId="0" borderId="74" xfId="4" applyNumberFormat="1" applyFont="1" applyFill="1" applyBorder="1" applyAlignment="1">
      <alignment horizontal="right" vertical="center"/>
    </xf>
    <xf numFmtId="0" fontId="24" fillId="8" borderId="14" xfId="4" applyFont="1" applyFill="1" applyBorder="1" applyAlignment="1">
      <alignment horizontal="center" vertical="center" wrapText="1"/>
    </xf>
    <xf numFmtId="3" fontId="7" fillId="8" borderId="4" xfId="4" applyNumberFormat="1" applyFont="1" applyFill="1" applyBorder="1" applyAlignment="1">
      <alignment horizontal="right" vertical="center"/>
    </xf>
    <xf numFmtId="3" fontId="7" fillId="8" borderId="17" xfId="4" applyNumberFormat="1" applyFont="1" applyFill="1" applyBorder="1" applyAlignment="1">
      <alignment horizontal="right" vertical="center"/>
    </xf>
    <xf numFmtId="3" fontId="7" fillId="8" borderId="70" xfId="4" applyNumberFormat="1" applyFont="1" applyFill="1" applyBorder="1" applyAlignment="1">
      <alignment horizontal="right" vertical="center"/>
    </xf>
    <xf numFmtId="3" fontId="24" fillId="23" borderId="3" xfId="4" applyNumberFormat="1" applyFont="1" applyFill="1" applyBorder="1" applyAlignment="1">
      <alignment horizontal="right" vertical="center"/>
    </xf>
    <xf numFmtId="3" fontId="25" fillId="6" borderId="29" xfId="4" applyNumberFormat="1" applyFont="1" applyFill="1" applyBorder="1" applyAlignment="1">
      <alignment horizontal="right" vertical="center"/>
    </xf>
    <xf numFmtId="3" fontId="25" fillId="6" borderId="30" xfId="4" applyNumberFormat="1" applyFont="1" applyFill="1" applyBorder="1" applyAlignment="1">
      <alignment horizontal="right" vertical="center"/>
    </xf>
    <xf numFmtId="3" fontId="25" fillId="22" borderId="30" xfId="4" applyNumberFormat="1" applyFont="1" applyFill="1" applyBorder="1" applyAlignment="1">
      <alignment horizontal="right" vertical="center"/>
    </xf>
    <xf numFmtId="3" fontId="27" fillId="0" borderId="29" xfId="4" applyNumberFormat="1" applyFont="1" applyFill="1" applyBorder="1" applyAlignment="1">
      <alignment horizontal="right" vertical="center"/>
    </xf>
    <xf numFmtId="3" fontId="27" fillId="25" borderId="30" xfId="4" applyNumberFormat="1" applyFont="1" applyFill="1" applyBorder="1" applyAlignment="1">
      <alignment horizontal="right" vertical="center"/>
    </xf>
    <xf numFmtId="3" fontId="27" fillId="25" borderId="0" xfId="4" applyNumberFormat="1" applyFont="1" applyFill="1" applyBorder="1" applyAlignment="1">
      <alignment horizontal="right" vertical="center"/>
    </xf>
    <xf numFmtId="3" fontId="31" fillId="0" borderId="65" xfId="4" applyNumberFormat="1" applyFont="1" applyFill="1" applyBorder="1" applyAlignment="1">
      <alignment horizontal="right" vertical="center"/>
    </xf>
    <xf numFmtId="3" fontId="31" fillId="25" borderId="0" xfId="4" applyNumberFormat="1" applyFont="1" applyFill="1" applyBorder="1" applyAlignment="1">
      <alignment horizontal="right" vertical="center"/>
    </xf>
    <xf numFmtId="3" fontId="31" fillId="0" borderId="63" xfId="4" applyNumberFormat="1" applyFont="1" applyFill="1" applyBorder="1" applyAlignment="1">
      <alignment horizontal="right" vertical="center"/>
    </xf>
    <xf numFmtId="3" fontId="33" fillId="25" borderId="0" xfId="6" applyNumberFormat="1" applyFont="1" applyFill="1" applyBorder="1" applyAlignment="1">
      <alignment vertical="center"/>
    </xf>
    <xf numFmtId="0" fontId="7" fillId="0" borderId="83" xfId="4" applyFont="1" applyFill="1" applyBorder="1" applyAlignment="1">
      <alignment vertical="center"/>
    </xf>
    <xf numFmtId="3" fontId="7" fillId="0" borderId="47" xfId="4" applyNumberFormat="1" applyFont="1" applyFill="1" applyBorder="1" applyAlignment="1">
      <alignment horizontal="right" vertical="center"/>
    </xf>
    <xf numFmtId="3" fontId="7" fillId="0" borderId="72" xfId="4" applyNumberFormat="1" applyFont="1" applyFill="1" applyBorder="1" applyAlignment="1">
      <alignment horizontal="right" vertical="center"/>
    </xf>
    <xf numFmtId="0" fontId="24" fillId="8" borderId="45" xfId="4" applyFont="1" applyFill="1" applyBorder="1" applyAlignment="1">
      <alignment vertical="center" wrapText="1"/>
    </xf>
    <xf numFmtId="3" fontId="31" fillId="0" borderId="30" xfId="4" applyNumberFormat="1" applyFont="1" applyFill="1" applyBorder="1" applyAlignment="1">
      <alignment horizontal="right" vertical="center"/>
    </xf>
    <xf numFmtId="0" fontId="7" fillId="0" borderId="77" xfId="4" applyFont="1" applyFill="1" applyBorder="1" applyAlignment="1">
      <alignment vertical="center"/>
    </xf>
    <xf numFmtId="3" fontId="32" fillId="0" borderId="12" xfId="6" applyNumberFormat="1" applyFont="1" applyFill="1" applyBorder="1" applyAlignment="1">
      <alignment vertical="center"/>
    </xf>
    <xf numFmtId="3" fontId="31" fillId="0" borderId="47" xfId="4" applyNumberFormat="1" applyFont="1" applyFill="1" applyBorder="1" applyAlignment="1">
      <alignment horizontal="right" vertical="center"/>
    </xf>
    <xf numFmtId="3" fontId="7" fillId="8" borderId="18" xfId="4" applyNumberFormat="1" applyFont="1" applyFill="1" applyBorder="1" applyAlignment="1">
      <alignment horizontal="right" vertical="center"/>
    </xf>
    <xf numFmtId="0" fontId="24" fillId="6" borderId="34" xfId="4" applyFont="1" applyFill="1" applyBorder="1" applyAlignment="1">
      <alignment horizontal="left" vertical="center"/>
    </xf>
    <xf numFmtId="3" fontId="27" fillId="0" borderId="27" xfId="4" applyNumberFormat="1" applyFont="1" applyFill="1" applyBorder="1" applyAlignment="1">
      <alignment horizontal="right" vertical="center"/>
    </xf>
    <xf numFmtId="3" fontId="27" fillId="25" borderId="29" xfId="4" applyNumberFormat="1" applyFont="1" applyFill="1" applyBorder="1" applyAlignment="1">
      <alignment horizontal="right" vertical="center"/>
    </xf>
    <xf numFmtId="0" fontId="7" fillId="0" borderId="32" xfId="4" applyFont="1" applyFill="1" applyBorder="1" applyAlignment="1">
      <alignment vertical="top"/>
    </xf>
    <xf numFmtId="0" fontId="24" fillId="6" borderId="32" xfId="4" applyFont="1" applyFill="1" applyBorder="1" applyAlignment="1">
      <alignment horizontal="left" vertical="center"/>
    </xf>
    <xf numFmtId="0" fontId="7" fillId="0" borderId="77" xfId="4" applyFont="1" applyFill="1" applyBorder="1" applyAlignment="1">
      <alignment vertical="top"/>
    </xf>
    <xf numFmtId="0" fontId="25" fillId="6" borderId="21" xfId="4" applyFont="1" applyFill="1" applyBorder="1" applyAlignment="1">
      <alignment horizontal="left" vertical="center"/>
    </xf>
    <xf numFmtId="0" fontId="27" fillId="2" borderId="32" xfId="4" applyFont="1" applyFill="1" applyBorder="1" applyAlignment="1">
      <alignment vertical="top"/>
    </xf>
    <xf numFmtId="3" fontId="7" fillId="8" borderId="9" xfId="4" applyNumberFormat="1" applyFont="1" applyFill="1" applyBorder="1" applyAlignment="1">
      <alignment horizontal="right" vertical="center"/>
    </xf>
    <xf numFmtId="3" fontId="7" fillId="8" borderId="35" xfId="4" applyNumberFormat="1" applyFont="1" applyFill="1" applyBorder="1" applyAlignment="1">
      <alignment horizontal="right" vertical="center"/>
    </xf>
    <xf numFmtId="3" fontId="24" fillId="8" borderId="35" xfId="4" applyNumberFormat="1" applyFont="1" applyFill="1" applyBorder="1" applyAlignment="1">
      <alignment horizontal="right" vertical="center"/>
    </xf>
    <xf numFmtId="3" fontId="24" fillId="8" borderId="10" xfId="4" applyNumberFormat="1" applyFont="1" applyFill="1" applyBorder="1" applyAlignment="1">
      <alignment horizontal="right" vertical="center"/>
    </xf>
    <xf numFmtId="3" fontId="31" fillId="2" borderId="29" xfId="4" applyNumberFormat="1" applyFont="1" applyFill="1" applyBorder="1" applyAlignment="1">
      <alignment horizontal="right" vertical="center"/>
    </xf>
    <xf numFmtId="3" fontId="31" fillId="0" borderId="29" xfId="4" applyNumberFormat="1" applyFont="1" applyFill="1" applyBorder="1" applyAlignment="1">
      <alignment horizontal="right" vertical="center"/>
    </xf>
    <xf numFmtId="3" fontId="33" fillId="2" borderId="29" xfId="6" applyNumberFormat="1" applyFont="1" applyFill="1" applyBorder="1" applyAlignment="1">
      <alignment vertical="center"/>
    </xf>
    <xf numFmtId="3" fontId="31" fillId="2" borderId="30" xfId="4" applyNumberFormat="1" applyFont="1" applyFill="1" applyBorder="1" applyAlignment="1">
      <alignment horizontal="right" vertical="center"/>
    </xf>
    <xf numFmtId="3" fontId="32" fillId="0" borderId="72" xfId="6" applyNumberFormat="1" applyFont="1" applyFill="1" applyBorder="1" applyAlignment="1">
      <alignment vertical="center"/>
    </xf>
    <xf numFmtId="3" fontId="32" fillId="0" borderId="47" xfId="6" applyNumberFormat="1" applyFont="1" applyFill="1" applyBorder="1" applyAlignment="1">
      <alignment vertical="center"/>
    </xf>
    <xf numFmtId="0" fontId="18" fillId="0" borderId="42" xfId="4" applyFont="1" applyFill="1" applyBorder="1" applyAlignment="1">
      <alignment vertical="center" wrapText="1"/>
    </xf>
    <xf numFmtId="0" fontId="25" fillId="6" borderId="20" xfId="4" applyFont="1" applyFill="1" applyBorder="1" applyAlignment="1">
      <alignment horizontal="left" vertical="center"/>
    </xf>
    <xf numFmtId="3" fontId="25" fillId="22" borderId="10" xfId="4" applyNumberFormat="1" applyFont="1" applyFill="1" applyBorder="1" applyAlignment="1">
      <alignment horizontal="right" vertical="center"/>
    </xf>
    <xf numFmtId="0" fontId="7" fillId="0" borderId="36" xfId="4" applyFont="1" applyFill="1" applyBorder="1" applyAlignment="1">
      <alignment horizontal="left" vertical="center"/>
    </xf>
    <xf numFmtId="0" fontId="25" fillId="6" borderId="36" xfId="4" applyFont="1" applyFill="1" applyBorder="1" applyAlignment="1">
      <alignment horizontal="left" vertical="center"/>
    </xf>
    <xf numFmtId="3" fontId="32" fillId="25" borderId="10" xfId="6" applyNumberFormat="1" applyFont="1" applyFill="1" applyBorder="1" applyAlignment="1">
      <alignment vertical="center"/>
    </xf>
    <xf numFmtId="3" fontId="25" fillId="8" borderId="70" xfId="4" applyNumberFormat="1" applyFont="1" applyFill="1" applyBorder="1" applyAlignment="1">
      <alignment horizontal="right" vertical="center"/>
    </xf>
    <xf numFmtId="3" fontId="25" fillId="8" borderId="17" xfId="4" applyNumberFormat="1" applyFont="1" applyFill="1" applyBorder="1" applyAlignment="1">
      <alignment horizontal="right" vertical="center"/>
    </xf>
    <xf numFmtId="3" fontId="25" fillId="8" borderId="2" xfId="4" applyNumberFormat="1" applyFont="1" applyFill="1" applyBorder="1" applyAlignment="1">
      <alignment horizontal="right" vertical="center"/>
    </xf>
    <xf numFmtId="3" fontId="24" fillId="23" borderId="10" xfId="4" applyNumberFormat="1" applyFont="1" applyFill="1" applyBorder="1" applyAlignment="1">
      <alignment horizontal="right" vertical="center"/>
    </xf>
    <xf numFmtId="3" fontId="32" fillId="0" borderId="10" xfId="6" applyNumberFormat="1" applyFont="1" applyFill="1" applyBorder="1" applyAlignment="1">
      <alignment vertical="center"/>
    </xf>
    <xf numFmtId="3" fontId="27" fillId="0" borderId="30" xfId="4" applyNumberFormat="1" applyFont="1" applyFill="1" applyBorder="1" applyAlignment="1">
      <alignment horizontal="right" vertical="center"/>
    </xf>
    <xf numFmtId="3" fontId="27" fillId="2" borderId="27" xfId="4" applyNumberFormat="1" applyFont="1" applyFill="1" applyBorder="1" applyAlignment="1">
      <alignment horizontal="right" vertical="center"/>
    </xf>
    <xf numFmtId="3" fontId="24" fillId="8" borderId="4" xfId="4" applyNumberFormat="1" applyFont="1" applyFill="1" applyBorder="1" applyAlignment="1">
      <alignment horizontal="right" vertical="center"/>
    </xf>
    <xf numFmtId="3" fontId="24" fillId="8" borderId="15" xfId="4" applyNumberFormat="1" applyFont="1" applyFill="1" applyBorder="1" applyAlignment="1">
      <alignment horizontal="right" vertical="center"/>
    </xf>
    <xf numFmtId="3" fontId="7" fillId="8" borderId="15" xfId="4" applyNumberFormat="1" applyFont="1" applyFill="1" applyBorder="1" applyAlignment="1">
      <alignment horizontal="right" vertical="center"/>
    </xf>
    <xf numFmtId="3" fontId="27" fillId="0" borderId="63" xfId="4" applyNumberFormat="1" applyFont="1" applyFill="1" applyBorder="1" applyAlignment="1">
      <alignment horizontal="right" vertical="center"/>
    </xf>
    <xf numFmtId="3" fontId="25" fillId="8" borderId="15" xfId="4" applyNumberFormat="1" applyFont="1" applyFill="1" applyBorder="1" applyAlignment="1">
      <alignment horizontal="right" vertical="center"/>
    </xf>
    <xf numFmtId="3" fontId="27" fillId="0" borderId="65" xfId="4" applyNumberFormat="1" applyFont="1" applyFill="1" applyBorder="1" applyAlignment="1">
      <alignment horizontal="right" vertical="center"/>
    </xf>
    <xf numFmtId="3" fontId="24" fillId="6" borderId="9" xfId="4" applyNumberFormat="1" applyFont="1" applyFill="1" applyBorder="1" applyAlignment="1">
      <alignment vertical="center"/>
    </xf>
    <xf numFmtId="3" fontId="24" fillId="8" borderId="4" xfId="0" applyNumberFormat="1" applyFont="1" applyFill="1" applyBorder="1" applyAlignment="1">
      <alignment vertical="center"/>
    </xf>
    <xf numFmtId="3" fontId="24" fillId="8" borderId="70" xfId="0" applyNumberFormat="1" applyFont="1" applyFill="1" applyBorder="1" applyAlignment="1">
      <alignment vertical="center"/>
    </xf>
    <xf numFmtId="3" fontId="24" fillId="8" borderId="15" xfId="0" applyNumberFormat="1" applyFont="1" applyFill="1" applyBorder="1" applyAlignment="1">
      <alignment vertical="center"/>
    </xf>
    <xf numFmtId="3" fontId="24" fillId="6" borderId="30" xfId="0" applyNumberFormat="1" applyFont="1" applyFill="1" applyBorder="1" applyAlignment="1">
      <alignment horizontal="right" vertical="center"/>
    </xf>
    <xf numFmtId="3" fontId="27" fillId="0" borderId="30" xfId="0" applyNumberFormat="1" applyFont="1" applyFill="1" applyBorder="1" applyAlignment="1">
      <alignment horizontal="right" vertical="center"/>
    </xf>
    <xf numFmtId="3" fontId="29" fillId="0" borderId="30" xfId="0" applyNumberFormat="1" applyFont="1" applyFill="1" applyBorder="1" applyAlignment="1">
      <alignment horizontal="right" vertical="center"/>
    </xf>
    <xf numFmtId="3" fontId="27" fillId="0" borderId="35" xfId="0" applyNumberFormat="1" applyFont="1" applyFill="1" applyBorder="1" applyAlignment="1">
      <alignment horizontal="right" vertical="center"/>
    </xf>
    <xf numFmtId="3" fontId="27" fillId="0" borderId="29" xfId="0" applyNumberFormat="1" applyFont="1" applyFill="1" applyBorder="1" applyAlignment="1">
      <alignment horizontal="right" vertical="center"/>
    </xf>
    <xf numFmtId="3" fontId="29" fillId="25" borderId="29" xfId="4" applyNumberFormat="1" applyFont="1" applyFill="1" applyBorder="1" applyAlignment="1">
      <alignment horizontal="right" vertical="center"/>
    </xf>
    <xf numFmtId="3" fontId="27" fillId="0" borderId="13" xfId="0" applyNumberFormat="1" applyFont="1" applyFill="1" applyBorder="1" applyAlignment="1">
      <alignment horizontal="right" vertical="center"/>
    </xf>
    <xf numFmtId="3" fontId="27" fillId="0" borderId="27" xfId="0" applyNumberFormat="1" applyFont="1" applyFill="1" applyBorder="1" applyAlignment="1">
      <alignment horizontal="right" vertical="center"/>
    </xf>
    <xf numFmtId="3" fontId="29" fillId="0" borderId="13" xfId="0" applyNumberFormat="1" applyFont="1" applyFill="1" applyBorder="1" applyAlignment="1">
      <alignment horizontal="right" vertical="center"/>
    </xf>
    <xf numFmtId="3" fontId="7" fillId="0" borderId="35" xfId="0" applyNumberFormat="1" applyFont="1" applyFill="1" applyBorder="1" applyAlignment="1">
      <alignment horizontal="right" vertical="center"/>
    </xf>
    <xf numFmtId="3" fontId="7" fillId="0" borderId="13" xfId="0" applyNumberFormat="1" applyFont="1" applyFill="1" applyBorder="1" applyAlignment="1">
      <alignment horizontal="right" vertical="center"/>
    </xf>
    <xf numFmtId="3" fontId="31" fillId="0" borderId="27" xfId="0" applyNumberFormat="1" applyFont="1" applyFill="1" applyBorder="1" applyAlignment="1">
      <alignment horizontal="right" vertical="center"/>
    </xf>
    <xf numFmtId="3" fontId="29" fillId="0" borderId="35" xfId="0" applyNumberFormat="1" applyFont="1" applyFill="1" applyBorder="1" applyAlignment="1">
      <alignment horizontal="right" vertical="center"/>
    </xf>
    <xf numFmtId="3" fontId="31" fillId="0" borderId="12" xfId="0" applyNumberFormat="1" applyFont="1" applyFill="1" applyBorder="1" applyAlignment="1">
      <alignment horizontal="right" vertical="center"/>
    </xf>
    <xf numFmtId="0" fontId="24" fillId="13" borderId="19" xfId="4" applyFont="1" applyFill="1" applyBorder="1" applyAlignment="1">
      <alignment vertical="center" wrapText="1"/>
    </xf>
    <xf numFmtId="0" fontId="7" fillId="13" borderId="17" xfId="4" applyFont="1" applyFill="1" applyBorder="1" applyAlignment="1">
      <alignment horizontal="right" vertical="center"/>
    </xf>
    <xf numFmtId="3" fontId="24" fillId="13" borderId="70" xfId="4" applyNumberFormat="1" applyFont="1" applyFill="1" applyBorder="1" applyAlignment="1">
      <alignment horizontal="right" vertical="center"/>
    </xf>
    <xf numFmtId="3" fontId="7" fillId="13" borderId="70" xfId="4" applyNumberFormat="1" applyFont="1" applyFill="1" applyBorder="1" applyAlignment="1">
      <alignment horizontal="right" vertical="center"/>
    </xf>
    <xf numFmtId="3" fontId="7" fillId="24" borderId="3" xfId="4" applyNumberFormat="1" applyFont="1" applyFill="1" applyBorder="1" applyAlignment="1">
      <alignment horizontal="right" vertical="center"/>
    </xf>
    <xf numFmtId="3" fontId="24" fillId="6" borderId="9" xfId="4" applyNumberFormat="1" applyFont="1" applyFill="1" applyBorder="1" applyAlignment="1">
      <alignment horizontal="right" vertical="center"/>
    </xf>
    <xf numFmtId="0" fontId="29" fillId="13" borderId="36" xfId="4" applyFont="1" applyFill="1" applyBorder="1" applyAlignment="1">
      <alignment horizontal="left" vertical="center"/>
    </xf>
    <xf numFmtId="0" fontId="29" fillId="13" borderId="20" xfId="4" applyFont="1" applyFill="1" applyBorder="1" applyAlignment="1">
      <alignment horizontal="left" vertical="center"/>
    </xf>
    <xf numFmtId="3" fontId="27" fillId="13" borderId="29" xfId="4" applyNumberFormat="1" applyFont="1" applyFill="1" applyBorder="1" applyAlignment="1">
      <alignment horizontal="right" vertical="center"/>
    </xf>
    <xf numFmtId="3" fontId="18" fillId="13" borderId="43" xfId="4" applyNumberFormat="1" applyFont="1" applyFill="1" applyBorder="1" applyAlignment="1">
      <alignment horizontal="center" vertical="center" wrapText="1"/>
    </xf>
    <xf numFmtId="3" fontId="27" fillId="13" borderId="9" xfId="4" applyNumberFormat="1" applyFont="1" applyFill="1" applyBorder="1" applyAlignment="1">
      <alignment horizontal="right" vertical="center"/>
    </xf>
    <xf numFmtId="3" fontId="7" fillId="13" borderId="23" xfId="4" applyNumberFormat="1" applyFont="1" applyFill="1" applyBorder="1" applyAlignment="1">
      <alignment horizontal="right" vertical="center"/>
    </xf>
    <xf numFmtId="0" fontId="18" fillId="13" borderId="41" xfId="4" applyFont="1" applyFill="1" applyBorder="1" applyAlignment="1">
      <alignment horizontal="center" vertical="center" wrapText="1"/>
    </xf>
    <xf numFmtId="3" fontId="23" fillId="6" borderId="29" xfId="6" applyNumberFormat="1" applyFont="1" applyFill="1" applyBorder="1" applyAlignment="1">
      <alignment horizontal="right" vertical="center"/>
    </xf>
    <xf numFmtId="3" fontId="33" fillId="0" borderId="29" xfId="6" applyNumberFormat="1" applyFont="1" applyFill="1" applyBorder="1" applyAlignment="1">
      <alignment horizontal="right" vertical="center"/>
    </xf>
    <xf numFmtId="3" fontId="31" fillId="0" borderId="31" xfId="4" applyNumberFormat="1" applyFont="1" applyFill="1" applyBorder="1" applyAlignment="1">
      <alignment horizontal="right" vertical="center"/>
    </xf>
    <xf numFmtId="3" fontId="33" fillId="8" borderId="3" xfId="6" applyNumberFormat="1" applyFont="1" applyFill="1" applyBorder="1" applyAlignment="1">
      <alignment horizontal="right" vertical="center"/>
    </xf>
    <xf numFmtId="0" fontId="24" fillId="27" borderId="45" xfId="4" applyFont="1" applyFill="1" applyBorder="1" applyAlignment="1">
      <alignment vertical="center" wrapText="1"/>
    </xf>
    <xf numFmtId="3" fontId="24" fillId="6" borderId="29" xfId="0" applyNumberFormat="1" applyFont="1" applyFill="1" applyBorder="1" applyAlignment="1">
      <alignment horizontal="right" vertical="center"/>
    </xf>
    <xf numFmtId="3" fontId="25" fillId="25" borderId="29" xfId="4" applyNumberFormat="1" applyFont="1" applyFill="1" applyBorder="1" applyAlignment="1">
      <alignment horizontal="right" vertical="center"/>
    </xf>
    <xf numFmtId="0" fontId="7" fillId="13" borderId="28" xfId="4" applyFont="1" applyFill="1" applyBorder="1" applyAlignment="1">
      <alignment horizontal="left" vertical="center"/>
    </xf>
    <xf numFmtId="3" fontId="29" fillId="13" borderId="9" xfId="4" applyNumberFormat="1" applyFont="1" applyFill="1" applyBorder="1" applyAlignment="1">
      <alignment horizontal="right" vertical="center"/>
    </xf>
    <xf numFmtId="0" fontId="7" fillId="0" borderId="21" xfId="0" applyFont="1" applyFill="1" applyBorder="1" applyAlignment="1">
      <alignment horizontal="left" vertical="center"/>
    </xf>
    <xf numFmtId="3" fontId="31" fillId="0" borderId="13" xfId="0" applyNumberFormat="1" applyFont="1" applyFill="1" applyBorder="1" applyAlignment="1">
      <alignment horizontal="right" vertical="center"/>
    </xf>
    <xf numFmtId="3" fontId="31" fillId="0" borderId="35" xfId="0" applyNumberFormat="1" applyFont="1" applyFill="1" applyBorder="1" applyAlignment="1">
      <alignment horizontal="right" vertical="center"/>
    </xf>
    <xf numFmtId="0" fontId="25" fillId="6" borderId="84" xfId="4" applyFont="1" applyFill="1" applyBorder="1" applyAlignment="1">
      <alignment horizontal="left" vertical="center"/>
    </xf>
    <xf numFmtId="3" fontId="24" fillId="6" borderId="28" xfId="0" applyNumberFormat="1" applyFont="1" applyFill="1" applyBorder="1" applyAlignment="1">
      <alignment horizontal="right" vertical="center"/>
    </xf>
    <xf numFmtId="3" fontId="27" fillId="13" borderId="28" xfId="4" applyNumberFormat="1" applyFont="1" applyFill="1" applyBorder="1" applyAlignment="1">
      <alignment horizontal="right" vertical="center"/>
    </xf>
    <xf numFmtId="3" fontId="7" fillId="13" borderId="28" xfId="4" applyNumberFormat="1" applyFont="1" applyFill="1" applyBorder="1" applyAlignment="1">
      <alignment horizontal="right" vertical="center"/>
    </xf>
    <xf numFmtId="3" fontId="29" fillId="13" borderId="28" xfId="4" applyNumberFormat="1" applyFont="1" applyFill="1" applyBorder="1" applyAlignment="1">
      <alignment horizontal="right" vertical="center"/>
    </xf>
    <xf numFmtId="0" fontId="16" fillId="2" borderId="25" xfId="4" applyFont="1" applyFill="1" applyBorder="1" applyAlignment="1">
      <alignment vertical="center"/>
    </xf>
    <xf numFmtId="0" fontId="34" fillId="2" borderId="68" xfId="4" applyFont="1" applyFill="1" applyBorder="1" applyAlignment="1">
      <alignment vertical="center"/>
    </xf>
    <xf numFmtId="0" fontId="34" fillId="2" borderId="24" xfId="4" applyFont="1" applyFill="1" applyBorder="1" applyAlignment="1">
      <alignment vertical="center"/>
    </xf>
    <xf numFmtId="3" fontId="34" fillId="2" borderId="24" xfId="4" applyNumberFormat="1" applyFont="1" applyFill="1" applyBorder="1" applyAlignment="1">
      <alignment vertical="center"/>
    </xf>
    <xf numFmtId="0" fontId="34" fillId="2" borderId="69" xfId="4" applyFont="1" applyFill="1" applyBorder="1" applyAlignment="1">
      <alignment horizontal="right" vertical="center" wrapText="1"/>
    </xf>
    <xf numFmtId="0" fontId="20" fillId="6" borderId="28" xfId="4" applyFont="1" applyFill="1" applyBorder="1" applyAlignment="1">
      <alignment horizontal="left" vertical="center"/>
    </xf>
    <xf numFmtId="0" fontId="37" fillId="0" borderId="0" xfId="0" applyFont="1" applyBorder="1" applyAlignment="1">
      <alignment horizontal="center" vertical="center" wrapText="1"/>
    </xf>
    <xf numFmtId="0" fontId="21" fillId="2" borderId="78" xfId="0" quotePrefix="1" applyFont="1" applyFill="1" applyBorder="1" applyAlignment="1">
      <alignment horizontal="center" vertical="top"/>
    </xf>
    <xf numFmtId="0" fontId="21" fillId="2" borderId="40" xfId="0" quotePrefix="1" applyFont="1" applyFill="1" applyBorder="1" applyAlignment="1">
      <alignment horizontal="center" vertical="top"/>
    </xf>
    <xf numFmtId="3" fontId="32" fillId="8" borderId="29" xfId="6" applyNumberFormat="1" applyFont="1" applyFill="1" applyBorder="1" applyAlignment="1">
      <alignment vertical="center"/>
    </xf>
    <xf numFmtId="0" fontId="20" fillId="2" borderId="5" xfId="0" applyFont="1" applyFill="1" applyBorder="1" applyAlignment="1">
      <alignment horizontal="center" vertical="top"/>
    </xf>
    <xf numFmtId="0" fontId="20" fillId="2" borderId="11" xfId="0" applyFont="1" applyFill="1" applyBorder="1" applyAlignment="1">
      <alignment horizontal="center" vertical="top"/>
    </xf>
    <xf numFmtId="0" fontId="17" fillId="8" borderId="11" xfId="0" applyFont="1" applyFill="1" applyBorder="1" applyAlignment="1">
      <alignment vertical="center"/>
    </xf>
    <xf numFmtId="3" fontId="27" fillId="21" borderId="35" xfId="4" applyNumberFormat="1" applyFont="1" applyFill="1" applyBorder="1" applyAlignment="1">
      <alignment horizontal="right" vertical="center"/>
    </xf>
    <xf numFmtId="3" fontId="7" fillId="28" borderId="67" xfId="0" applyNumberFormat="1" applyFont="1" applyFill="1" applyBorder="1" applyAlignment="1">
      <alignment horizontal="center" vertical="top" wrapText="1"/>
    </xf>
    <xf numFmtId="3" fontId="27" fillId="21" borderId="12" xfId="4" applyNumberFormat="1" applyFont="1" applyFill="1" applyBorder="1" applyAlignment="1">
      <alignment horizontal="right" vertical="center"/>
    </xf>
    <xf numFmtId="0" fontId="24" fillId="28" borderId="11" xfId="0" applyFont="1" applyFill="1" applyBorder="1" applyAlignment="1">
      <alignment vertical="top"/>
    </xf>
    <xf numFmtId="0" fontId="24" fillId="6" borderId="19" xfId="4" applyFont="1" applyFill="1" applyBorder="1" applyAlignment="1">
      <alignment horizontal="left" vertical="center"/>
    </xf>
    <xf numFmtId="0" fontId="24" fillId="6" borderId="16" xfId="4" applyFont="1" applyFill="1" applyBorder="1" applyAlignment="1">
      <alignment horizontal="left" vertical="center"/>
    </xf>
    <xf numFmtId="3" fontId="24" fillId="29" borderId="70" xfId="0" applyNumberFormat="1" applyFont="1" applyFill="1" applyBorder="1" applyAlignment="1">
      <alignment vertical="center"/>
    </xf>
    <xf numFmtId="0" fontId="29" fillId="8" borderId="36" xfId="4" applyFont="1" applyFill="1" applyBorder="1" applyAlignment="1">
      <alignment vertical="center"/>
    </xf>
    <xf numFmtId="0" fontId="7" fillId="8" borderId="28" xfId="0" applyFont="1" applyFill="1" applyBorder="1" applyAlignment="1">
      <alignment vertical="center" wrapText="1"/>
    </xf>
    <xf numFmtId="0" fontId="17" fillId="28" borderId="11" xfId="0" applyFont="1" applyFill="1" applyBorder="1" applyAlignment="1">
      <alignment vertical="top"/>
    </xf>
    <xf numFmtId="0" fontId="7" fillId="8" borderId="36" xfId="4" applyFont="1" applyFill="1" applyBorder="1" applyAlignment="1">
      <alignment vertical="center"/>
    </xf>
    <xf numFmtId="3" fontId="7" fillId="28" borderId="8" xfId="0" applyNumberFormat="1" applyFont="1" applyFill="1" applyBorder="1" applyAlignment="1">
      <alignment vertical="center" wrapText="1"/>
    </xf>
    <xf numFmtId="0" fontId="29" fillId="8" borderId="32" xfId="4" applyFont="1" applyFill="1" applyBorder="1" applyAlignment="1">
      <alignment vertical="center"/>
    </xf>
    <xf numFmtId="0" fontId="24" fillId="8" borderId="28" xfId="0" applyFont="1" applyFill="1" applyBorder="1" applyAlignment="1">
      <alignment vertical="center"/>
    </xf>
    <xf numFmtId="3" fontId="29" fillId="8" borderId="9" xfId="0" applyNumberFormat="1" applyFont="1" applyFill="1" applyBorder="1" applyAlignment="1">
      <alignment vertical="center"/>
    </xf>
    <xf numFmtId="0" fontId="17" fillId="8" borderId="11" xfId="0" applyFont="1" applyFill="1" applyBorder="1" applyAlignment="1">
      <alignment vertical="top"/>
    </xf>
    <xf numFmtId="0" fontId="17" fillId="8" borderId="25" xfId="0" applyFont="1" applyFill="1" applyBorder="1" applyAlignment="1">
      <alignment vertical="top"/>
    </xf>
    <xf numFmtId="0" fontId="7" fillId="8" borderId="37" xfId="0" applyFont="1" applyFill="1" applyBorder="1" applyAlignment="1">
      <alignment vertical="top" wrapText="1"/>
    </xf>
    <xf numFmtId="3" fontId="7" fillId="28" borderId="47" xfId="0" applyNumberFormat="1" applyFont="1" applyFill="1" applyBorder="1" applyAlignment="1">
      <alignment vertical="center"/>
    </xf>
    <xf numFmtId="0" fontId="25" fillId="8" borderId="5" xfId="0" applyFont="1" applyFill="1" applyBorder="1" applyAlignment="1">
      <alignment vertical="center" wrapText="1"/>
    </xf>
    <xf numFmtId="0" fontId="25" fillId="8" borderId="14" xfId="0" applyFont="1" applyFill="1" applyBorder="1" applyAlignment="1">
      <alignment horizontal="center" vertical="center" wrapText="1"/>
    </xf>
    <xf numFmtId="0" fontId="7" fillId="8" borderId="70" xfId="0" applyFont="1" applyFill="1" applyBorder="1" applyAlignment="1">
      <alignment vertical="top"/>
    </xf>
    <xf numFmtId="3" fontId="27" fillId="2" borderId="32" xfId="4" applyNumberFormat="1" applyFont="1" applyFill="1" applyBorder="1" applyAlignment="1">
      <alignment vertical="center" wrapText="1"/>
    </xf>
    <xf numFmtId="0" fontId="31" fillId="0" borderId="21" xfId="0" applyFont="1" applyFill="1" applyBorder="1" applyAlignment="1">
      <alignment vertical="top"/>
    </xf>
    <xf numFmtId="3" fontId="31" fillId="0" borderId="9" xfId="0" applyNumberFormat="1" applyFont="1" applyFill="1" applyBorder="1" applyAlignment="1">
      <alignment vertical="top"/>
    </xf>
    <xf numFmtId="0" fontId="7" fillId="6" borderId="28" xfId="0" applyFont="1" applyFill="1" applyBorder="1" applyAlignment="1">
      <alignment horizontal="left" vertical="center" wrapText="1"/>
    </xf>
    <xf numFmtId="3" fontId="27" fillId="2" borderId="84" xfId="4" applyNumberFormat="1" applyFont="1" applyFill="1" applyBorder="1" applyAlignment="1">
      <alignment vertical="center" wrapText="1"/>
    </xf>
    <xf numFmtId="0" fontId="31" fillId="0" borderId="85" xfId="0" applyFont="1" applyFill="1" applyBorder="1" applyAlignment="1">
      <alignment vertical="top"/>
    </xf>
    <xf numFmtId="3" fontId="31" fillId="0" borderId="47" xfId="0" applyNumberFormat="1" applyFont="1" applyFill="1" applyBorder="1" applyAlignment="1">
      <alignment vertical="top"/>
    </xf>
    <xf numFmtId="3" fontId="31" fillId="0" borderId="47" xfId="0" applyNumberFormat="1" applyFont="1" applyFill="1" applyBorder="1" applyAlignment="1">
      <alignment horizontal="right" vertical="center"/>
    </xf>
    <xf numFmtId="0" fontId="31" fillId="6" borderId="28" xfId="0" applyFont="1" applyFill="1" applyBorder="1" applyAlignment="1">
      <alignment vertical="top"/>
    </xf>
    <xf numFmtId="0" fontId="7" fillId="6" borderId="20" xfId="0" applyFont="1" applyFill="1" applyBorder="1" applyAlignment="1">
      <alignment horizontal="left" vertical="center" wrapText="1"/>
    </xf>
    <xf numFmtId="3" fontId="31" fillId="0" borderId="72" xfId="0" applyNumberFormat="1" applyFont="1" applyFill="1" applyBorder="1" applyAlignment="1">
      <alignment vertical="top"/>
    </xf>
    <xf numFmtId="3" fontId="21" fillId="0" borderId="0" xfId="0" applyNumberFormat="1" applyFont="1" applyFill="1" applyBorder="1" applyAlignment="1">
      <alignment vertical="top"/>
    </xf>
    <xf numFmtId="3" fontId="21" fillId="0" borderId="0" xfId="0" applyNumberFormat="1" applyFont="1" applyFill="1" applyBorder="1" applyAlignment="1">
      <alignment horizontal="right" vertical="center"/>
    </xf>
    <xf numFmtId="0" fontId="25" fillId="6" borderId="19" xfId="4" applyFont="1" applyFill="1" applyBorder="1" applyAlignment="1">
      <alignment horizontal="left" vertical="center"/>
    </xf>
    <xf numFmtId="0" fontId="25" fillId="6" borderId="16" xfId="4" applyFont="1" applyFill="1" applyBorder="1" applyAlignment="1">
      <alignment horizontal="left" vertical="center"/>
    </xf>
    <xf numFmtId="0" fontId="27" fillId="8" borderId="36" xfId="4" applyFont="1" applyFill="1" applyBorder="1" applyAlignment="1">
      <alignment vertical="center"/>
    </xf>
    <xf numFmtId="0" fontId="24" fillId="8" borderId="19" xfId="0" applyFont="1" applyFill="1" applyBorder="1" applyAlignment="1">
      <alignment vertical="center" wrapText="1"/>
    </xf>
    <xf numFmtId="0" fontId="7" fillId="8" borderId="18" xfId="0" applyFont="1" applyFill="1" applyBorder="1" applyAlignment="1">
      <alignment vertical="top"/>
    </xf>
    <xf numFmtId="0" fontId="7" fillId="8" borderId="79" xfId="0" applyFont="1" applyFill="1" applyBorder="1" applyAlignment="1">
      <alignment vertical="top"/>
    </xf>
    <xf numFmtId="3" fontId="7" fillId="8" borderId="79" xfId="0" applyNumberFormat="1" applyFont="1" applyFill="1" applyBorder="1" applyAlignment="1">
      <alignment vertical="top"/>
    </xf>
    <xf numFmtId="3" fontId="7" fillId="23" borderId="70" xfId="0" applyNumberFormat="1" applyFont="1" applyFill="1" applyBorder="1" applyAlignment="1">
      <alignment vertical="top"/>
    </xf>
    <xf numFmtId="0" fontId="24" fillId="6" borderId="21" xfId="4" applyFont="1" applyFill="1" applyBorder="1" applyAlignment="1">
      <alignment horizontal="left" vertical="center"/>
    </xf>
    <xf numFmtId="0" fontId="25" fillId="6" borderId="9" xfId="4" applyFont="1" applyFill="1" applyBorder="1" applyAlignment="1">
      <alignment horizontal="left" vertical="center"/>
    </xf>
    <xf numFmtId="3" fontId="25" fillId="6" borderId="9" xfId="0" applyNumberFormat="1" applyFont="1" applyFill="1" applyBorder="1" applyAlignment="1">
      <alignment vertical="top"/>
    </xf>
    <xf numFmtId="3" fontId="25" fillId="22" borderId="35" xfId="0" applyNumberFormat="1" applyFont="1" applyFill="1" applyBorder="1" applyAlignment="1">
      <alignment vertical="top"/>
    </xf>
    <xf numFmtId="0" fontId="7" fillId="8" borderId="3" xfId="0" applyFont="1" applyFill="1" applyBorder="1" applyAlignment="1">
      <alignment vertical="top"/>
    </xf>
    <xf numFmtId="0" fontId="18" fillId="0" borderId="0" xfId="0" applyFont="1" applyBorder="1" applyAlignment="1">
      <alignment vertical="top"/>
    </xf>
    <xf numFmtId="0" fontId="18" fillId="0" borderId="0" xfId="0" applyFont="1" applyBorder="1" applyAlignment="1">
      <alignment horizontal="center" vertical="top" wrapText="1"/>
    </xf>
    <xf numFmtId="0" fontId="18" fillId="0" borderId="67" xfId="0" applyFont="1" applyBorder="1" applyAlignment="1">
      <alignment vertical="top"/>
    </xf>
    <xf numFmtId="0" fontId="30" fillId="8" borderId="11" xfId="0" applyFont="1" applyFill="1" applyBorder="1" applyAlignment="1">
      <alignment vertical="top"/>
    </xf>
    <xf numFmtId="3" fontId="24" fillId="22" borderId="70" xfId="0" applyNumberFormat="1" applyFont="1" applyFill="1" applyBorder="1" applyAlignment="1">
      <alignment vertical="center"/>
    </xf>
    <xf numFmtId="0" fontId="16" fillId="2" borderId="88" xfId="0" applyFont="1" applyFill="1" applyBorder="1" applyAlignment="1">
      <alignment vertical="center"/>
    </xf>
    <xf numFmtId="0" fontId="34" fillId="2" borderId="51" xfId="0" applyFont="1" applyFill="1" applyBorder="1" applyAlignment="1">
      <alignment vertical="top"/>
    </xf>
    <xf numFmtId="0" fontId="34" fillId="0" borderId="80" xfId="0" applyFont="1" applyFill="1" applyBorder="1" applyAlignment="1">
      <alignment vertical="top"/>
    </xf>
    <xf numFmtId="3" fontId="24" fillId="29" borderId="35" xfId="0" applyNumberFormat="1" applyFont="1" applyFill="1" applyBorder="1" applyAlignment="1">
      <alignment vertical="center"/>
    </xf>
    <xf numFmtId="0" fontId="20" fillId="8" borderId="11" xfId="0" applyFont="1" applyFill="1" applyBorder="1" applyAlignment="1">
      <alignment vertical="center"/>
    </xf>
    <xf numFmtId="3" fontId="27" fillId="8" borderId="30" xfId="0" applyNumberFormat="1" applyFont="1" applyFill="1" applyBorder="1" applyAlignment="1">
      <alignment vertical="center"/>
    </xf>
    <xf numFmtId="0" fontId="22" fillId="0" borderId="79" xfId="0" applyFont="1" applyBorder="1" applyAlignment="1">
      <alignment horizontal="center" vertical="center"/>
    </xf>
    <xf numFmtId="0" fontId="22" fillId="0" borderId="16" xfId="0" applyFont="1" applyBorder="1" applyAlignment="1">
      <alignment horizontal="center" vertical="center"/>
    </xf>
    <xf numFmtId="0" fontId="22" fillId="0" borderId="70" xfId="0" applyFont="1" applyBorder="1" applyAlignment="1">
      <alignment horizontal="center" vertical="center"/>
    </xf>
    <xf numFmtId="0" fontId="25" fillId="6" borderId="8" xfId="4" applyFont="1" applyFill="1" applyBorder="1" applyAlignment="1">
      <alignment horizontal="left" vertical="center"/>
    </xf>
    <xf numFmtId="3" fontId="24" fillId="6" borderId="29" xfId="4" applyNumberFormat="1" applyFont="1" applyFill="1" applyBorder="1" applyAlignment="1">
      <alignment vertical="center"/>
    </xf>
    <xf numFmtId="3" fontId="24" fillId="6" borderId="30" xfId="4" applyNumberFormat="1" applyFont="1" applyFill="1" applyBorder="1" applyAlignment="1">
      <alignment vertical="center"/>
    </xf>
    <xf numFmtId="3" fontId="32" fillId="8" borderId="28" xfId="6" applyNumberFormat="1" applyFont="1" applyFill="1" applyBorder="1" applyAlignment="1">
      <alignment vertical="center"/>
    </xf>
    <xf numFmtId="3" fontId="27" fillId="2" borderId="30" xfId="4" applyNumberFormat="1" applyFont="1" applyFill="1" applyBorder="1" applyAlignment="1">
      <alignment horizontal="right" vertical="center"/>
    </xf>
    <xf numFmtId="0" fontId="18" fillId="0" borderId="0" xfId="0" applyFont="1" applyAlignment="1">
      <alignment vertical="center"/>
    </xf>
    <xf numFmtId="3" fontId="18" fillId="0" borderId="0" xfId="0" applyNumberFormat="1" applyFont="1" applyAlignment="1">
      <alignment vertical="center"/>
    </xf>
    <xf numFmtId="0" fontId="17" fillId="8" borderId="19" xfId="0" applyFont="1" applyFill="1" applyBorder="1" applyAlignment="1">
      <alignment vertical="center" wrapText="1"/>
    </xf>
    <xf numFmtId="0" fontId="17" fillId="8" borderId="14" xfId="0" applyFont="1" applyFill="1" applyBorder="1" applyAlignment="1">
      <alignment horizontal="center" vertical="center" wrapText="1"/>
    </xf>
    <xf numFmtId="3" fontId="31" fillId="25" borderId="72" xfId="4" applyNumberFormat="1" applyFont="1" applyFill="1" applyBorder="1" applyAlignment="1">
      <alignment horizontal="right" vertical="center"/>
    </xf>
    <xf numFmtId="3" fontId="7" fillId="0" borderId="35" xfId="4" applyNumberFormat="1" applyFont="1" applyFill="1" applyBorder="1" applyAlignment="1">
      <alignment horizontal="right" vertical="center"/>
    </xf>
    <xf numFmtId="3" fontId="7" fillId="0" borderId="0" xfId="4" applyNumberFormat="1" applyFont="1" applyFill="1" applyBorder="1" applyAlignment="1">
      <alignment horizontal="right" vertical="center"/>
    </xf>
    <xf numFmtId="3" fontId="7" fillId="0" borderId="39" xfId="4" applyNumberFormat="1" applyFont="1" applyFill="1" applyBorder="1" applyAlignment="1">
      <alignment horizontal="right" vertical="center"/>
    </xf>
    <xf numFmtId="3" fontId="25" fillId="22" borderId="29" xfId="4" applyNumberFormat="1" applyFont="1" applyFill="1" applyBorder="1" applyAlignment="1">
      <alignment horizontal="right" vertical="center"/>
    </xf>
    <xf numFmtId="0" fontId="32" fillId="0" borderId="38" xfId="0" applyFont="1" applyBorder="1" applyAlignment="1">
      <alignment horizontal="center" vertical="center" wrapText="1"/>
    </xf>
    <xf numFmtId="3" fontId="7" fillId="0" borderId="50" xfId="4" applyNumberFormat="1" applyFont="1" applyFill="1" applyBorder="1" applyAlignment="1">
      <alignment horizontal="right" vertical="center"/>
    </xf>
    <xf numFmtId="3" fontId="31" fillId="2" borderId="47" xfId="4" applyNumberFormat="1" applyFont="1" applyFill="1" applyBorder="1" applyAlignment="1">
      <alignment horizontal="right" vertical="center"/>
    </xf>
    <xf numFmtId="3" fontId="25" fillId="6" borderId="9" xfId="4" applyNumberFormat="1" applyFont="1" applyFill="1" applyBorder="1" applyAlignment="1">
      <alignment horizontal="right" vertical="center"/>
    </xf>
    <xf numFmtId="0" fontId="24" fillId="27" borderId="5" xfId="4" applyFont="1" applyFill="1" applyBorder="1" applyAlignment="1">
      <alignment vertical="center" wrapText="1"/>
    </xf>
    <xf numFmtId="0" fontId="27" fillId="55" borderId="45" xfId="4" applyFont="1" applyFill="1" applyBorder="1" applyAlignment="1">
      <alignment horizontal="left" vertical="center"/>
    </xf>
    <xf numFmtId="0" fontId="27" fillId="55" borderId="16" xfId="4" applyFont="1" applyFill="1" applyBorder="1" applyAlignment="1">
      <alignment horizontal="left" vertical="center"/>
    </xf>
    <xf numFmtId="3" fontId="27" fillId="55" borderId="17" xfId="4" applyNumberFormat="1" applyFont="1" applyFill="1" applyBorder="1" applyAlignment="1">
      <alignment horizontal="right" vertical="center"/>
    </xf>
    <xf numFmtId="0" fontId="27" fillId="55" borderId="67" xfId="4" applyFont="1" applyFill="1" applyBorder="1" applyAlignment="1">
      <alignment horizontal="left" vertical="center"/>
    </xf>
    <xf numFmtId="0" fontId="27" fillId="55" borderId="6" xfId="4" applyFont="1" applyFill="1" applyBorder="1" applyAlignment="1">
      <alignment horizontal="left" vertical="center"/>
    </xf>
    <xf numFmtId="3" fontId="27" fillId="55" borderId="27" xfId="4" applyNumberFormat="1" applyFont="1" applyFill="1" applyBorder="1" applyAlignment="1">
      <alignment horizontal="right" vertical="center"/>
    </xf>
    <xf numFmtId="0" fontId="27" fillId="55" borderId="67" xfId="0" applyFont="1" applyFill="1" applyBorder="1" applyAlignment="1">
      <alignment horizontal="left" vertical="top"/>
    </xf>
    <xf numFmtId="0" fontId="28" fillId="55" borderId="6" xfId="0" quotePrefix="1" applyFont="1" applyFill="1" applyBorder="1" applyAlignment="1">
      <alignment horizontal="center" vertical="top"/>
    </xf>
    <xf numFmtId="3" fontId="27" fillId="55" borderId="27" xfId="0" quotePrefix="1" applyNumberFormat="1" applyFont="1" applyFill="1" applyBorder="1" applyAlignment="1">
      <alignment horizontal="right" vertical="top"/>
    </xf>
    <xf numFmtId="0" fontId="27" fillId="55" borderId="34" xfId="4" applyFont="1" applyFill="1" applyBorder="1" applyAlignment="1">
      <alignment horizontal="left" vertical="center"/>
    </xf>
    <xf numFmtId="3" fontId="27" fillId="55" borderId="29" xfId="4" applyNumberFormat="1" applyFont="1" applyFill="1" applyBorder="1" applyAlignment="1">
      <alignment horizontal="right" vertical="center"/>
    </xf>
    <xf numFmtId="0" fontId="27" fillId="55" borderId="36" xfId="4" applyFont="1" applyFill="1" applyBorder="1" applyAlignment="1">
      <alignment horizontal="left" vertical="center"/>
    </xf>
    <xf numFmtId="0" fontId="27" fillId="55" borderId="20" xfId="4" applyFont="1" applyFill="1" applyBorder="1" applyAlignment="1">
      <alignment horizontal="left" vertical="center"/>
    </xf>
    <xf numFmtId="3" fontId="27" fillId="55" borderId="9" xfId="4" applyNumberFormat="1" applyFont="1" applyFill="1" applyBorder="1" applyAlignment="1">
      <alignment horizontal="right" vertical="center"/>
    </xf>
    <xf numFmtId="0" fontId="27" fillId="55" borderId="46" xfId="0" applyFont="1" applyFill="1" applyBorder="1" applyAlignment="1">
      <alignment horizontal="left" vertical="top"/>
    </xf>
    <xf numFmtId="3" fontId="27" fillId="55" borderId="23" xfId="0" quotePrefix="1" applyNumberFormat="1" applyFont="1" applyFill="1" applyBorder="1" applyAlignment="1">
      <alignment horizontal="right" vertical="top"/>
    </xf>
    <xf numFmtId="0" fontId="27" fillId="55" borderId="11" xfId="4" applyFont="1" applyFill="1" applyBorder="1" applyAlignment="1">
      <alignment horizontal="left" vertical="center"/>
    </xf>
    <xf numFmtId="0" fontId="27" fillId="55" borderId="25" xfId="0" applyFont="1" applyFill="1" applyBorder="1" applyAlignment="1">
      <alignment horizontal="left" vertical="top"/>
    </xf>
    <xf numFmtId="3" fontId="29" fillId="2" borderId="32" xfId="4" applyNumberFormat="1" applyFont="1" applyFill="1" applyBorder="1" applyAlignment="1">
      <alignment vertical="center" wrapText="1"/>
    </xf>
    <xf numFmtId="0" fontId="7" fillId="0" borderId="21" xfId="0" applyFont="1" applyFill="1" applyBorder="1" applyAlignment="1">
      <alignment vertical="center"/>
    </xf>
    <xf numFmtId="0" fontId="7" fillId="0" borderId="32" xfId="0" applyFont="1" applyFill="1" applyBorder="1" applyAlignment="1">
      <alignment vertical="center" wrapText="1"/>
    </xf>
    <xf numFmtId="3" fontId="31" fillId="0" borderId="13" xfId="0" applyNumberFormat="1" applyFont="1" applyFill="1" applyBorder="1" applyAlignment="1">
      <alignment vertical="top"/>
    </xf>
    <xf numFmtId="0" fontId="0" fillId="0" borderId="24" xfId="0" applyFont="1" applyBorder="1" applyAlignment="1">
      <alignment vertical="center"/>
    </xf>
    <xf numFmtId="3" fontId="0" fillId="0" borderId="0" xfId="0" applyNumberFormat="1" applyFont="1"/>
    <xf numFmtId="3" fontId="33" fillId="8" borderId="29" xfId="6" applyNumberFormat="1" applyFont="1" applyFill="1" applyBorder="1" applyAlignment="1">
      <alignment vertical="center"/>
    </xf>
    <xf numFmtId="0" fontId="0" fillId="0" borderId="0" xfId="0" applyFont="1" applyAlignment="1">
      <alignment vertical="center"/>
    </xf>
    <xf numFmtId="3" fontId="24" fillId="6" borderId="35" xfId="4" applyNumberFormat="1" applyFont="1" applyFill="1" applyBorder="1" applyAlignment="1">
      <alignment vertical="center"/>
    </xf>
    <xf numFmtId="3" fontId="25" fillId="6" borderId="30" xfId="4" applyNumberFormat="1" applyFont="1" applyFill="1" applyBorder="1" applyAlignment="1">
      <alignment vertical="center"/>
    </xf>
    <xf numFmtId="43" fontId="7" fillId="0" borderId="30" xfId="1" applyFont="1" applyFill="1" applyBorder="1" applyAlignment="1">
      <alignment horizontal="right" vertical="center"/>
    </xf>
    <xf numFmtId="43" fontId="24" fillId="6" borderId="35" xfId="1" applyFont="1" applyFill="1" applyBorder="1" applyAlignment="1">
      <alignment vertical="center"/>
    </xf>
    <xf numFmtId="3" fontId="31" fillId="0" borderId="9" xfId="4" applyNumberFormat="1" applyFont="1" applyFill="1" applyBorder="1" applyAlignment="1">
      <alignment horizontal="right" vertical="center"/>
    </xf>
    <xf numFmtId="0" fontId="27" fillId="55" borderId="19" xfId="4" applyFont="1" applyFill="1" applyBorder="1" applyAlignment="1">
      <alignment horizontal="left" vertical="center"/>
    </xf>
    <xf numFmtId="3" fontId="31" fillId="2" borderId="9" xfId="4" applyNumberFormat="1" applyFont="1" applyFill="1" applyBorder="1" applyAlignment="1">
      <alignment horizontal="right" vertical="center"/>
    </xf>
    <xf numFmtId="3" fontId="24" fillId="8" borderId="3" xfId="4" applyNumberFormat="1" applyFont="1" applyFill="1" applyBorder="1" applyAlignment="1">
      <alignment horizontal="right" vertical="center"/>
    </xf>
    <xf numFmtId="3" fontId="31" fillId="0" borderId="72" xfId="4" applyNumberFormat="1" applyFont="1" applyFill="1" applyBorder="1" applyAlignment="1">
      <alignment horizontal="right" vertical="center"/>
    </xf>
    <xf numFmtId="3" fontId="31" fillId="2" borderId="72" xfId="4" applyNumberFormat="1" applyFont="1" applyFill="1" applyBorder="1" applyAlignment="1">
      <alignment horizontal="right" vertical="center"/>
    </xf>
    <xf numFmtId="3" fontId="31" fillId="0" borderId="76" xfId="4" applyNumberFormat="1" applyFont="1" applyFill="1" applyBorder="1" applyAlignment="1">
      <alignment horizontal="right" vertical="center"/>
    </xf>
    <xf numFmtId="3" fontId="25" fillId="22" borderId="71" xfId="4" applyNumberFormat="1" applyFont="1" applyFill="1" applyBorder="1" applyAlignment="1">
      <alignment horizontal="right" vertical="center"/>
    </xf>
    <xf numFmtId="3" fontId="27" fillId="25" borderId="31" xfId="4" applyNumberFormat="1" applyFont="1" applyFill="1" applyBorder="1" applyAlignment="1">
      <alignment horizontal="right" vertical="center"/>
    </xf>
    <xf numFmtId="3" fontId="31" fillId="25" borderId="64" xfId="4" applyNumberFormat="1" applyFont="1" applyFill="1" applyBorder="1" applyAlignment="1">
      <alignment horizontal="right" vertical="center"/>
    </xf>
    <xf numFmtId="3" fontId="24" fillId="8" borderId="2" xfId="0" applyNumberFormat="1" applyFont="1" applyFill="1" applyBorder="1" applyAlignment="1">
      <alignment vertical="center"/>
    </xf>
    <xf numFmtId="3" fontId="25" fillId="6" borderId="0" xfId="4" applyNumberFormat="1" applyFont="1" applyFill="1" applyBorder="1" applyAlignment="1">
      <alignment horizontal="right" vertical="center"/>
    </xf>
    <xf numFmtId="3" fontId="27" fillId="0" borderId="0" xfId="4" applyNumberFormat="1" applyFont="1" applyFill="1" applyBorder="1" applyAlignment="1">
      <alignment horizontal="right" vertical="center"/>
    </xf>
    <xf numFmtId="3" fontId="31" fillId="0" borderId="0" xfId="4" applyNumberFormat="1" applyFont="1" applyFill="1" applyBorder="1" applyAlignment="1">
      <alignment horizontal="right" vertical="center"/>
    </xf>
    <xf numFmtId="3" fontId="33" fillId="0" borderId="0" xfId="6" applyNumberFormat="1" applyFont="1" applyFill="1" applyBorder="1" applyAlignment="1">
      <alignment vertical="center"/>
    </xf>
    <xf numFmtId="3" fontId="25" fillId="8" borderId="10" xfId="4" applyNumberFormat="1" applyFont="1" applyFill="1" applyBorder="1" applyAlignment="1">
      <alignment horizontal="right" vertical="center"/>
    </xf>
    <xf numFmtId="3" fontId="25" fillId="6" borderId="8" xfId="4" applyNumberFormat="1" applyFont="1" applyFill="1" applyBorder="1" applyAlignment="1">
      <alignment horizontal="right" vertical="center"/>
    </xf>
    <xf numFmtId="3" fontId="7" fillId="0" borderId="64" xfId="4" applyNumberFormat="1" applyFont="1" applyFill="1" applyBorder="1" applyAlignment="1">
      <alignment horizontal="right" vertical="center"/>
    </xf>
    <xf numFmtId="0" fontId="23" fillId="0" borderId="12" xfId="6" applyFont="1" applyBorder="1" applyAlignment="1">
      <alignment horizontal="center" vertical="center"/>
    </xf>
    <xf numFmtId="3" fontId="31" fillId="0" borderId="65" xfId="4" applyNumberFormat="1" applyFont="1" applyFill="1" applyBorder="1" applyAlignment="1">
      <alignment vertical="center"/>
    </xf>
    <xf numFmtId="3" fontId="32" fillId="8" borderId="72" xfId="6" applyNumberFormat="1" applyFont="1" applyFill="1" applyBorder="1" applyAlignment="1">
      <alignment vertical="center"/>
    </xf>
    <xf numFmtId="0" fontId="22" fillId="0" borderId="70" xfId="6" applyFont="1" applyBorder="1" applyAlignment="1">
      <alignment horizontal="center" vertical="center"/>
    </xf>
    <xf numFmtId="0" fontId="22" fillId="0" borderId="17" xfId="6" applyFont="1" applyBorder="1" applyAlignment="1">
      <alignment horizontal="center" vertical="center"/>
    </xf>
    <xf numFmtId="0" fontId="22" fillId="19" borderId="70" xfId="0" applyFont="1" applyFill="1" applyBorder="1" applyAlignment="1">
      <alignment horizontal="center" vertical="center" wrapText="1"/>
    </xf>
    <xf numFmtId="0" fontId="21" fillId="0" borderId="45" xfId="4" applyFont="1" applyBorder="1" applyAlignment="1">
      <alignment horizontal="center" vertical="center" wrapText="1"/>
    </xf>
    <xf numFmtId="0" fontId="19" fillId="2" borderId="7" xfId="0" applyFont="1" applyFill="1" applyBorder="1" applyAlignment="1">
      <alignment vertical="center" wrapText="1"/>
    </xf>
    <xf numFmtId="0" fontId="19" fillId="2" borderId="8" xfId="0" applyFont="1" applyFill="1" applyBorder="1" applyAlignment="1">
      <alignment vertical="center" wrapText="1"/>
    </xf>
    <xf numFmtId="3" fontId="8" fillId="0" borderId="29" xfId="0" applyNumberFormat="1" applyFont="1" applyFill="1" applyBorder="1" applyAlignment="1">
      <alignment vertical="center" wrapText="1"/>
    </xf>
    <xf numFmtId="3" fontId="8" fillId="2" borderId="9" xfId="0" applyNumberFormat="1" applyFont="1" applyFill="1" applyBorder="1" applyAlignment="1">
      <alignment vertical="center" wrapText="1"/>
    </xf>
    <xf numFmtId="3" fontId="7" fillId="13" borderId="47" xfId="4" applyNumberFormat="1" applyFont="1" applyFill="1" applyBorder="1" applyAlignment="1">
      <alignment horizontal="right" vertical="center"/>
    </xf>
    <xf numFmtId="3" fontId="7" fillId="13" borderId="72" xfId="4" applyNumberFormat="1" applyFont="1" applyFill="1" applyBorder="1" applyAlignment="1">
      <alignment horizontal="right" vertical="center"/>
    </xf>
    <xf numFmtId="3" fontId="8" fillId="6" borderId="79" xfId="0" applyNumberFormat="1" applyFont="1" applyFill="1" applyBorder="1"/>
    <xf numFmtId="3" fontId="8" fillId="6" borderId="17" xfId="0" applyNumberFormat="1" applyFont="1" applyFill="1" applyBorder="1"/>
    <xf numFmtId="3" fontId="8" fillId="6" borderId="19" xfId="0" applyNumberFormat="1" applyFont="1" applyFill="1" applyBorder="1"/>
    <xf numFmtId="3" fontId="6" fillId="6" borderId="77" xfId="0" applyNumberFormat="1" applyFont="1" applyFill="1" applyBorder="1"/>
    <xf numFmtId="0" fontId="11" fillId="0" borderId="0" xfId="0" applyFont="1" applyFill="1" applyAlignment="1">
      <alignment vertical="center"/>
    </xf>
    <xf numFmtId="3" fontId="24" fillId="8" borderId="7" xfId="4" applyNumberFormat="1" applyFont="1" applyFill="1" applyBorder="1" applyAlignment="1">
      <alignment horizontal="right" vertical="center"/>
    </xf>
    <xf numFmtId="3" fontId="24" fillId="23" borderId="7" xfId="4" applyNumberFormat="1" applyFont="1" applyFill="1" applyBorder="1" applyAlignment="1">
      <alignment horizontal="right" vertical="center"/>
    </xf>
    <xf numFmtId="3" fontId="22" fillId="0" borderId="0" xfId="0" applyNumberFormat="1" applyFont="1" applyAlignment="1">
      <alignment vertical="center"/>
    </xf>
    <xf numFmtId="0" fontId="22" fillId="0" borderId="0" xfId="0" applyFont="1" applyAlignment="1">
      <alignment vertical="center"/>
    </xf>
    <xf numFmtId="0" fontId="0" fillId="0" borderId="0" xfId="0" applyFont="1" applyFill="1" applyBorder="1"/>
    <xf numFmtId="0" fontId="7" fillId="8" borderId="17" xfId="0" applyFont="1" applyFill="1" applyBorder="1" applyAlignment="1">
      <alignment vertical="top"/>
    </xf>
    <xf numFmtId="0" fontId="24" fillId="8" borderId="6" xfId="0" applyFont="1" applyFill="1" applyBorder="1" applyAlignment="1">
      <alignment horizontal="center" vertical="center" wrapText="1"/>
    </xf>
    <xf numFmtId="3" fontId="8" fillId="6" borderId="63" xfId="0" applyNumberFormat="1" applyFont="1" applyFill="1" applyBorder="1"/>
    <xf numFmtId="0" fontId="32" fillId="0" borderId="20" xfId="0" applyFont="1" applyBorder="1" applyAlignment="1">
      <alignment vertical="center" wrapText="1"/>
    </xf>
    <xf numFmtId="0" fontId="7" fillId="27" borderId="32" xfId="4" applyFont="1" applyFill="1" applyBorder="1" applyAlignment="1">
      <alignment vertical="center" wrapText="1"/>
    </xf>
    <xf numFmtId="0" fontId="7" fillId="13" borderId="21" xfId="4" applyFont="1" applyFill="1" applyBorder="1" applyAlignment="1">
      <alignment vertical="center"/>
    </xf>
    <xf numFmtId="0" fontId="0" fillId="2" borderId="0" xfId="0" applyFont="1" applyFill="1" applyAlignment="1">
      <alignment vertical="center"/>
    </xf>
    <xf numFmtId="0" fontId="0" fillId="2" borderId="0" xfId="0" applyFont="1" applyFill="1" applyAlignment="1">
      <alignment horizontal="center" vertical="center"/>
    </xf>
    <xf numFmtId="43" fontId="33" fillId="0" borderId="29" xfId="1" applyFont="1" applyFill="1" applyBorder="1" applyAlignment="1">
      <alignment vertical="center"/>
    </xf>
    <xf numFmtId="43" fontId="7" fillId="0" borderId="63" xfId="1" applyFont="1" applyFill="1" applyBorder="1" applyAlignment="1">
      <alignment horizontal="right" vertical="center"/>
    </xf>
    <xf numFmtId="43" fontId="33" fillId="0" borderId="9" xfId="1" applyFont="1" applyFill="1" applyBorder="1" applyAlignment="1">
      <alignment vertical="center"/>
    </xf>
    <xf numFmtId="43" fontId="32" fillId="0" borderId="30" xfId="1" applyFont="1" applyFill="1" applyBorder="1" applyAlignment="1">
      <alignment vertical="center"/>
    </xf>
    <xf numFmtId="3" fontId="7" fillId="0" borderId="47" xfId="4" applyNumberFormat="1" applyFont="1" applyFill="1" applyBorder="1" applyAlignment="1">
      <alignment vertical="center"/>
    </xf>
    <xf numFmtId="43" fontId="7" fillId="0" borderId="47" xfId="1" applyFont="1" applyFill="1" applyBorder="1" applyAlignment="1">
      <alignment vertical="center"/>
    </xf>
    <xf numFmtId="0" fontId="24" fillId="8" borderId="85" xfId="0" applyFont="1" applyFill="1" applyBorder="1" applyAlignment="1">
      <alignment vertical="center" wrapText="1"/>
    </xf>
    <xf numFmtId="0" fontId="7" fillId="8" borderId="0" xfId="0" applyFont="1" applyFill="1" applyBorder="1" applyAlignment="1">
      <alignment vertical="top"/>
    </xf>
    <xf numFmtId="0" fontId="25" fillId="6" borderId="34" xfId="4" applyFont="1" applyFill="1" applyBorder="1" applyAlignment="1">
      <alignment vertical="center"/>
    </xf>
    <xf numFmtId="0" fontId="25" fillId="6" borderId="32" xfId="4" applyFont="1" applyFill="1" applyBorder="1" applyAlignment="1">
      <alignment vertical="center"/>
    </xf>
    <xf numFmtId="0" fontId="25" fillId="6" borderId="84" xfId="4" applyFont="1" applyFill="1" applyBorder="1" applyAlignment="1">
      <alignment vertical="center"/>
    </xf>
    <xf numFmtId="0" fontId="25" fillId="6" borderId="30" xfId="4" applyFont="1" applyFill="1" applyBorder="1" applyAlignment="1">
      <alignment vertical="center"/>
    </xf>
    <xf numFmtId="0" fontId="25" fillId="6" borderId="31" xfId="4" applyFont="1" applyFill="1" applyBorder="1" applyAlignment="1">
      <alignment vertical="center"/>
    </xf>
    <xf numFmtId="3" fontId="33" fillId="32" borderId="30" xfId="6" applyNumberFormat="1" applyFont="1" applyFill="1" applyBorder="1" applyAlignment="1">
      <alignment horizontal="right" vertical="center"/>
    </xf>
    <xf numFmtId="3" fontId="33" fillId="32" borderId="30" xfId="6" applyNumberFormat="1" applyFont="1" applyFill="1" applyBorder="1" applyAlignment="1">
      <alignment vertical="center"/>
    </xf>
    <xf numFmtId="3" fontId="27" fillId="32" borderId="30" xfId="4" applyNumberFormat="1" applyFont="1" applyFill="1" applyBorder="1" applyAlignment="1">
      <alignment horizontal="right" vertical="center"/>
    </xf>
    <xf numFmtId="3" fontId="27" fillId="32" borderId="65" xfId="4" applyNumberFormat="1" applyFont="1" applyFill="1" applyBorder="1" applyAlignment="1">
      <alignment horizontal="right" vertical="center"/>
    </xf>
    <xf numFmtId="0" fontId="0" fillId="0" borderId="84" xfId="0" applyFont="1" applyBorder="1" applyAlignment="1">
      <alignment vertical="center"/>
    </xf>
    <xf numFmtId="3" fontId="32" fillId="32" borderId="30" xfId="6" applyNumberFormat="1" applyFont="1" applyFill="1" applyBorder="1" applyAlignment="1">
      <alignment horizontal="right" vertical="center"/>
    </xf>
    <xf numFmtId="3" fontId="7" fillId="32" borderId="30" xfId="4" applyNumberFormat="1" applyFont="1" applyFill="1" applyBorder="1" applyAlignment="1">
      <alignment horizontal="right" vertical="center"/>
    </xf>
    <xf numFmtId="3" fontId="7" fillId="23" borderId="30" xfId="4" applyNumberFormat="1" applyFont="1" applyFill="1" applyBorder="1" applyAlignment="1">
      <alignment vertical="center"/>
    </xf>
    <xf numFmtId="0" fontId="25" fillId="6" borderId="85" xfId="4" applyFont="1" applyFill="1" applyBorder="1" applyAlignment="1">
      <alignment horizontal="left" vertical="center"/>
    </xf>
    <xf numFmtId="3" fontId="32" fillId="0" borderId="47" xfId="6" applyNumberFormat="1" applyFont="1" applyFill="1" applyBorder="1" applyAlignment="1">
      <alignment horizontal="right" vertical="center"/>
    </xf>
    <xf numFmtId="0" fontId="64" fillId="0" borderId="80" xfId="4" applyFont="1" applyFill="1" applyBorder="1" applyAlignment="1">
      <alignment horizontal="center" vertical="center"/>
    </xf>
    <xf numFmtId="0" fontId="0" fillId="0" borderId="0" xfId="0" applyFont="1" applyBorder="1" applyAlignment="1">
      <alignment vertical="center"/>
    </xf>
    <xf numFmtId="0" fontId="25" fillId="8" borderId="19" xfId="4" applyFont="1" applyFill="1" applyBorder="1" applyAlignment="1">
      <alignment vertical="center" wrapText="1"/>
    </xf>
    <xf numFmtId="3" fontId="32" fillId="0" borderId="74" xfId="6" applyNumberFormat="1" applyFont="1" applyFill="1" applyBorder="1" applyAlignment="1">
      <alignment vertical="center"/>
    </xf>
    <xf numFmtId="0" fontId="25" fillId="8" borderId="19" xfId="4" applyFont="1" applyFill="1" applyBorder="1" applyAlignment="1">
      <alignment horizontal="left" vertical="center" wrapText="1"/>
    </xf>
    <xf numFmtId="43" fontId="25" fillId="6" borderId="29" xfId="1" applyFont="1" applyFill="1" applyBorder="1" applyAlignment="1">
      <alignment horizontal="right" vertical="center"/>
    </xf>
    <xf numFmtId="43" fontId="27" fillId="0" borderId="29" xfId="1" applyFont="1" applyFill="1" applyBorder="1" applyAlignment="1">
      <alignment horizontal="right" vertical="center"/>
    </xf>
    <xf numFmtId="43" fontId="31" fillId="0" borderId="29" xfId="1" applyFont="1" applyFill="1" applyBorder="1" applyAlignment="1">
      <alignment horizontal="right" vertical="center"/>
    </xf>
    <xf numFmtId="43" fontId="25" fillId="6" borderId="30" xfId="1" applyFont="1" applyFill="1" applyBorder="1" applyAlignment="1">
      <alignment horizontal="right" vertical="center"/>
    </xf>
    <xf numFmtId="3" fontId="31" fillId="0" borderId="29" xfId="4" applyNumberFormat="1" applyFont="1" applyFill="1" applyBorder="1" applyAlignment="1">
      <alignment vertical="center"/>
    </xf>
    <xf numFmtId="43" fontId="33" fillId="0" borderId="30" xfId="1" applyFont="1" applyFill="1" applyBorder="1" applyAlignment="1">
      <alignment vertical="center"/>
    </xf>
    <xf numFmtId="43" fontId="7" fillId="0" borderId="47" xfId="1" applyFont="1" applyFill="1" applyBorder="1" applyAlignment="1">
      <alignment horizontal="right" vertical="center"/>
    </xf>
    <xf numFmtId="43" fontId="27" fillId="0" borderId="30" xfId="1" applyFont="1" applyFill="1" applyBorder="1" applyAlignment="1">
      <alignment horizontal="right" vertical="center"/>
    </xf>
    <xf numFmtId="3" fontId="24" fillId="8" borderId="0" xfId="4" applyNumberFormat="1" applyFont="1" applyFill="1" applyBorder="1" applyAlignment="1">
      <alignment horizontal="right" vertical="center"/>
    </xf>
    <xf numFmtId="3" fontId="24" fillId="23" borderId="0" xfId="4" applyNumberFormat="1" applyFont="1" applyFill="1" applyBorder="1" applyAlignment="1">
      <alignment horizontal="right" vertical="center"/>
    </xf>
    <xf numFmtId="0" fontId="0" fillId="0" borderId="52" xfId="0" applyFont="1" applyBorder="1" applyAlignment="1">
      <alignment horizontal="center" vertical="center"/>
    </xf>
    <xf numFmtId="3" fontId="25" fillId="26" borderId="51" xfId="4" applyNumberFormat="1" applyFont="1" applyFill="1" applyBorder="1" applyAlignment="1">
      <alignment horizontal="center" vertical="center"/>
    </xf>
    <xf numFmtId="0" fontId="22" fillId="0" borderId="40" xfId="0" applyFont="1" applyBorder="1" applyAlignment="1">
      <alignment horizontal="center" vertical="center" wrapText="1"/>
    </xf>
    <xf numFmtId="3" fontId="7" fillId="0" borderId="47" xfId="0" applyNumberFormat="1" applyFont="1" applyFill="1" applyBorder="1" applyAlignment="1">
      <alignment horizontal="right" vertical="center"/>
    </xf>
    <xf numFmtId="43" fontId="23" fillId="6" borderId="29" xfId="1" applyFont="1" applyFill="1" applyBorder="1" applyAlignment="1">
      <alignment horizontal="right" vertical="center"/>
    </xf>
    <xf numFmtId="43" fontId="33" fillId="0" borderId="29" xfId="1" applyFont="1" applyFill="1" applyBorder="1" applyAlignment="1">
      <alignment horizontal="right" vertical="center"/>
    </xf>
    <xf numFmtId="3" fontId="31" fillId="0" borderId="64" xfId="4" applyNumberFormat="1" applyFont="1" applyFill="1" applyBorder="1" applyAlignment="1">
      <alignment horizontal="right" vertical="center"/>
    </xf>
    <xf numFmtId="3" fontId="31" fillId="2" borderId="65" xfId="4" applyNumberFormat="1" applyFont="1" applyFill="1" applyBorder="1" applyAlignment="1">
      <alignment horizontal="right" vertical="center"/>
    </xf>
    <xf numFmtId="43" fontId="31" fillId="0" borderId="65" xfId="1" applyFont="1" applyFill="1" applyBorder="1" applyAlignment="1">
      <alignment horizontal="right" vertical="center"/>
    </xf>
    <xf numFmtId="43" fontId="31" fillId="0" borderId="30" xfId="1" applyFont="1" applyFill="1" applyBorder="1" applyAlignment="1">
      <alignment horizontal="right" vertical="center"/>
    </xf>
    <xf numFmtId="43" fontId="27" fillId="0" borderId="71" xfId="1" applyFont="1" applyFill="1" applyBorder="1" applyAlignment="1">
      <alignment horizontal="right" vertical="center"/>
    </xf>
    <xf numFmtId="43" fontId="31" fillId="0" borderId="47" xfId="1" applyFont="1" applyFill="1" applyBorder="1" applyAlignment="1">
      <alignment horizontal="right" vertical="center"/>
    </xf>
    <xf numFmtId="43" fontId="31" fillId="0" borderId="75" xfId="1" applyFont="1" applyFill="1" applyBorder="1" applyAlignment="1">
      <alignment horizontal="right" vertical="center"/>
    </xf>
    <xf numFmtId="3" fontId="27" fillId="25" borderId="10" xfId="4" applyNumberFormat="1" applyFont="1" applyFill="1" applyBorder="1" applyAlignment="1">
      <alignment horizontal="right" vertical="center"/>
    </xf>
    <xf numFmtId="0" fontId="7" fillId="0" borderId="25" xfId="0" applyFont="1" applyFill="1" applyBorder="1" applyAlignment="1">
      <alignment horizontal="left" vertical="center"/>
    </xf>
    <xf numFmtId="3" fontId="33" fillId="0" borderId="13" xfId="6" applyNumberFormat="1" applyFont="1" applyFill="1" applyBorder="1" applyAlignment="1">
      <alignment vertical="center"/>
    </xf>
    <xf numFmtId="3" fontId="33" fillId="0" borderId="0" xfId="6" applyNumberFormat="1" applyFont="1" applyFill="1" applyBorder="1" applyAlignment="1">
      <alignment horizontal="right" vertical="center"/>
    </xf>
    <xf numFmtId="3" fontId="23" fillId="6" borderId="0" xfId="6" applyNumberFormat="1" applyFont="1" applyFill="1" applyBorder="1" applyAlignment="1">
      <alignment horizontal="right" vertical="center"/>
    </xf>
    <xf numFmtId="3" fontId="7" fillId="13" borderId="79" xfId="4" applyNumberFormat="1" applyFont="1" applyFill="1" applyBorder="1" applyAlignment="1">
      <alignment horizontal="right" vertical="center"/>
    </xf>
    <xf numFmtId="3" fontId="7" fillId="13" borderId="18" xfId="4" applyNumberFormat="1" applyFont="1" applyFill="1" applyBorder="1" applyAlignment="1">
      <alignment horizontal="right" vertical="center"/>
    </xf>
    <xf numFmtId="3" fontId="7" fillId="0" borderId="71" xfId="4" applyNumberFormat="1" applyFont="1" applyFill="1" applyBorder="1" applyAlignment="1">
      <alignment horizontal="right" vertical="center"/>
    </xf>
    <xf numFmtId="3" fontId="24" fillId="6" borderId="27" xfId="4" applyNumberFormat="1" applyFont="1" applyFill="1" applyBorder="1" applyAlignment="1"/>
    <xf numFmtId="0" fontId="25" fillId="32" borderId="12" xfId="4" applyFont="1" applyFill="1" applyBorder="1" applyAlignment="1">
      <alignment horizontal="center" vertical="center" wrapText="1"/>
    </xf>
    <xf numFmtId="3" fontId="24" fillId="23" borderId="70" xfId="4" applyNumberFormat="1" applyFont="1" applyFill="1" applyBorder="1" applyAlignment="1">
      <alignment horizontal="right" vertical="center"/>
    </xf>
    <xf numFmtId="3" fontId="41" fillId="0" borderId="42" xfId="0" applyNumberFormat="1" applyFont="1" applyFill="1" applyBorder="1" applyAlignment="1">
      <alignment horizontal="center" vertical="center" wrapText="1"/>
    </xf>
    <xf numFmtId="3" fontId="33" fillId="25" borderId="10" xfId="6" applyNumberFormat="1" applyFont="1" applyFill="1" applyBorder="1" applyAlignment="1">
      <alignment vertical="center"/>
    </xf>
    <xf numFmtId="3" fontId="31" fillId="25" borderId="10" xfId="4" applyNumberFormat="1" applyFont="1" applyFill="1" applyBorder="1" applyAlignment="1">
      <alignment horizontal="right" vertical="center"/>
    </xf>
    <xf numFmtId="3" fontId="31" fillId="25" borderId="8" xfId="4" applyNumberFormat="1" applyFont="1" applyFill="1" applyBorder="1" applyAlignment="1">
      <alignment horizontal="right" vertical="center"/>
    </xf>
    <xf numFmtId="3" fontId="25" fillId="23" borderId="2" xfId="4" applyNumberFormat="1" applyFont="1" applyFill="1" applyBorder="1" applyAlignment="1">
      <alignment horizontal="right" vertical="center"/>
    </xf>
    <xf numFmtId="0" fontId="25" fillId="6" borderId="29" xfId="4" applyFont="1" applyFill="1" applyBorder="1" applyAlignment="1">
      <alignment vertical="center"/>
    </xf>
    <xf numFmtId="43" fontId="31" fillId="0" borderId="72" xfId="1" applyFont="1" applyFill="1" applyBorder="1" applyAlignment="1">
      <alignment horizontal="right" vertical="center"/>
    </xf>
    <xf numFmtId="0" fontId="19" fillId="2" borderId="2" xfId="0" applyFont="1" applyFill="1" applyBorder="1" applyAlignment="1">
      <alignment vertical="center" wrapText="1"/>
    </xf>
    <xf numFmtId="0" fontId="19" fillId="2" borderId="3" xfId="0" applyFont="1" applyFill="1" applyBorder="1" applyAlignment="1">
      <alignment vertical="center" wrapText="1"/>
    </xf>
    <xf numFmtId="3" fontId="27" fillId="0" borderId="91" xfId="4" applyNumberFormat="1" applyFont="1" applyFill="1" applyBorder="1" applyAlignment="1">
      <alignment horizontal="right" vertical="center"/>
    </xf>
    <xf numFmtId="3" fontId="27" fillId="0" borderId="93" xfId="4" applyNumberFormat="1" applyFont="1" applyFill="1" applyBorder="1" applyAlignment="1">
      <alignment horizontal="right" vertical="center"/>
    </xf>
    <xf numFmtId="43" fontId="33" fillId="0" borderId="93" xfId="1" applyFont="1" applyFill="1" applyBorder="1" applyAlignment="1">
      <alignment horizontal="right" vertical="center"/>
    </xf>
    <xf numFmtId="3" fontId="27" fillId="25" borderId="93" xfId="4" applyNumberFormat="1" applyFont="1" applyFill="1" applyBorder="1" applyAlignment="1">
      <alignment horizontal="right" vertical="center"/>
    </xf>
    <xf numFmtId="3" fontId="31" fillId="0" borderId="91" xfId="4" applyNumberFormat="1" applyFont="1" applyFill="1" applyBorder="1" applyAlignment="1">
      <alignment horizontal="right" vertical="center"/>
    </xf>
    <xf numFmtId="3" fontId="7" fillId="0" borderId="91" xfId="4" applyNumberFormat="1" applyFont="1" applyFill="1" applyBorder="1" applyAlignment="1">
      <alignment horizontal="right" vertical="center"/>
    </xf>
    <xf numFmtId="43" fontId="31" fillId="0" borderId="95" xfId="1" applyFont="1" applyFill="1" applyBorder="1" applyAlignment="1">
      <alignment horizontal="right" vertical="center"/>
    </xf>
    <xf numFmtId="3" fontId="7" fillId="0" borderId="96" xfId="4" applyNumberFormat="1" applyFont="1" applyFill="1" applyBorder="1" applyAlignment="1">
      <alignment horizontal="right" vertical="center"/>
    </xf>
    <xf numFmtId="43" fontId="31" fillId="0" borderId="96" xfId="1" applyFont="1" applyFill="1" applyBorder="1" applyAlignment="1">
      <alignment horizontal="right" vertical="center"/>
    </xf>
    <xf numFmtId="43" fontId="7" fillId="0" borderId="96" xfId="1" applyFont="1" applyFill="1" applyBorder="1" applyAlignment="1">
      <alignment horizontal="right" vertical="center"/>
    </xf>
    <xf numFmtId="43" fontId="27" fillId="0" borderId="93" xfId="1" applyFont="1" applyFill="1" applyBorder="1" applyAlignment="1">
      <alignment horizontal="right" vertical="center"/>
    </xf>
    <xf numFmtId="3" fontId="31" fillId="0" borderId="93" xfId="4" applyNumberFormat="1" applyFont="1" applyFill="1" applyBorder="1" applyAlignment="1">
      <alignment horizontal="right" vertical="center"/>
    </xf>
    <xf numFmtId="3" fontId="32" fillId="0" borderId="93" xfId="6" applyNumberFormat="1" applyFont="1" applyFill="1" applyBorder="1" applyAlignment="1">
      <alignment vertical="center"/>
    </xf>
    <xf numFmtId="3" fontId="25" fillId="22" borderId="91" xfId="4" applyNumberFormat="1" applyFont="1" applyFill="1" applyBorder="1" applyAlignment="1">
      <alignment horizontal="right" vertical="center"/>
    </xf>
    <xf numFmtId="3" fontId="7" fillId="0" borderId="95" xfId="4" applyNumberFormat="1" applyFont="1" applyFill="1" applyBorder="1" applyAlignment="1">
      <alignment horizontal="right" vertical="center"/>
    </xf>
    <xf numFmtId="3" fontId="33" fillId="0" borderId="93" xfId="6" applyNumberFormat="1" applyFont="1" applyFill="1" applyBorder="1" applyAlignment="1">
      <alignment vertical="center"/>
    </xf>
    <xf numFmtId="3" fontId="33" fillId="0" borderId="91" xfId="6" applyNumberFormat="1" applyFont="1" applyFill="1" applyBorder="1" applyAlignment="1">
      <alignment vertical="center"/>
    </xf>
    <xf numFmtId="0" fontId="25" fillId="6" borderId="94" xfId="4" applyFont="1" applyFill="1" applyBorder="1" applyAlignment="1">
      <alignment horizontal="left" vertical="center"/>
    </xf>
    <xf numFmtId="3" fontId="27" fillId="2" borderId="94" xfId="4" applyNumberFormat="1" applyFont="1" applyFill="1" applyBorder="1" applyAlignment="1">
      <alignment vertical="center" wrapText="1"/>
    </xf>
    <xf numFmtId="3" fontId="27" fillId="0" borderId="96" xfId="4" applyNumberFormat="1" applyFont="1" applyFill="1" applyBorder="1" applyAlignment="1">
      <alignment horizontal="right" vertical="center"/>
    </xf>
    <xf numFmtId="3" fontId="27" fillId="0" borderId="95" xfId="4" applyNumberFormat="1" applyFont="1" applyFill="1" applyBorder="1" applyAlignment="1">
      <alignment horizontal="right" vertical="center"/>
    </xf>
    <xf numFmtId="0" fontId="19" fillId="0" borderId="0" xfId="0" applyFont="1" applyBorder="1" applyAlignment="1">
      <alignment vertical="top"/>
    </xf>
    <xf numFmtId="0" fontId="0" fillId="0" borderId="0" xfId="0" applyFont="1" applyBorder="1" applyAlignment="1">
      <alignment vertical="top"/>
    </xf>
    <xf numFmtId="0" fontId="0" fillId="57" borderId="0" xfId="0" applyFont="1" applyFill="1" applyBorder="1" applyAlignment="1">
      <alignment vertical="top"/>
    </xf>
    <xf numFmtId="0" fontId="0" fillId="59" borderId="0" xfId="0" applyFont="1" applyFill="1" applyBorder="1" applyAlignment="1">
      <alignment vertical="top"/>
    </xf>
    <xf numFmtId="0" fontId="28" fillId="0" borderId="0" xfId="0" applyFont="1" applyFill="1" applyBorder="1" applyAlignment="1"/>
    <xf numFmtId="0" fontId="37" fillId="32" borderId="0" xfId="0" applyFont="1" applyFill="1" applyBorder="1" applyAlignment="1">
      <alignment vertical="top"/>
    </xf>
    <xf numFmtId="3" fontId="22" fillId="59" borderId="0" xfId="0" applyNumberFormat="1" applyFont="1" applyFill="1" applyBorder="1" applyAlignment="1">
      <alignment vertical="top"/>
    </xf>
    <xf numFmtId="3" fontId="0" fillId="59" borderId="0" xfId="0" applyNumberFormat="1" applyFont="1" applyFill="1" applyBorder="1" applyAlignment="1">
      <alignment vertical="top"/>
    </xf>
    <xf numFmtId="3" fontId="0" fillId="0" borderId="0" xfId="0" applyNumberFormat="1" applyFont="1" applyBorder="1" applyAlignment="1">
      <alignment vertical="top"/>
    </xf>
    <xf numFmtId="0" fontId="28" fillId="0" borderId="0" xfId="0" applyFont="1" applyFill="1" applyBorder="1" applyAlignment="1">
      <alignment horizontal="left"/>
    </xf>
    <xf numFmtId="0" fontId="11" fillId="0" borderId="0" xfId="0" applyFont="1" applyFill="1" applyBorder="1" applyAlignment="1"/>
    <xf numFmtId="0" fontId="13" fillId="0" borderId="0" xfId="0" applyFont="1" applyFill="1" applyBorder="1" applyAlignment="1">
      <alignment horizontal="left"/>
    </xf>
    <xf numFmtId="0" fontId="34" fillId="0" borderId="0" xfId="0" applyFont="1" applyFill="1" applyBorder="1" applyAlignment="1">
      <alignment vertical="top"/>
    </xf>
    <xf numFmtId="0" fontId="17" fillId="2" borderId="3" xfId="0" applyFont="1" applyFill="1" applyBorder="1" applyAlignment="1">
      <alignment vertical="center" wrapText="1"/>
    </xf>
    <xf numFmtId="0" fontId="21" fillId="0" borderId="0" xfId="0" applyFont="1" applyFill="1" applyBorder="1" applyAlignment="1">
      <alignment vertical="top"/>
    </xf>
    <xf numFmtId="0" fontId="21" fillId="0" borderId="0" xfId="0" applyFont="1" applyBorder="1" applyAlignment="1">
      <alignment vertical="top"/>
    </xf>
    <xf numFmtId="0" fontId="17" fillId="2" borderId="8" xfId="0" applyFont="1" applyFill="1" applyBorder="1" applyAlignment="1">
      <alignment vertical="center" wrapText="1"/>
    </xf>
    <xf numFmtId="0" fontId="25" fillId="0" borderId="23" xfId="4" applyFont="1" applyBorder="1" applyAlignment="1">
      <alignment horizontal="center" vertical="center" wrapText="1"/>
    </xf>
    <xf numFmtId="0" fontId="21" fillId="0" borderId="52" xfId="0" applyFont="1" applyBorder="1" applyAlignment="1">
      <alignment horizontal="center" vertical="top"/>
    </xf>
    <xf numFmtId="0" fontId="21" fillId="0" borderId="51" xfId="0" quotePrefix="1" applyFont="1" applyBorder="1" applyAlignment="1">
      <alignment horizontal="center" vertical="top"/>
    </xf>
    <xf numFmtId="0" fontId="21" fillId="26" borderId="78" xfId="0" quotePrefix="1" applyFont="1" applyFill="1" applyBorder="1" applyAlignment="1">
      <alignment horizontal="center" vertical="top"/>
    </xf>
    <xf numFmtId="3" fontId="0" fillId="0" borderId="0" xfId="0" applyNumberFormat="1" applyFont="1" applyBorder="1"/>
    <xf numFmtId="3" fontId="24" fillId="58" borderId="70" xfId="0" applyNumberFormat="1" applyFont="1" applyFill="1" applyBorder="1" applyAlignment="1">
      <alignment vertical="center"/>
    </xf>
    <xf numFmtId="3" fontId="24" fillId="60" borderId="70" xfId="0" applyNumberFormat="1" applyFont="1" applyFill="1" applyBorder="1" applyAlignment="1">
      <alignment vertical="center"/>
    </xf>
    <xf numFmtId="3" fontId="60" fillId="0" borderId="0" xfId="0" applyNumberFormat="1" applyFont="1" applyBorder="1" applyAlignment="1">
      <alignment vertical="top"/>
    </xf>
    <xf numFmtId="3" fontId="17" fillId="0" borderId="0" xfId="0" applyNumberFormat="1" applyFont="1" applyBorder="1" applyAlignment="1">
      <alignment vertical="top"/>
    </xf>
    <xf numFmtId="0" fontId="17" fillId="0" borderId="0" xfId="0" applyFont="1" applyBorder="1" applyAlignment="1">
      <alignment vertical="top"/>
    </xf>
    <xf numFmtId="3" fontId="29" fillId="8" borderId="91" xfId="0" applyNumberFormat="1" applyFont="1" applyFill="1" applyBorder="1" applyAlignment="1">
      <alignment vertical="center"/>
    </xf>
    <xf numFmtId="3" fontId="29" fillId="23" borderId="91" xfId="0" applyNumberFormat="1" applyFont="1" applyFill="1" applyBorder="1" applyAlignment="1">
      <alignment vertical="center"/>
    </xf>
    <xf numFmtId="3" fontId="18" fillId="8" borderId="43" xfId="0" applyNumberFormat="1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vertical="center"/>
    </xf>
    <xf numFmtId="0" fontId="18" fillId="33" borderId="0" xfId="0" applyFont="1" applyFill="1" applyBorder="1" applyAlignment="1">
      <alignment vertical="center"/>
    </xf>
    <xf numFmtId="3" fontId="7" fillId="28" borderId="91" xfId="0" applyNumberFormat="1" applyFont="1" applyFill="1" applyBorder="1" applyAlignment="1">
      <alignment vertical="center"/>
    </xf>
    <xf numFmtId="3" fontId="7" fillId="23" borderId="91" xfId="0" applyNumberFormat="1" applyFont="1" applyFill="1" applyBorder="1" applyAlignment="1">
      <alignment vertical="center"/>
    </xf>
    <xf numFmtId="0" fontId="60" fillId="0" borderId="0" xfId="0" applyFont="1" applyBorder="1" applyAlignment="1">
      <alignment vertical="top"/>
    </xf>
    <xf numFmtId="0" fontId="7" fillId="8" borderId="36" xfId="4" applyFont="1" applyFill="1" applyBorder="1" applyAlignment="1">
      <alignment horizontal="left" vertical="center"/>
    </xf>
    <xf numFmtId="3" fontId="7" fillId="28" borderId="28" xfId="0" applyNumberFormat="1" applyFont="1" applyFill="1" applyBorder="1" applyAlignment="1">
      <alignment vertical="center" wrapText="1"/>
    </xf>
    <xf numFmtId="3" fontId="7" fillId="58" borderId="91" xfId="0" applyNumberFormat="1" applyFont="1" applyFill="1" applyBorder="1" applyAlignment="1">
      <alignment vertical="center"/>
    </xf>
    <xf numFmtId="3" fontId="7" fillId="60" borderId="91" xfId="0" applyNumberFormat="1" applyFont="1" applyFill="1" applyBorder="1" applyAlignment="1">
      <alignment vertical="center"/>
    </xf>
    <xf numFmtId="3" fontId="7" fillId="28" borderId="9" xfId="0" applyNumberFormat="1" applyFont="1" applyFill="1" applyBorder="1" applyAlignment="1">
      <alignment vertical="center"/>
    </xf>
    <xf numFmtId="43" fontId="7" fillId="23" borderId="91" xfId="1" applyFont="1" applyFill="1" applyBorder="1" applyAlignment="1">
      <alignment vertical="center"/>
    </xf>
    <xf numFmtId="3" fontId="29" fillId="57" borderId="9" xfId="0" applyNumberFormat="1" applyFont="1" applyFill="1" applyBorder="1" applyAlignment="1">
      <alignment vertical="center"/>
    </xf>
    <xf numFmtId="3" fontId="29" fillId="59" borderId="9" xfId="0" applyNumberFormat="1" applyFont="1" applyFill="1" applyBorder="1" applyAlignment="1">
      <alignment vertical="center"/>
    </xf>
    <xf numFmtId="0" fontId="7" fillId="8" borderId="99" xfId="0" applyFont="1" applyFill="1" applyBorder="1" applyAlignment="1">
      <alignment vertical="top" wrapText="1"/>
    </xf>
    <xf numFmtId="0" fontId="7" fillId="8" borderId="92" xfId="0" applyFont="1" applyFill="1" applyBorder="1" applyAlignment="1">
      <alignment vertical="top" wrapText="1"/>
    </xf>
    <xf numFmtId="3" fontId="18" fillId="8" borderId="43" xfId="0" applyNumberFormat="1" applyFont="1" applyFill="1" applyBorder="1" applyAlignment="1">
      <alignment horizontal="center" vertical="top" wrapText="1"/>
    </xf>
    <xf numFmtId="0" fontId="18" fillId="0" borderId="0" xfId="0" applyFont="1" applyFill="1" applyBorder="1" applyAlignment="1">
      <alignment vertical="top"/>
    </xf>
    <xf numFmtId="0" fontId="18" fillId="33" borderId="0" xfId="0" applyFont="1" applyFill="1" applyBorder="1" applyAlignment="1">
      <alignment vertical="top"/>
    </xf>
    <xf numFmtId="3" fontId="29" fillId="57" borderId="91" xfId="0" applyNumberFormat="1" applyFont="1" applyFill="1" applyBorder="1" applyAlignment="1">
      <alignment vertical="center"/>
    </xf>
    <xf numFmtId="3" fontId="29" fillId="59" borderId="91" xfId="0" applyNumberFormat="1" applyFont="1" applyFill="1" applyBorder="1" applyAlignment="1">
      <alignment vertical="center"/>
    </xf>
    <xf numFmtId="0" fontId="7" fillId="8" borderId="28" xfId="0" applyFont="1" applyFill="1" applyBorder="1" applyAlignment="1">
      <alignment vertical="top" wrapText="1"/>
    </xf>
    <xf numFmtId="0" fontId="7" fillId="8" borderId="77" xfId="0" applyFont="1" applyFill="1" applyBorder="1" applyAlignment="1">
      <alignment vertical="top" wrapText="1"/>
    </xf>
    <xf numFmtId="3" fontId="18" fillId="8" borderId="41" xfId="0" applyNumberFormat="1" applyFont="1" applyFill="1" applyBorder="1" applyAlignment="1">
      <alignment horizontal="center" vertical="top" wrapText="1"/>
    </xf>
    <xf numFmtId="3" fontId="18" fillId="0" borderId="0" xfId="0" applyNumberFormat="1" applyFont="1" applyFill="1" applyBorder="1" applyAlignment="1">
      <alignment vertical="top"/>
    </xf>
    <xf numFmtId="0" fontId="7" fillId="23" borderId="2" xfId="0" applyFont="1" applyFill="1" applyBorder="1" applyAlignment="1">
      <alignment vertical="center"/>
    </xf>
    <xf numFmtId="3" fontId="25" fillId="6" borderId="93" xfId="0" applyNumberFormat="1" applyFont="1" applyFill="1" applyBorder="1" applyAlignment="1">
      <alignment vertical="top"/>
    </xf>
    <xf numFmtId="3" fontId="25" fillId="57" borderId="93" xfId="0" applyNumberFormat="1" applyFont="1" applyFill="1" applyBorder="1" applyAlignment="1">
      <alignment vertical="top"/>
    </xf>
    <xf numFmtId="3" fontId="25" fillId="59" borderId="93" xfId="0" applyNumberFormat="1" applyFont="1" applyFill="1" applyBorder="1" applyAlignment="1">
      <alignment vertical="top"/>
    </xf>
    <xf numFmtId="3" fontId="25" fillId="22" borderId="93" xfId="0" applyNumberFormat="1" applyFont="1" applyFill="1" applyBorder="1" applyAlignment="1">
      <alignment vertical="top"/>
    </xf>
    <xf numFmtId="3" fontId="27" fillId="2" borderId="93" xfId="0" applyNumberFormat="1" applyFont="1" applyFill="1" applyBorder="1" applyAlignment="1">
      <alignment vertical="top"/>
    </xf>
    <xf numFmtId="3" fontId="27" fillId="57" borderId="93" xfId="0" applyNumberFormat="1" applyFont="1" applyFill="1" applyBorder="1" applyAlignment="1">
      <alignment vertical="top"/>
    </xf>
    <xf numFmtId="3" fontId="27" fillId="59" borderId="93" xfId="0" applyNumberFormat="1" applyFont="1" applyFill="1" applyBorder="1" applyAlignment="1">
      <alignment vertical="top"/>
    </xf>
    <xf numFmtId="3" fontId="25" fillId="25" borderId="91" xfId="0" applyNumberFormat="1" applyFont="1" applyFill="1" applyBorder="1" applyAlignment="1">
      <alignment vertical="top"/>
    </xf>
    <xf numFmtId="3" fontId="18" fillId="2" borderId="0" xfId="0" applyNumberFormat="1" applyFont="1" applyFill="1" applyBorder="1" applyAlignment="1">
      <alignment vertical="top"/>
    </xf>
    <xf numFmtId="0" fontId="18" fillId="2" borderId="0" xfId="0" applyFont="1" applyFill="1" applyBorder="1" applyAlignment="1">
      <alignment vertical="top"/>
    </xf>
    <xf numFmtId="3" fontId="31" fillId="0" borderId="93" xfId="0" applyNumberFormat="1" applyFont="1" applyFill="1" applyBorder="1" applyAlignment="1">
      <alignment vertical="top"/>
    </xf>
    <xf numFmtId="3" fontId="31" fillId="57" borderId="93" xfId="0" applyNumberFormat="1" applyFont="1" applyFill="1" applyBorder="1" applyAlignment="1">
      <alignment vertical="top"/>
    </xf>
    <xf numFmtId="3" fontId="31" fillId="59" borderId="93" xfId="0" applyNumberFormat="1" applyFont="1" applyFill="1" applyBorder="1" applyAlignment="1">
      <alignment vertical="top"/>
    </xf>
    <xf numFmtId="3" fontId="27" fillId="0" borderId="93" xfId="0" applyNumberFormat="1" applyFont="1" applyFill="1" applyBorder="1" applyAlignment="1">
      <alignment vertical="top"/>
    </xf>
    <xf numFmtId="0" fontId="31" fillId="0" borderId="99" xfId="0" applyFont="1" applyFill="1" applyBorder="1" applyAlignment="1">
      <alignment horizontal="left" vertical="center" wrapText="1"/>
    </xf>
    <xf numFmtId="3" fontId="31" fillId="0" borderId="96" xfId="0" applyNumberFormat="1" applyFont="1" applyFill="1" applyBorder="1" applyAlignment="1">
      <alignment horizontal="right" vertical="center"/>
    </xf>
    <xf numFmtId="3" fontId="31" fillId="57" borderId="96" xfId="0" applyNumberFormat="1" applyFont="1" applyFill="1" applyBorder="1" applyAlignment="1">
      <alignment horizontal="right" vertical="center"/>
    </xf>
    <xf numFmtId="3" fontId="31" fillId="59" borderId="96" xfId="0" applyNumberFormat="1" applyFont="1" applyFill="1" applyBorder="1" applyAlignment="1">
      <alignment horizontal="right" vertical="center"/>
    </xf>
    <xf numFmtId="3" fontId="31" fillId="0" borderId="91" xfId="0" applyNumberFormat="1" applyFont="1" applyFill="1" applyBorder="1" applyAlignment="1">
      <alignment vertical="top"/>
    </xf>
    <xf numFmtId="3" fontId="31" fillId="57" borderId="91" xfId="0" applyNumberFormat="1" applyFont="1" applyFill="1" applyBorder="1" applyAlignment="1">
      <alignment vertical="top"/>
    </xf>
    <xf numFmtId="3" fontId="31" fillId="59" borderId="91" xfId="0" applyNumberFormat="1" applyFont="1" applyFill="1" applyBorder="1" applyAlignment="1">
      <alignment vertical="top"/>
    </xf>
    <xf numFmtId="0" fontId="27" fillId="2" borderId="97" xfId="4" applyFont="1" applyFill="1" applyBorder="1" applyAlignment="1">
      <alignment vertical="top"/>
    </xf>
    <xf numFmtId="0" fontId="31" fillId="0" borderId="77" xfId="4" applyFont="1" applyFill="1" applyBorder="1" applyAlignment="1">
      <alignment vertical="center"/>
    </xf>
    <xf numFmtId="3" fontId="31" fillId="57" borderId="47" xfId="0" applyNumberFormat="1" applyFont="1" applyFill="1" applyBorder="1" applyAlignment="1">
      <alignment horizontal="right" vertical="center"/>
    </xf>
    <xf numFmtId="3" fontId="31" fillId="59" borderId="47" xfId="0" applyNumberFormat="1" applyFont="1" applyFill="1" applyBorder="1" applyAlignment="1">
      <alignment horizontal="right" vertical="center"/>
    </xf>
    <xf numFmtId="3" fontId="25" fillId="25" borderId="10" xfId="0" applyNumberFormat="1" applyFont="1" applyFill="1" applyBorder="1" applyAlignment="1">
      <alignment vertical="top"/>
    </xf>
    <xf numFmtId="3" fontId="25" fillId="6" borderId="91" xfId="0" applyNumberFormat="1" applyFont="1" applyFill="1" applyBorder="1" applyAlignment="1">
      <alignment vertical="top"/>
    </xf>
    <xf numFmtId="3" fontId="27" fillId="2" borderId="91" xfId="0" applyNumberFormat="1" applyFont="1" applyFill="1" applyBorder="1" applyAlignment="1">
      <alignment vertical="top"/>
    </xf>
    <xf numFmtId="3" fontId="27" fillId="0" borderId="91" xfId="0" applyNumberFormat="1" applyFont="1" applyFill="1" applyBorder="1" applyAlignment="1">
      <alignment vertical="top"/>
    </xf>
    <xf numFmtId="0" fontId="7" fillId="23" borderId="2" xfId="0" applyFont="1" applyFill="1" applyBorder="1" applyAlignment="1">
      <alignment vertical="top"/>
    </xf>
    <xf numFmtId="3" fontId="20" fillId="0" borderId="26" xfId="0" applyNumberFormat="1" applyFont="1" applyFill="1" applyBorder="1" applyAlignment="1">
      <alignment vertical="top" wrapText="1"/>
    </xf>
    <xf numFmtId="0" fontId="21" fillId="0" borderId="0" xfId="0" applyFont="1" applyFill="1" applyBorder="1" applyAlignment="1">
      <alignment vertical="top" wrapText="1"/>
    </xf>
    <xf numFmtId="3" fontId="25" fillId="22" borderId="91" xfId="0" applyNumberFormat="1" applyFont="1" applyFill="1" applyBorder="1" applyAlignment="1">
      <alignment vertical="top"/>
    </xf>
    <xf numFmtId="0" fontId="21" fillId="0" borderId="26" xfId="0" applyFont="1" applyFill="1" applyBorder="1" applyAlignment="1">
      <alignment vertical="top" wrapText="1"/>
    </xf>
    <xf numFmtId="3" fontId="31" fillId="0" borderId="93" xfId="0" applyNumberFormat="1" applyFont="1" applyFill="1" applyBorder="1" applyAlignment="1">
      <alignment vertical="center"/>
    </xf>
    <xf numFmtId="3" fontId="31" fillId="0" borderId="91" xfId="0" applyNumberFormat="1" applyFont="1" applyFill="1" applyBorder="1" applyAlignment="1">
      <alignment vertical="center"/>
    </xf>
    <xf numFmtId="3" fontId="31" fillId="57" borderId="91" xfId="0" applyNumberFormat="1" applyFont="1" applyFill="1" applyBorder="1" applyAlignment="1">
      <alignment horizontal="right" vertical="center"/>
    </xf>
    <xf numFmtId="3" fontId="31" fillId="0" borderId="91" xfId="0" applyNumberFormat="1" applyFont="1" applyFill="1" applyBorder="1" applyAlignment="1">
      <alignment horizontal="right" vertical="center"/>
    </xf>
    <xf numFmtId="0" fontId="21" fillId="0" borderId="0" xfId="0" applyFont="1" applyFill="1" applyBorder="1" applyAlignment="1">
      <alignment vertical="center" wrapText="1"/>
    </xf>
    <xf numFmtId="3" fontId="21" fillId="0" borderId="47" xfId="0" applyNumberFormat="1" applyFont="1" applyFill="1" applyBorder="1" applyAlignment="1">
      <alignment horizontal="right" vertical="center"/>
    </xf>
    <xf numFmtId="0" fontId="42" fillId="0" borderId="0" xfId="0" applyFont="1" applyBorder="1"/>
    <xf numFmtId="3" fontId="13" fillId="0" borderId="0" xfId="0" applyNumberFormat="1" applyFont="1" applyFill="1" applyBorder="1" applyAlignment="1">
      <alignment horizontal="right" vertical="center"/>
    </xf>
    <xf numFmtId="3" fontId="25" fillId="57" borderId="9" xfId="0" applyNumberFormat="1" applyFont="1" applyFill="1" applyBorder="1" applyAlignment="1">
      <alignment vertical="top"/>
    </xf>
    <xf numFmtId="3" fontId="25" fillId="59" borderId="9" xfId="0" applyNumberFormat="1" applyFont="1" applyFill="1" applyBorder="1" applyAlignment="1">
      <alignment vertical="top"/>
    </xf>
    <xf numFmtId="0" fontId="27" fillId="2" borderId="94" xfId="4" applyFont="1" applyFill="1" applyBorder="1" applyAlignment="1">
      <alignment vertical="top"/>
    </xf>
    <xf numFmtId="3" fontId="31" fillId="59" borderId="47" xfId="0" applyNumberFormat="1" applyFont="1" applyFill="1" applyBorder="1" applyAlignment="1">
      <alignment vertical="top"/>
    </xf>
    <xf numFmtId="3" fontId="27" fillId="2" borderId="93" xfId="0" applyNumberFormat="1" applyFont="1" applyFill="1" applyBorder="1" applyAlignment="1">
      <alignment vertical="center"/>
    </xf>
    <xf numFmtId="3" fontId="27" fillId="57" borderId="93" xfId="0" applyNumberFormat="1" applyFont="1" applyFill="1" applyBorder="1" applyAlignment="1">
      <alignment vertical="center"/>
    </xf>
    <xf numFmtId="3" fontId="27" fillId="59" borderId="93" xfId="0" applyNumberFormat="1" applyFont="1" applyFill="1" applyBorder="1" applyAlignment="1">
      <alignment vertical="center"/>
    </xf>
    <xf numFmtId="3" fontId="27" fillId="26" borderId="93" xfId="0" applyNumberFormat="1" applyFont="1" applyFill="1" applyBorder="1" applyAlignment="1">
      <alignment vertical="center"/>
    </xf>
    <xf numFmtId="0" fontId="18" fillId="2" borderId="0" xfId="0" applyFont="1" applyFill="1" applyBorder="1" applyAlignment="1">
      <alignment vertical="center"/>
    </xf>
    <xf numFmtId="3" fontId="7" fillId="0" borderId="35" xfId="0" applyNumberFormat="1" applyFont="1" applyFill="1" applyBorder="1" applyAlignment="1">
      <alignment vertical="top"/>
    </xf>
    <xf numFmtId="3" fontId="27" fillId="0" borderId="9" xfId="0" applyNumberFormat="1" applyFont="1" applyFill="1" applyBorder="1" applyAlignment="1">
      <alignment vertical="top"/>
    </xf>
    <xf numFmtId="3" fontId="27" fillId="25" borderId="9" xfId="0" applyNumberFormat="1" applyFont="1" applyFill="1" applyBorder="1" applyAlignment="1">
      <alignment vertical="top"/>
    </xf>
    <xf numFmtId="3" fontId="25" fillId="6" borderId="93" xfId="0" applyNumberFormat="1" applyFont="1" applyFill="1" applyBorder="1" applyAlignment="1">
      <alignment vertical="center"/>
    </xf>
    <xf numFmtId="3" fontId="0" fillId="0" borderId="0" xfId="0" applyNumberFormat="1" applyFont="1" applyBorder="1" applyAlignment="1">
      <alignment vertical="center"/>
    </xf>
    <xf numFmtId="3" fontId="37" fillId="0" borderId="0" xfId="0" applyNumberFormat="1" applyFont="1" applyBorder="1" applyAlignment="1">
      <alignment vertical="center"/>
    </xf>
    <xf numFmtId="0" fontId="23" fillId="0" borderId="28" xfId="0" applyFont="1" applyBorder="1" applyAlignment="1">
      <alignment horizontal="center" vertical="center" wrapText="1"/>
    </xf>
    <xf numFmtId="0" fontId="28" fillId="61" borderId="6" xfId="0" applyFont="1" applyFill="1" applyBorder="1" applyAlignment="1">
      <alignment vertical="top"/>
    </xf>
    <xf numFmtId="0" fontId="28" fillId="62" borderId="28" xfId="0" applyFont="1" applyFill="1" applyBorder="1" applyAlignment="1">
      <alignment vertical="top"/>
    </xf>
    <xf numFmtId="0" fontId="28" fillId="63" borderId="28" xfId="0" applyFont="1" applyFill="1" applyBorder="1" applyAlignment="1">
      <alignment vertical="top"/>
    </xf>
    <xf numFmtId="0" fontId="31" fillId="55" borderId="28" xfId="0" applyFont="1" applyFill="1" applyBorder="1" applyAlignment="1">
      <alignment vertical="top"/>
    </xf>
    <xf numFmtId="3" fontId="25" fillId="6" borderId="9" xfId="0" applyNumberFormat="1" applyFont="1" applyFill="1" applyBorder="1" applyAlignment="1">
      <alignment vertical="center"/>
    </xf>
    <xf numFmtId="3" fontId="21" fillId="0" borderId="26" xfId="0" applyNumberFormat="1" applyFont="1" applyFill="1" applyBorder="1" applyAlignment="1">
      <alignment vertical="top" wrapText="1"/>
    </xf>
    <xf numFmtId="3" fontId="27" fillId="0" borderId="91" xfId="0" applyNumberFormat="1" applyFont="1" applyFill="1" applyBorder="1" applyAlignment="1">
      <alignment vertical="center"/>
    </xf>
    <xf numFmtId="3" fontId="27" fillId="57" borderId="9" xfId="4" applyNumberFormat="1" applyFont="1" applyFill="1" applyBorder="1" applyAlignment="1">
      <alignment horizontal="right" vertical="center"/>
    </xf>
    <xf numFmtId="3" fontId="27" fillId="59" borderId="9" xfId="4" applyNumberFormat="1" applyFont="1" applyFill="1" applyBorder="1" applyAlignment="1">
      <alignment horizontal="right" vertical="center"/>
    </xf>
    <xf numFmtId="3" fontId="27" fillId="57" borderId="27" xfId="4" applyNumberFormat="1" applyFont="1" applyFill="1" applyBorder="1" applyAlignment="1">
      <alignment horizontal="right" vertical="center"/>
    </xf>
    <xf numFmtId="3" fontId="27" fillId="59" borderId="27" xfId="4" applyNumberFormat="1" applyFont="1" applyFill="1" applyBorder="1" applyAlignment="1">
      <alignment horizontal="right" vertical="center"/>
    </xf>
    <xf numFmtId="3" fontId="27" fillId="55" borderId="12" xfId="4" applyNumberFormat="1" applyFont="1" applyFill="1" applyBorder="1" applyAlignment="1">
      <alignment horizontal="right" vertical="center"/>
    </xf>
    <xf numFmtId="0" fontId="24" fillId="28" borderId="11" xfId="0" applyFont="1" applyFill="1" applyBorder="1" applyAlignment="1">
      <alignment vertical="center"/>
    </xf>
    <xf numFmtId="3" fontId="25" fillId="22" borderId="35" xfId="0" applyNumberFormat="1" applyFont="1" applyFill="1" applyBorder="1" applyAlignment="1">
      <alignment vertical="center"/>
    </xf>
    <xf numFmtId="3" fontId="17" fillId="0" borderId="0" xfId="0" applyNumberFormat="1" applyFont="1" applyBorder="1" applyAlignment="1">
      <alignment vertical="center"/>
    </xf>
    <xf numFmtId="0" fontId="17" fillId="0" borderId="0" xfId="0" applyFont="1" applyBorder="1" applyAlignment="1">
      <alignment vertical="center"/>
    </xf>
    <xf numFmtId="0" fontId="21" fillId="0" borderId="0" xfId="0" applyFont="1" applyFill="1" applyBorder="1" applyAlignment="1">
      <alignment vertical="center"/>
    </xf>
    <xf numFmtId="3" fontId="21" fillId="0" borderId="0" xfId="0" applyNumberFormat="1" applyFont="1" applyFill="1" applyBorder="1" applyAlignment="1">
      <alignment vertical="center"/>
    </xf>
    <xf numFmtId="0" fontId="21" fillId="33" borderId="0" xfId="0" applyFont="1" applyFill="1" applyBorder="1" applyAlignment="1">
      <alignment vertical="center"/>
    </xf>
    <xf numFmtId="3" fontId="24" fillId="58" borderId="35" xfId="0" applyNumberFormat="1" applyFont="1" applyFill="1" applyBorder="1" applyAlignment="1">
      <alignment vertical="center"/>
    </xf>
    <xf numFmtId="3" fontId="24" fillId="60" borderId="35" xfId="0" applyNumberFormat="1" applyFont="1" applyFill="1" applyBorder="1" applyAlignment="1">
      <alignment vertical="center"/>
    </xf>
    <xf numFmtId="3" fontId="31" fillId="28" borderId="13" xfId="0" applyNumberFormat="1" applyFont="1" applyFill="1" applyBorder="1" applyAlignment="1">
      <alignment vertical="center"/>
    </xf>
    <xf numFmtId="0" fontId="25" fillId="8" borderId="19" xfId="0" applyFont="1" applyFill="1" applyBorder="1" applyAlignment="1">
      <alignment vertical="center" wrapText="1"/>
    </xf>
    <xf numFmtId="0" fontId="25" fillId="8" borderId="16" xfId="0" applyFont="1" applyFill="1" applyBorder="1" applyAlignment="1">
      <alignment horizontal="center" vertical="center" wrapText="1"/>
    </xf>
    <xf numFmtId="0" fontId="36" fillId="0" borderId="0" xfId="0" applyFont="1" applyBorder="1" applyAlignment="1">
      <alignment vertical="top"/>
    </xf>
    <xf numFmtId="0" fontId="0" fillId="0" borderId="0" xfId="0" applyFont="1" applyFill="1" applyBorder="1" applyAlignment="1">
      <alignment vertical="top"/>
    </xf>
    <xf numFmtId="0" fontId="0" fillId="0" borderId="0" xfId="0" applyFont="1" applyBorder="1" applyAlignment="1">
      <alignment horizontal="center" vertical="top" wrapText="1"/>
    </xf>
    <xf numFmtId="3" fontId="37" fillId="0" borderId="0" xfId="0" applyNumberFormat="1" applyFont="1" applyBorder="1" applyAlignment="1">
      <alignment vertical="top"/>
    </xf>
    <xf numFmtId="0" fontId="0" fillId="0" borderId="0" xfId="0" applyFont="1" applyBorder="1" applyAlignment="1">
      <alignment horizontal="center" vertical="top"/>
    </xf>
    <xf numFmtId="0" fontId="19" fillId="0" borderId="1" xfId="0" applyFont="1" applyBorder="1" applyAlignment="1">
      <alignment vertical="top"/>
    </xf>
    <xf numFmtId="0" fontId="20" fillId="0" borderId="3" xfId="0" applyFont="1" applyBorder="1" applyAlignment="1">
      <alignment vertical="top" wrapText="1"/>
    </xf>
    <xf numFmtId="0" fontId="0" fillId="0" borderId="3" xfId="0" applyFont="1" applyBorder="1" applyAlignment="1">
      <alignment vertical="top"/>
    </xf>
    <xf numFmtId="0" fontId="0" fillId="0" borderId="3" xfId="0" applyFont="1" applyFill="1" applyBorder="1" applyAlignment="1">
      <alignment vertical="top"/>
    </xf>
    <xf numFmtId="0" fontId="0" fillId="57" borderId="3" xfId="0" applyFont="1" applyFill="1" applyBorder="1" applyAlignment="1">
      <alignment vertical="top"/>
    </xf>
    <xf numFmtId="0" fontId="0" fillId="59" borderId="3" xfId="0" applyFont="1" applyFill="1" applyBorder="1" applyAlignment="1">
      <alignment vertical="top"/>
    </xf>
    <xf numFmtId="0" fontId="0" fillId="0" borderId="66" xfId="0" applyFont="1" applyBorder="1" applyAlignment="1">
      <alignment horizontal="center" vertical="top" wrapText="1"/>
    </xf>
    <xf numFmtId="0" fontId="19" fillId="0" borderId="26" xfId="0" applyFont="1" applyBorder="1" applyAlignment="1">
      <alignment vertical="top"/>
    </xf>
    <xf numFmtId="0" fontId="0" fillId="0" borderId="67" xfId="0" applyFont="1" applyBorder="1" applyAlignment="1">
      <alignment horizontal="center" vertical="top" wrapText="1"/>
    </xf>
    <xf numFmtId="0" fontId="19" fillId="0" borderId="68" xfId="0" applyFont="1" applyBorder="1" applyAlignment="1">
      <alignment vertical="top"/>
    </xf>
    <xf numFmtId="0" fontId="0" fillId="0" borderId="24" xfId="0" applyFont="1" applyBorder="1" applyAlignment="1">
      <alignment vertical="top"/>
    </xf>
    <xf numFmtId="0" fontId="0" fillId="0" borderId="24" xfId="0" applyFont="1" applyFill="1" applyBorder="1" applyAlignment="1">
      <alignment vertical="top"/>
    </xf>
    <xf numFmtId="0" fontId="0" fillId="57" borderId="24" xfId="0" applyFont="1" applyFill="1" applyBorder="1" applyAlignment="1">
      <alignment vertical="top"/>
    </xf>
    <xf numFmtId="0" fontId="0" fillId="59" borderId="24" xfId="0" applyFont="1" applyFill="1" applyBorder="1" applyAlignment="1">
      <alignment vertical="top"/>
    </xf>
    <xf numFmtId="0" fontId="0" fillId="0" borderId="69" xfId="0" applyFont="1" applyBorder="1" applyAlignment="1">
      <alignment horizontal="center" vertical="top" wrapText="1"/>
    </xf>
    <xf numFmtId="0" fontId="0" fillId="57" borderId="26" xfId="0" applyFont="1" applyFill="1" applyBorder="1" applyAlignment="1">
      <alignment vertical="top"/>
    </xf>
    <xf numFmtId="3" fontId="25" fillId="6" borderId="35" xfId="0" applyNumberFormat="1" applyFont="1" applyFill="1" applyBorder="1" applyAlignment="1">
      <alignment vertical="center"/>
    </xf>
    <xf numFmtId="3" fontId="31" fillId="8" borderId="18" xfId="0" applyNumberFormat="1" applyFont="1" applyFill="1" applyBorder="1" applyAlignment="1">
      <alignment vertical="top"/>
    </xf>
    <xf numFmtId="0" fontId="31" fillId="8" borderId="18" xfId="0" applyFont="1" applyFill="1" applyBorder="1" applyAlignment="1">
      <alignment vertical="top"/>
    </xf>
    <xf numFmtId="0" fontId="31" fillId="57" borderId="18" xfId="0" applyFont="1" applyFill="1" applyBorder="1" applyAlignment="1">
      <alignment vertical="top"/>
    </xf>
    <xf numFmtId="3" fontId="31" fillId="57" borderId="18" xfId="0" applyNumberFormat="1" applyFont="1" applyFill="1" applyBorder="1" applyAlignment="1">
      <alignment vertical="top"/>
    </xf>
    <xf numFmtId="3" fontId="31" fillId="59" borderId="18" xfId="0" applyNumberFormat="1" applyFont="1" applyFill="1" applyBorder="1" applyAlignment="1">
      <alignment vertical="top"/>
    </xf>
    <xf numFmtId="0" fontId="31" fillId="59" borderId="18" xfId="0" applyFont="1" applyFill="1" applyBorder="1" applyAlignment="1">
      <alignment vertical="top"/>
    </xf>
    <xf numFmtId="0" fontId="31" fillId="8" borderId="17" xfId="0" applyFont="1" applyFill="1" applyBorder="1" applyAlignment="1">
      <alignment vertical="top"/>
    </xf>
    <xf numFmtId="3" fontId="31" fillId="8" borderId="79" xfId="0" applyNumberFormat="1" applyFont="1" applyFill="1" applyBorder="1" applyAlignment="1">
      <alignment vertical="top"/>
    </xf>
    <xf numFmtId="3" fontId="7" fillId="8" borderId="18" xfId="0" applyNumberFormat="1" applyFont="1" applyFill="1" applyBorder="1" applyAlignment="1">
      <alignment vertical="top"/>
    </xf>
    <xf numFmtId="0" fontId="7" fillId="57" borderId="18" xfId="0" applyFont="1" applyFill="1" applyBorder="1" applyAlignment="1">
      <alignment vertical="top"/>
    </xf>
    <xf numFmtId="3" fontId="7" fillId="57" borderId="18" xfId="0" applyNumberFormat="1" applyFont="1" applyFill="1" applyBorder="1" applyAlignment="1">
      <alignment vertical="top"/>
    </xf>
    <xf numFmtId="3" fontId="7" fillId="59" borderId="18" xfId="0" applyNumberFormat="1" applyFont="1" applyFill="1" applyBorder="1" applyAlignment="1">
      <alignment vertical="top"/>
    </xf>
    <xf numFmtId="0" fontId="7" fillId="59" borderId="18" xfId="0" applyFont="1" applyFill="1" applyBorder="1" applyAlignment="1">
      <alignment vertical="top"/>
    </xf>
    <xf numFmtId="0" fontId="34" fillId="2" borderId="24" xfId="0" applyFont="1" applyFill="1" applyBorder="1" applyAlignment="1">
      <alignment vertical="top"/>
    </xf>
    <xf numFmtId="0" fontId="34" fillId="0" borderId="24" xfId="0" applyFont="1" applyFill="1" applyBorder="1" applyAlignment="1">
      <alignment vertical="top"/>
    </xf>
    <xf numFmtId="0" fontId="25" fillId="8" borderId="21" xfId="0" applyFont="1" applyFill="1" applyBorder="1" applyAlignment="1">
      <alignment vertical="center" wrapText="1"/>
    </xf>
    <xf numFmtId="0" fontId="8" fillId="0" borderId="21" xfId="4" applyFont="1" applyFill="1" applyBorder="1" applyAlignment="1">
      <alignment vertical="center" wrapText="1"/>
    </xf>
    <xf numFmtId="3" fontId="7" fillId="58" borderId="9" xfId="0" applyNumberFormat="1" applyFont="1" applyFill="1" applyBorder="1" applyAlignment="1">
      <alignment vertical="center"/>
    </xf>
    <xf numFmtId="3" fontId="7" fillId="60" borderId="9" xfId="0" applyNumberFormat="1" applyFont="1" applyFill="1" applyBorder="1" applyAlignment="1">
      <alignment vertical="center"/>
    </xf>
    <xf numFmtId="0" fontId="0" fillId="0" borderId="35" xfId="0" applyFont="1" applyBorder="1"/>
    <xf numFmtId="0" fontId="0" fillId="0" borderId="105" xfId="0" applyFont="1" applyBorder="1"/>
    <xf numFmtId="0" fontId="0" fillId="0" borderId="104" xfId="0" applyFont="1" applyBorder="1"/>
    <xf numFmtId="3" fontId="0" fillId="0" borderId="104" xfId="0" applyNumberFormat="1" applyFont="1" applyBorder="1"/>
    <xf numFmtId="0" fontId="42" fillId="0" borderId="104" xfId="0" applyFont="1" applyBorder="1"/>
    <xf numFmtId="3" fontId="25" fillId="22" borderId="104" xfId="4" applyNumberFormat="1" applyFont="1" applyFill="1" applyBorder="1" applyAlignment="1">
      <alignment horizontal="right" vertical="center"/>
    </xf>
    <xf numFmtId="3" fontId="33" fillId="0" borderId="104" xfId="6" applyNumberFormat="1" applyFont="1" applyFill="1" applyBorder="1" applyAlignment="1">
      <alignment vertical="center"/>
    </xf>
    <xf numFmtId="3" fontId="32" fillId="0" borderId="104" xfId="6" applyNumberFormat="1" applyFont="1" applyFill="1" applyBorder="1" applyAlignment="1">
      <alignment vertical="center"/>
    </xf>
    <xf numFmtId="3" fontId="7" fillId="0" borderId="104" xfId="4" applyNumberFormat="1" applyFont="1" applyFill="1" applyBorder="1" applyAlignment="1">
      <alignment horizontal="right" vertical="center"/>
    </xf>
    <xf numFmtId="3" fontId="25" fillId="6" borderId="104" xfId="4" applyNumberFormat="1" applyFont="1" applyFill="1" applyBorder="1" applyAlignment="1">
      <alignment horizontal="right" vertical="center"/>
    </xf>
    <xf numFmtId="3" fontId="31" fillId="0" borderId="104" xfId="4" applyNumberFormat="1" applyFont="1" applyFill="1" applyBorder="1" applyAlignment="1">
      <alignment horizontal="right" vertical="center"/>
    </xf>
    <xf numFmtId="0" fontId="0" fillId="0" borderId="104" xfId="0" applyFont="1" applyFill="1" applyBorder="1"/>
    <xf numFmtId="0" fontId="0" fillId="0" borderId="104" xfId="0" applyFont="1" applyBorder="1" applyAlignment="1">
      <alignment vertical="center"/>
    </xf>
    <xf numFmtId="3" fontId="32" fillId="0" borderId="0" xfId="0" applyNumberFormat="1" applyFont="1" applyFill="1" applyBorder="1"/>
    <xf numFmtId="0" fontId="32" fillId="0" borderId="0" xfId="0" applyFont="1" applyFill="1" applyBorder="1"/>
    <xf numFmtId="0" fontId="27" fillId="55" borderId="28" xfId="4" applyFont="1" applyFill="1" applyBorder="1" applyAlignment="1">
      <alignment horizontal="left" vertical="center"/>
    </xf>
    <xf numFmtId="3" fontId="27" fillId="55" borderId="93" xfId="4" applyNumberFormat="1" applyFont="1" applyFill="1" applyBorder="1" applyAlignment="1">
      <alignment horizontal="right" vertical="center"/>
    </xf>
    <xf numFmtId="3" fontId="25" fillId="8" borderId="35" xfId="0" applyNumberFormat="1" applyFont="1" applyFill="1" applyBorder="1" applyAlignment="1">
      <alignment vertical="top"/>
    </xf>
    <xf numFmtId="3" fontId="31" fillId="0" borderId="47" xfId="0" applyNumberFormat="1" applyFont="1" applyFill="1" applyBorder="1" applyAlignment="1">
      <alignment vertical="center"/>
    </xf>
    <xf numFmtId="3" fontId="31" fillId="0" borderId="12" xfId="0" applyNumberFormat="1" applyFont="1" applyFill="1" applyBorder="1" applyAlignment="1">
      <alignment vertical="top"/>
    </xf>
    <xf numFmtId="3" fontId="31" fillId="0" borderId="104" xfId="0" applyNumberFormat="1" applyFont="1" applyFill="1" applyBorder="1" applyAlignment="1">
      <alignment vertical="top"/>
    </xf>
    <xf numFmtId="3" fontId="27" fillId="0" borderId="104" xfId="0" applyNumberFormat="1" applyFont="1" applyFill="1" applyBorder="1" applyAlignment="1">
      <alignment vertical="top"/>
    </xf>
    <xf numFmtId="3" fontId="31" fillId="0" borderId="104" xfId="0" applyNumberFormat="1" applyFont="1" applyFill="1" applyBorder="1" applyAlignment="1">
      <alignment vertical="center"/>
    </xf>
    <xf numFmtId="3" fontId="25" fillId="6" borderId="105" xfId="0" applyNumberFormat="1" applyFont="1" applyFill="1" applyBorder="1" applyAlignment="1">
      <alignment vertical="center"/>
    </xf>
    <xf numFmtId="0" fontId="20" fillId="0" borderId="0" xfId="0" applyFont="1" applyBorder="1" applyAlignment="1">
      <alignment vertical="top"/>
    </xf>
    <xf numFmtId="0" fontId="7" fillId="6" borderId="28" xfId="0" applyFont="1" applyFill="1" applyBorder="1" applyAlignment="1">
      <alignment vertical="center" wrapText="1"/>
    </xf>
    <xf numFmtId="3" fontId="24" fillId="6" borderId="35" xfId="0" applyNumberFormat="1" applyFont="1" applyFill="1" applyBorder="1" applyAlignment="1">
      <alignment vertical="center"/>
    </xf>
    <xf numFmtId="3" fontId="25" fillId="6" borderId="105" xfId="4" applyNumberFormat="1" applyFont="1" applyFill="1" applyBorder="1" applyAlignment="1">
      <alignment horizontal="right" vertical="center"/>
    </xf>
    <xf numFmtId="3" fontId="27" fillId="0" borderId="105" xfId="4" applyNumberFormat="1" applyFont="1" applyFill="1" applyBorder="1" applyAlignment="1">
      <alignment horizontal="right" vertical="center"/>
    </xf>
    <xf numFmtId="3" fontId="27" fillId="25" borderId="105" xfId="4" applyNumberFormat="1" applyFont="1" applyFill="1" applyBorder="1" applyAlignment="1">
      <alignment horizontal="right" vertical="center"/>
    </xf>
    <xf numFmtId="3" fontId="7" fillId="0" borderId="105" xfId="4" applyNumberFormat="1" applyFont="1" applyFill="1" applyBorder="1" applyAlignment="1">
      <alignment horizontal="right" vertical="center"/>
    </xf>
    <xf numFmtId="3" fontId="31" fillId="0" borderId="105" xfId="4" applyNumberFormat="1" applyFont="1" applyFill="1" applyBorder="1" applyAlignment="1">
      <alignment horizontal="right" vertical="center"/>
    </xf>
    <xf numFmtId="3" fontId="31" fillId="25" borderId="105" xfId="4" applyNumberFormat="1" applyFont="1" applyFill="1" applyBorder="1" applyAlignment="1">
      <alignment horizontal="right" vertical="center"/>
    </xf>
    <xf numFmtId="3" fontId="33" fillId="0" borderId="105" xfId="6" applyNumberFormat="1" applyFont="1" applyFill="1" applyBorder="1" applyAlignment="1">
      <alignment vertical="center"/>
    </xf>
    <xf numFmtId="3" fontId="7" fillId="0" borderId="103" xfId="4" applyNumberFormat="1" applyFont="1" applyFill="1" applyBorder="1" applyAlignment="1">
      <alignment horizontal="right" vertical="center"/>
    </xf>
    <xf numFmtId="3" fontId="7" fillId="0" borderId="109" xfId="4" applyNumberFormat="1" applyFont="1" applyFill="1" applyBorder="1" applyAlignment="1">
      <alignment horizontal="right" vertical="center"/>
    </xf>
    <xf numFmtId="3" fontId="31" fillId="0" borderId="103" xfId="4" applyNumberFormat="1" applyFont="1" applyFill="1" applyBorder="1" applyAlignment="1">
      <alignment horizontal="right" vertical="center"/>
    </xf>
    <xf numFmtId="3" fontId="29" fillId="25" borderId="105" xfId="4" applyNumberFormat="1" applyFont="1" applyFill="1" applyBorder="1" applyAlignment="1">
      <alignment horizontal="right" vertical="center"/>
    </xf>
    <xf numFmtId="3" fontId="31" fillId="0" borderId="109" xfId="4" applyNumberFormat="1" applyFont="1" applyFill="1" applyBorder="1" applyAlignment="1">
      <alignment horizontal="right" vertical="center"/>
    </xf>
    <xf numFmtId="0" fontId="27" fillId="2" borderId="115" xfId="4" applyFont="1" applyFill="1" applyBorder="1" applyAlignment="1">
      <alignment vertical="center"/>
    </xf>
    <xf numFmtId="0" fontId="25" fillId="6" borderId="115" xfId="4" applyFont="1" applyFill="1" applyBorder="1" applyAlignment="1">
      <alignment horizontal="left" vertical="center"/>
    </xf>
    <xf numFmtId="3" fontId="23" fillId="6" borderId="105" xfId="6" applyNumberFormat="1" applyFont="1" applyFill="1" applyBorder="1" applyAlignment="1">
      <alignment horizontal="right" vertical="center"/>
    </xf>
    <xf numFmtId="3" fontId="33" fillId="0" borderId="105" xfId="6" applyNumberFormat="1" applyFont="1" applyFill="1" applyBorder="1" applyAlignment="1">
      <alignment horizontal="right" vertical="center"/>
    </xf>
    <xf numFmtId="3" fontId="27" fillId="0" borderId="104" xfId="0" applyNumberFormat="1" applyFont="1" applyFill="1" applyBorder="1" applyAlignment="1">
      <alignment vertical="center"/>
    </xf>
    <xf numFmtId="3" fontId="27" fillId="0" borderId="104" xfId="0" applyNumberFormat="1" applyFont="1" applyFill="1" applyBorder="1" applyAlignment="1">
      <alignment horizontal="right" vertical="center"/>
    </xf>
    <xf numFmtId="3" fontId="27" fillId="57" borderId="104" xfId="0" applyNumberFormat="1" applyFont="1" applyFill="1" applyBorder="1" applyAlignment="1">
      <alignment horizontal="right" vertical="center"/>
    </xf>
    <xf numFmtId="3" fontId="27" fillId="59" borderId="104" xfId="0" applyNumberFormat="1" applyFont="1" applyFill="1" applyBorder="1" applyAlignment="1">
      <alignment horizontal="right" vertical="center"/>
    </xf>
    <xf numFmtId="3" fontId="31" fillId="0" borderId="104" xfId="0" applyNumberFormat="1" applyFont="1" applyFill="1" applyBorder="1" applyAlignment="1">
      <alignment horizontal="right" vertical="center"/>
    </xf>
    <xf numFmtId="3" fontId="31" fillId="57" borderId="104" xfId="0" applyNumberFormat="1" applyFont="1" applyFill="1" applyBorder="1" applyAlignment="1">
      <alignment horizontal="right" vertical="center"/>
    </xf>
    <xf numFmtId="3" fontId="31" fillId="59" borderId="104" xfId="0" applyNumberFormat="1" applyFont="1" applyFill="1" applyBorder="1" applyAlignment="1">
      <alignment horizontal="right" vertical="center"/>
    </xf>
    <xf numFmtId="3" fontId="28" fillId="0" borderId="104" xfId="0" applyNumberFormat="1" applyFont="1" applyFill="1" applyBorder="1" applyAlignment="1">
      <alignment vertical="center"/>
    </xf>
    <xf numFmtId="3" fontId="25" fillId="57" borderId="105" xfId="0" applyNumberFormat="1" applyFont="1" applyFill="1" applyBorder="1" applyAlignment="1">
      <alignment vertical="center"/>
    </xf>
    <xf numFmtId="3" fontId="25" fillId="59" borderId="105" xfId="0" applyNumberFormat="1" applyFont="1" applyFill="1" applyBorder="1" applyAlignment="1">
      <alignment vertical="center"/>
    </xf>
    <xf numFmtId="0" fontId="31" fillId="6" borderId="106" xfId="0" applyFont="1" applyFill="1" applyBorder="1" applyAlignment="1">
      <alignment vertical="top"/>
    </xf>
    <xf numFmtId="3" fontId="25" fillId="6" borderId="105" xfId="0" applyNumberFormat="1" applyFont="1" applyFill="1" applyBorder="1" applyAlignment="1">
      <alignment vertical="top"/>
    </xf>
    <xf numFmtId="3" fontId="25" fillId="57" borderId="105" xfId="0" applyNumberFormat="1" applyFont="1" applyFill="1" applyBorder="1" applyAlignment="1">
      <alignment vertical="top"/>
    </xf>
    <xf numFmtId="3" fontId="25" fillId="59" borderId="105" xfId="0" applyNumberFormat="1" applyFont="1" applyFill="1" applyBorder="1" applyAlignment="1">
      <alignment vertical="top"/>
    </xf>
    <xf numFmtId="3" fontId="25" fillId="22" borderId="105" xfId="0" applyNumberFormat="1" applyFont="1" applyFill="1" applyBorder="1" applyAlignment="1">
      <alignment vertical="top"/>
    </xf>
    <xf numFmtId="3" fontId="27" fillId="2" borderId="105" xfId="0" applyNumberFormat="1" applyFont="1" applyFill="1" applyBorder="1" applyAlignment="1">
      <alignment vertical="top"/>
    </xf>
    <xf numFmtId="3" fontId="27" fillId="57" borderId="105" xfId="0" applyNumberFormat="1" applyFont="1" applyFill="1" applyBorder="1" applyAlignment="1">
      <alignment vertical="top"/>
    </xf>
    <xf numFmtId="3" fontId="27" fillId="59" borderId="105" xfId="0" applyNumberFormat="1" applyFont="1" applyFill="1" applyBorder="1" applyAlignment="1">
      <alignment vertical="top"/>
    </xf>
    <xf numFmtId="3" fontId="25" fillId="25" borderId="104" xfId="0" applyNumberFormat="1" applyFont="1" applyFill="1" applyBorder="1" applyAlignment="1">
      <alignment vertical="top"/>
    </xf>
    <xf numFmtId="3" fontId="31" fillId="0" borderId="105" xfId="0" applyNumberFormat="1" applyFont="1" applyFill="1" applyBorder="1" applyAlignment="1">
      <alignment vertical="top"/>
    </xf>
    <xf numFmtId="3" fontId="31" fillId="57" borderId="105" xfId="0" applyNumberFormat="1" applyFont="1" applyFill="1" applyBorder="1" applyAlignment="1">
      <alignment vertical="top"/>
    </xf>
    <xf numFmtId="3" fontId="31" fillId="59" borderId="105" xfId="0" applyNumberFormat="1" applyFont="1" applyFill="1" applyBorder="1" applyAlignment="1">
      <alignment vertical="top"/>
    </xf>
    <xf numFmtId="3" fontId="27" fillId="0" borderId="105" xfId="0" applyNumberFormat="1" applyFont="1" applyFill="1" applyBorder="1" applyAlignment="1">
      <alignment vertical="top"/>
    </xf>
    <xf numFmtId="3" fontId="31" fillId="57" borderId="103" xfId="0" applyNumberFormat="1" applyFont="1" applyFill="1" applyBorder="1" applyAlignment="1">
      <alignment horizontal="right" vertical="center"/>
    </xf>
    <xf numFmtId="3" fontId="31" fillId="59" borderId="103" xfId="0" applyNumberFormat="1" applyFont="1" applyFill="1" applyBorder="1" applyAlignment="1">
      <alignment horizontal="right" vertical="center"/>
    </xf>
    <xf numFmtId="3" fontId="31" fillId="0" borderId="103" xfId="0" applyNumberFormat="1" applyFont="1" applyFill="1" applyBorder="1" applyAlignment="1">
      <alignment horizontal="right" vertical="center"/>
    </xf>
    <xf numFmtId="0" fontId="7" fillId="6" borderId="106" xfId="0" applyFont="1" applyFill="1" applyBorder="1" applyAlignment="1">
      <alignment horizontal="left" vertical="center" wrapText="1"/>
    </xf>
    <xf numFmtId="3" fontId="31" fillId="57" borderId="104" xfId="0" applyNumberFormat="1" applyFont="1" applyFill="1" applyBorder="1" applyAlignment="1">
      <alignment vertical="top"/>
    </xf>
    <xf numFmtId="3" fontId="31" fillId="59" borderId="104" xfId="0" applyNumberFormat="1" applyFont="1" applyFill="1" applyBorder="1" applyAlignment="1">
      <alignment vertical="top"/>
    </xf>
    <xf numFmtId="0" fontId="23" fillId="0" borderId="106" xfId="0" applyFont="1" applyBorder="1" applyAlignment="1">
      <alignment horizontal="center" vertical="center" wrapText="1"/>
    </xf>
    <xf numFmtId="0" fontId="28" fillId="62" borderId="106" xfId="0" applyFont="1" applyFill="1" applyBorder="1" applyAlignment="1">
      <alignment vertical="top"/>
    </xf>
    <xf numFmtId="0" fontId="28" fillId="56" borderId="107" xfId="0" applyFont="1" applyFill="1" applyBorder="1" applyAlignment="1">
      <alignment vertical="center"/>
    </xf>
    <xf numFmtId="0" fontId="28" fillId="63" borderId="106" xfId="0" applyFont="1" applyFill="1" applyBorder="1" applyAlignment="1">
      <alignment vertical="top"/>
    </xf>
    <xf numFmtId="0" fontId="31" fillId="55" borderId="107" xfId="0" applyFont="1" applyFill="1" applyBorder="1" applyAlignment="1">
      <alignment vertical="top"/>
    </xf>
    <xf numFmtId="0" fontId="31" fillId="55" borderId="106" xfId="0" applyFont="1" applyFill="1" applyBorder="1" applyAlignment="1">
      <alignment vertical="top"/>
    </xf>
    <xf numFmtId="3" fontId="25" fillId="22" borderId="12" xfId="0" applyNumberFormat="1" applyFont="1" applyFill="1" applyBorder="1" applyAlignment="1">
      <alignment vertical="center"/>
    </xf>
    <xf numFmtId="3" fontId="24" fillId="6" borderId="105" xfId="4" applyNumberFormat="1" applyFont="1" applyFill="1" applyBorder="1" applyAlignment="1">
      <alignment vertical="center"/>
    </xf>
    <xf numFmtId="0" fontId="15" fillId="2" borderId="9" xfId="0" applyFont="1" applyFill="1" applyBorder="1" applyAlignment="1">
      <alignment horizontal="right" vertical="center"/>
    </xf>
    <xf numFmtId="0" fontId="15" fillId="2" borderId="105" xfId="0" applyFont="1" applyFill="1" applyBorder="1" applyAlignment="1">
      <alignment horizontal="right" vertical="center"/>
    </xf>
    <xf numFmtId="0" fontId="24" fillId="8" borderId="19" xfId="4" applyFont="1" applyFill="1" applyBorder="1" applyAlignment="1">
      <alignment vertical="center" wrapText="1"/>
    </xf>
    <xf numFmtId="0" fontId="31" fillId="0" borderId="21" xfId="4" applyFont="1" applyFill="1" applyBorder="1" applyAlignment="1">
      <alignment horizontal="left" vertical="center"/>
    </xf>
    <xf numFmtId="43" fontId="7" fillId="0" borderId="29" xfId="1" applyFont="1" applyFill="1" applyBorder="1" applyAlignment="1">
      <alignment horizontal="right" vertical="center"/>
    </xf>
    <xf numFmtId="43" fontId="7" fillId="0" borderId="74" xfId="1" applyFont="1" applyFill="1" applyBorder="1" applyAlignment="1">
      <alignment horizontal="right" vertical="center"/>
    </xf>
    <xf numFmtId="3" fontId="24" fillId="8" borderId="79" xfId="4" applyNumberFormat="1" applyFont="1" applyFill="1" applyBorder="1" applyAlignment="1">
      <alignment horizontal="right" vertical="center"/>
    </xf>
    <xf numFmtId="43" fontId="31" fillId="0" borderId="109" xfId="1" applyFont="1" applyFill="1" applyBorder="1" applyAlignment="1">
      <alignment horizontal="right" vertical="center"/>
    </xf>
    <xf numFmtId="3" fontId="66" fillId="8" borderId="17" xfId="6" applyNumberFormat="1" applyFont="1" applyFill="1" applyBorder="1" applyAlignment="1">
      <alignment vertical="center"/>
    </xf>
    <xf numFmtId="3" fontId="7" fillId="8" borderId="2" xfId="4" applyNumberFormat="1" applyFont="1" applyFill="1" applyBorder="1" applyAlignment="1">
      <alignment horizontal="right" vertical="center"/>
    </xf>
    <xf numFmtId="3" fontId="31" fillId="0" borderId="23" xfId="4" applyNumberFormat="1" applyFont="1" applyFill="1" applyBorder="1" applyAlignment="1">
      <alignment horizontal="right" vertical="center"/>
    </xf>
    <xf numFmtId="3" fontId="31" fillId="2" borderId="23" xfId="4" applyNumberFormat="1" applyFont="1" applyFill="1" applyBorder="1" applyAlignment="1">
      <alignment horizontal="right" vertical="center"/>
    </xf>
    <xf numFmtId="3" fontId="33" fillId="0" borderId="71" xfId="6" applyNumberFormat="1" applyFont="1" applyFill="1" applyBorder="1" applyAlignment="1">
      <alignment vertical="center"/>
    </xf>
    <xf numFmtId="3" fontId="27" fillId="0" borderId="71" xfId="4" applyNumberFormat="1" applyFont="1" applyFill="1" applyBorder="1" applyAlignment="1">
      <alignment horizontal="right" vertical="center"/>
    </xf>
    <xf numFmtId="0" fontId="17" fillId="8" borderId="6" xfId="4" applyFont="1" applyFill="1" applyBorder="1" applyAlignment="1">
      <alignment vertical="top"/>
    </xf>
    <xf numFmtId="0" fontId="17" fillId="0" borderId="68" xfId="0" applyFont="1" applyFill="1" applyBorder="1" applyAlignment="1">
      <alignment horizontal="center" vertical="center"/>
    </xf>
    <xf numFmtId="0" fontId="27" fillId="55" borderId="94" xfId="4" applyFont="1" applyFill="1" applyBorder="1" applyAlignment="1">
      <alignment horizontal="left" vertical="center"/>
    </xf>
    <xf numFmtId="0" fontId="31" fillId="0" borderId="32" xfId="0" applyFont="1" applyFill="1" applyBorder="1" applyAlignment="1">
      <alignment horizontal="left" vertical="center" wrapText="1"/>
    </xf>
    <xf numFmtId="3" fontId="25" fillId="0" borderId="93" xfId="0" applyNumberFormat="1" applyFont="1" applyFill="1" applyBorder="1" applyAlignment="1">
      <alignment vertical="top"/>
    </xf>
    <xf numFmtId="3" fontId="27" fillId="22" borderId="91" xfId="0" applyNumberFormat="1" applyFont="1" applyFill="1" applyBorder="1" applyAlignment="1">
      <alignment vertical="top"/>
    </xf>
    <xf numFmtId="0" fontId="31" fillId="0" borderId="36" xfId="4" applyFont="1" applyFill="1" applyBorder="1" applyAlignment="1">
      <alignment horizontal="left" vertical="center"/>
    </xf>
    <xf numFmtId="3" fontId="31" fillId="59" borderId="91" xfId="0" applyNumberFormat="1" applyFont="1" applyFill="1" applyBorder="1" applyAlignment="1">
      <alignment horizontal="right" vertical="center"/>
    </xf>
    <xf numFmtId="0" fontId="31" fillId="0" borderId="32" xfId="4" applyFont="1" applyFill="1" applyBorder="1" applyAlignment="1">
      <alignment vertical="center"/>
    </xf>
    <xf numFmtId="3" fontId="25" fillId="0" borderId="9" xfId="0" applyNumberFormat="1" applyFont="1" applyFill="1" applyBorder="1" applyAlignment="1">
      <alignment vertical="top"/>
    </xf>
    <xf numFmtId="3" fontId="31" fillId="57" borderId="9" xfId="0" applyNumberFormat="1" applyFont="1" applyFill="1" applyBorder="1" applyAlignment="1">
      <alignment vertical="top"/>
    </xf>
    <xf numFmtId="3" fontId="31" fillId="59" borderId="9" xfId="0" applyNumberFormat="1" applyFont="1" applyFill="1" applyBorder="1" applyAlignment="1">
      <alignment vertical="top"/>
    </xf>
    <xf numFmtId="0" fontId="66" fillId="61" borderId="21" xfId="0" applyFont="1" applyFill="1" applyBorder="1"/>
    <xf numFmtId="0" fontId="66" fillId="62" borderId="32" xfId="0" applyFont="1" applyFill="1" applyBorder="1"/>
    <xf numFmtId="0" fontId="66" fillId="56" borderId="32" xfId="0" applyFont="1" applyFill="1" applyBorder="1" applyAlignment="1">
      <alignment vertical="center"/>
    </xf>
    <xf numFmtId="0" fontId="42" fillId="63" borderId="0" xfId="0" applyFont="1" applyFill="1" applyBorder="1"/>
    <xf numFmtId="0" fontId="8" fillId="0" borderId="106" xfId="0" applyFont="1" applyFill="1" applyBorder="1" applyAlignment="1">
      <alignment vertical="center" wrapText="1"/>
    </xf>
    <xf numFmtId="0" fontId="31" fillId="55" borderId="32" xfId="4" applyFont="1" applyFill="1" applyBorder="1" applyAlignment="1">
      <alignment horizontal="left" vertical="center"/>
    </xf>
    <xf numFmtId="0" fontId="42" fillId="63" borderId="117" xfId="0" applyFont="1" applyFill="1" applyBorder="1"/>
    <xf numFmtId="0" fontId="27" fillId="2" borderId="115" xfId="4" applyFont="1" applyFill="1" applyBorder="1" applyAlignment="1">
      <alignment vertical="top"/>
    </xf>
    <xf numFmtId="0" fontId="6" fillId="0" borderId="28" xfId="0" applyFont="1" applyFill="1" applyBorder="1" applyAlignment="1">
      <alignment vertical="center" wrapText="1"/>
    </xf>
    <xf numFmtId="0" fontId="42" fillId="63" borderId="84" xfId="0" applyFont="1" applyFill="1" applyBorder="1"/>
    <xf numFmtId="3" fontId="28" fillId="0" borderId="91" xfId="0" applyNumberFormat="1" applyFont="1" applyFill="1" applyBorder="1" applyAlignment="1">
      <alignment vertical="center"/>
    </xf>
    <xf numFmtId="3" fontId="27" fillId="0" borderId="91" xfId="0" applyNumberFormat="1" applyFont="1" applyFill="1" applyBorder="1" applyAlignment="1">
      <alignment horizontal="right" vertical="center"/>
    </xf>
    <xf numFmtId="0" fontId="7" fillId="0" borderId="21" xfId="0" applyFont="1" applyFill="1" applyBorder="1" applyAlignment="1">
      <alignment vertical="center" wrapText="1"/>
    </xf>
    <xf numFmtId="0" fontId="17" fillId="2" borderId="43" xfId="0" applyFont="1" applyFill="1" applyBorder="1" applyAlignment="1">
      <alignment vertical="center" wrapText="1"/>
    </xf>
    <xf numFmtId="0" fontId="65" fillId="6" borderId="20" xfId="4" applyFont="1" applyFill="1" applyBorder="1" applyAlignment="1">
      <alignment horizontal="left" vertical="center"/>
    </xf>
    <xf numFmtId="3" fontId="27" fillId="57" borderId="91" xfId="0" applyNumberFormat="1" applyFont="1" applyFill="1" applyBorder="1" applyAlignment="1">
      <alignment horizontal="right" vertical="center"/>
    </xf>
    <xf numFmtId="3" fontId="27" fillId="59" borderId="91" xfId="0" applyNumberFormat="1" applyFont="1" applyFill="1" applyBorder="1" applyAlignment="1">
      <alignment horizontal="right" vertical="center"/>
    </xf>
    <xf numFmtId="3" fontId="31" fillId="0" borderId="102" xfId="0" applyNumberFormat="1" applyFont="1" applyFill="1" applyBorder="1" applyAlignment="1">
      <alignment vertical="center"/>
    </xf>
    <xf numFmtId="3" fontId="31" fillId="22" borderId="35" xfId="0" applyNumberFormat="1" applyFont="1" applyFill="1" applyBorder="1" applyAlignment="1">
      <alignment vertical="center"/>
    </xf>
    <xf numFmtId="3" fontId="28" fillId="0" borderId="91" xfId="0" applyNumberFormat="1" applyFont="1" applyFill="1" applyBorder="1" applyAlignment="1">
      <alignment horizontal="right" vertical="center"/>
    </xf>
    <xf numFmtId="3" fontId="28" fillId="57" borderId="91" xfId="0" applyNumberFormat="1" applyFont="1" applyFill="1" applyBorder="1" applyAlignment="1">
      <alignment horizontal="right" vertical="center"/>
    </xf>
    <xf numFmtId="3" fontId="28" fillId="59" borderId="91" xfId="0" applyNumberFormat="1" applyFont="1" applyFill="1" applyBorder="1" applyAlignment="1">
      <alignment horizontal="right" vertical="center"/>
    </xf>
    <xf numFmtId="3" fontId="28" fillId="0" borderId="93" xfId="0" applyNumberFormat="1" applyFont="1" applyFill="1" applyBorder="1" applyAlignment="1">
      <alignment vertical="top"/>
    </xf>
    <xf numFmtId="3" fontId="28" fillId="0" borderId="102" xfId="0" applyNumberFormat="1" applyFont="1" applyFill="1" applyBorder="1" applyAlignment="1">
      <alignment vertical="center"/>
    </xf>
    <xf numFmtId="3" fontId="28" fillId="22" borderId="35" xfId="0" applyNumberFormat="1" applyFont="1" applyFill="1" applyBorder="1" applyAlignment="1">
      <alignment vertical="center"/>
    </xf>
    <xf numFmtId="3" fontId="27" fillId="22" borderId="35" xfId="0" applyNumberFormat="1" applyFont="1" applyFill="1" applyBorder="1" applyAlignment="1">
      <alignment vertical="center"/>
    </xf>
    <xf numFmtId="3" fontId="25" fillId="0" borderId="104" xfId="0" applyNumberFormat="1" applyFont="1" applyFill="1" applyBorder="1" applyAlignment="1">
      <alignment vertical="center"/>
    </xf>
    <xf numFmtId="3" fontId="25" fillId="0" borderId="104" xfId="0" applyNumberFormat="1" applyFont="1" applyFill="1" applyBorder="1" applyAlignment="1">
      <alignment horizontal="right" vertical="center"/>
    </xf>
    <xf numFmtId="3" fontId="25" fillId="57" borderId="104" xfId="0" applyNumberFormat="1" applyFont="1" applyFill="1" applyBorder="1" applyAlignment="1">
      <alignment horizontal="right" vertical="center"/>
    </xf>
    <xf numFmtId="3" fontId="25" fillId="59" borderId="104" xfId="0" applyNumberFormat="1" applyFont="1" applyFill="1" applyBorder="1" applyAlignment="1">
      <alignment horizontal="right" vertical="center"/>
    </xf>
    <xf numFmtId="3" fontId="25" fillId="0" borderId="104" xfId="0" applyNumberFormat="1" applyFont="1" applyFill="1" applyBorder="1" applyAlignment="1">
      <alignment vertical="top"/>
    </xf>
    <xf numFmtId="0" fontId="7" fillId="0" borderId="108" xfId="0" applyFont="1" applyFill="1" applyBorder="1" applyAlignment="1">
      <alignment vertical="center" wrapText="1"/>
    </xf>
    <xf numFmtId="3" fontId="28" fillId="0" borderId="103" xfId="0" applyNumberFormat="1" applyFont="1" applyFill="1" applyBorder="1" applyAlignment="1">
      <alignment vertical="center"/>
    </xf>
    <xf numFmtId="3" fontId="28" fillId="0" borderId="103" xfId="0" applyNumberFormat="1" applyFont="1" applyFill="1" applyBorder="1" applyAlignment="1">
      <alignment horizontal="right" vertical="center"/>
    </xf>
    <xf numFmtId="3" fontId="28" fillId="57" borderId="103" xfId="0" applyNumberFormat="1" applyFont="1" applyFill="1" applyBorder="1" applyAlignment="1">
      <alignment horizontal="right" vertical="center"/>
    </xf>
    <xf numFmtId="3" fontId="28" fillId="59" borderId="103" xfId="0" applyNumberFormat="1" applyFont="1" applyFill="1" applyBorder="1" applyAlignment="1">
      <alignment horizontal="right" vertical="center"/>
    </xf>
    <xf numFmtId="3" fontId="28" fillId="0" borderId="103" xfId="0" applyNumberFormat="1" applyFont="1" applyFill="1" applyBorder="1" applyAlignment="1">
      <alignment vertical="top"/>
    </xf>
    <xf numFmtId="3" fontId="31" fillId="8" borderId="114" xfId="0" applyNumberFormat="1" applyFont="1" applyFill="1" applyBorder="1" applyAlignment="1">
      <alignment vertical="top"/>
    </xf>
    <xf numFmtId="0" fontId="31" fillId="8" borderId="110" xfId="0" applyFont="1" applyFill="1" applyBorder="1" applyAlignment="1">
      <alignment vertical="top"/>
    </xf>
    <xf numFmtId="0" fontId="31" fillId="57" borderId="110" xfId="0" applyFont="1" applyFill="1" applyBorder="1" applyAlignment="1">
      <alignment vertical="top"/>
    </xf>
    <xf numFmtId="3" fontId="31" fillId="57" borderId="110" xfId="0" applyNumberFormat="1" applyFont="1" applyFill="1" applyBorder="1" applyAlignment="1">
      <alignment vertical="top"/>
    </xf>
    <xf numFmtId="3" fontId="31" fillId="59" borderId="110" xfId="0" applyNumberFormat="1" applyFont="1" applyFill="1" applyBorder="1" applyAlignment="1">
      <alignment vertical="top"/>
    </xf>
    <xf numFmtId="0" fontId="31" fillId="59" borderId="110" xfId="0" applyFont="1" applyFill="1" applyBorder="1" applyAlignment="1">
      <alignment vertical="top"/>
    </xf>
    <xf numFmtId="3" fontId="31" fillId="8" borderId="110" xfId="0" applyNumberFormat="1" applyFont="1" applyFill="1" applyBorder="1" applyAlignment="1">
      <alignment vertical="top"/>
    </xf>
    <xf numFmtId="0" fontId="31" fillId="8" borderId="105" xfId="0" applyFont="1" applyFill="1" applyBorder="1" applyAlignment="1">
      <alignment vertical="top"/>
    </xf>
    <xf numFmtId="3" fontId="25" fillId="22" borderId="104" xfId="0" applyNumberFormat="1" applyFont="1" applyFill="1" applyBorder="1" applyAlignment="1">
      <alignment horizontal="center" vertical="center"/>
    </xf>
    <xf numFmtId="0" fontId="65" fillId="6" borderId="106" xfId="4" applyFont="1" applyFill="1" applyBorder="1" applyAlignment="1">
      <alignment horizontal="left" vertical="center"/>
    </xf>
    <xf numFmtId="3" fontId="25" fillId="22" borderId="104" xfId="0" applyNumberFormat="1" applyFont="1" applyFill="1" applyBorder="1" applyAlignment="1">
      <alignment horizontal="right" vertical="center"/>
    </xf>
    <xf numFmtId="3" fontId="31" fillId="22" borderId="104" xfId="0" applyNumberFormat="1" applyFont="1" applyFill="1" applyBorder="1" applyAlignment="1">
      <alignment horizontal="right" vertical="center"/>
    </xf>
    <xf numFmtId="3" fontId="28" fillId="0" borderId="104" xfId="0" applyNumberFormat="1" applyFont="1" applyFill="1" applyBorder="1" applyAlignment="1">
      <alignment horizontal="right" vertical="center"/>
    </xf>
    <xf numFmtId="3" fontId="28" fillId="57" borderId="104" xfId="0" applyNumberFormat="1" applyFont="1" applyFill="1" applyBorder="1" applyAlignment="1">
      <alignment horizontal="right" vertical="center"/>
    </xf>
    <xf numFmtId="3" fontId="28" fillId="59" borderId="104" xfId="0" applyNumberFormat="1" applyFont="1" applyFill="1" applyBorder="1" applyAlignment="1">
      <alignment horizontal="right" vertical="center"/>
    </xf>
    <xf numFmtId="3" fontId="28" fillId="0" borderId="104" xfId="0" applyNumberFormat="1" applyFont="1" applyFill="1" applyBorder="1" applyAlignment="1">
      <alignment vertical="top"/>
    </xf>
    <xf numFmtId="3" fontId="28" fillId="22" borderId="104" xfId="0" applyNumberFormat="1" applyFont="1" applyFill="1" applyBorder="1" applyAlignment="1">
      <alignment horizontal="right" vertical="center"/>
    </xf>
    <xf numFmtId="0" fontId="25" fillId="8" borderId="85" xfId="0" applyFont="1" applyFill="1" applyBorder="1" applyAlignment="1">
      <alignment horizontal="center" vertical="center" wrapText="1"/>
    </xf>
    <xf numFmtId="3" fontId="25" fillId="22" borderId="35" xfId="0" applyNumberFormat="1" applyFont="1" applyFill="1" applyBorder="1" applyAlignment="1">
      <alignment horizontal="right" vertical="center"/>
    </xf>
    <xf numFmtId="3" fontId="27" fillId="2" borderId="21" xfId="4" applyNumberFormat="1" applyFont="1" applyFill="1" applyBorder="1" applyAlignment="1">
      <alignment vertical="center" wrapText="1"/>
    </xf>
    <xf numFmtId="0" fontId="8" fillId="0" borderId="21" xfId="0" applyFont="1" applyBorder="1" applyAlignment="1">
      <alignment vertical="center" wrapText="1"/>
    </xf>
    <xf numFmtId="0" fontId="7" fillId="0" borderId="32" xfId="0" applyFont="1" applyBorder="1" applyAlignment="1">
      <alignment vertical="center" wrapText="1"/>
    </xf>
    <xf numFmtId="0" fontId="17" fillId="2" borderId="41" xfId="0" applyFont="1" applyFill="1" applyBorder="1" applyAlignment="1">
      <alignment vertical="center" wrapText="1"/>
    </xf>
    <xf numFmtId="0" fontId="7" fillId="0" borderId="25" xfId="0" applyFont="1" applyBorder="1" applyAlignment="1">
      <alignment vertical="center" wrapText="1"/>
    </xf>
    <xf numFmtId="0" fontId="7" fillId="0" borderId="22" xfId="0" applyFont="1" applyBorder="1" applyAlignment="1">
      <alignment vertical="center" wrapText="1"/>
    </xf>
    <xf numFmtId="3" fontId="28" fillId="0" borderId="12" xfId="0" applyNumberFormat="1" applyFont="1" applyFill="1" applyBorder="1" applyAlignment="1">
      <alignment vertical="center"/>
    </xf>
    <xf numFmtId="3" fontId="28" fillId="0" borderId="12" xfId="0" applyNumberFormat="1" applyFont="1" applyFill="1" applyBorder="1" applyAlignment="1">
      <alignment horizontal="right" vertical="center"/>
    </xf>
    <xf numFmtId="3" fontId="28" fillId="57" borderId="12" xfId="0" applyNumberFormat="1" applyFont="1" applyFill="1" applyBorder="1" applyAlignment="1">
      <alignment horizontal="right" vertical="center"/>
    </xf>
    <xf numFmtId="3" fontId="28" fillId="59" borderId="12" xfId="0" applyNumberFormat="1" applyFont="1" applyFill="1" applyBorder="1" applyAlignment="1">
      <alignment horizontal="right" vertical="center"/>
    </xf>
    <xf numFmtId="3" fontId="28" fillId="0" borderId="23" xfId="0" applyNumberFormat="1" applyFont="1" applyFill="1" applyBorder="1" applyAlignment="1">
      <alignment vertical="top"/>
    </xf>
    <xf numFmtId="3" fontId="28" fillId="0" borderId="74" xfId="0" applyNumberFormat="1" applyFont="1" applyFill="1" applyBorder="1" applyAlignment="1">
      <alignment vertical="center"/>
    </xf>
    <xf numFmtId="0" fontId="31" fillId="6" borderId="28" xfId="0" applyFont="1" applyFill="1" applyBorder="1" applyAlignment="1">
      <alignment vertical="center"/>
    </xf>
    <xf numFmtId="3" fontId="25" fillId="57" borderId="93" xfId="0" applyNumberFormat="1" applyFont="1" applyFill="1" applyBorder="1" applyAlignment="1">
      <alignment vertical="center"/>
    </xf>
    <xf numFmtId="3" fontId="25" fillId="59" borderId="93" xfId="0" applyNumberFormat="1" applyFont="1" applyFill="1" applyBorder="1" applyAlignment="1">
      <alignment vertical="center"/>
    </xf>
    <xf numFmtId="3" fontId="25" fillId="22" borderId="93" xfId="0" applyNumberFormat="1" applyFont="1" applyFill="1" applyBorder="1" applyAlignment="1">
      <alignment vertical="center"/>
    </xf>
    <xf numFmtId="3" fontId="27" fillId="2" borderId="9" xfId="0" applyNumberFormat="1" applyFont="1" applyFill="1" applyBorder="1" applyAlignment="1">
      <alignment vertical="top"/>
    </xf>
    <xf numFmtId="3" fontId="7" fillId="23" borderId="104" xfId="0" applyNumberFormat="1" applyFont="1" applyFill="1" applyBorder="1" applyAlignment="1">
      <alignment horizontal="center" vertical="center"/>
    </xf>
    <xf numFmtId="3" fontId="31" fillId="0" borderId="35" xfId="0" applyNumberFormat="1" applyFont="1" applyFill="1" applyBorder="1" applyAlignment="1">
      <alignment vertical="top"/>
    </xf>
    <xf numFmtId="0" fontId="21" fillId="32" borderId="39" xfId="0" quotePrefix="1" applyFont="1" applyFill="1" applyBorder="1" applyAlignment="1">
      <alignment horizontal="center" vertical="top"/>
    </xf>
    <xf numFmtId="3" fontId="29" fillId="0" borderId="118" xfId="4" applyNumberFormat="1" applyFont="1" applyFill="1" applyBorder="1" applyAlignment="1">
      <alignment horizontal="right" vertical="center"/>
    </xf>
    <xf numFmtId="43" fontId="29" fillId="0" borderId="118" xfId="1" applyFont="1" applyFill="1" applyBorder="1" applyAlignment="1">
      <alignment horizontal="right" vertical="center"/>
    </xf>
    <xf numFmtId="3" fontId="29" fillId="0" borderId="119" xfId="4" applyNumberFormat="1" applyFont="1" applyFill="1" applyBorder="1" applyAlignment="1">
      <alignment horizontal="right" vertical="center"/>
    </xf>
    <xf numFmtId="3" fontId="7" fillId="0" borderId="118" xfId="4" applyNumberFormat="1" applyFont="1" applyFill="1" applyBorder="1" applyAlignment="1">
      <alignment horizontal="right" vertical="center"/>
    </xf>
    <xf numFmtId="0" fontId="7" fillId="0" borderId="32" xfId="4" applyFont="1" applyFill="1" applyBorder="1" applyAlignment="1">
      <alignment vertical="center"/>
    </xf>
    <xf numFmtId="3" fontId="7" fillId="0" borderId="120" xfId="4" applyNumberFormat="1" applyFont="1" applyFill="1" applyBorder="1" applyAlignment="1">
      <alignment horizontal="right" vertical="center"/>
    </xf>
    <xf numFmtId="3" fontId="31" fillId="0" borderId="112" xfId="4" applyNumberFormat="1" applyFont="1" applyFill="1" applyBorder="1" applyAlignment="1">
      <alignment horizontal="right" vertical="center"/>
    </xf>
    <xf numFmtId="3" fontId="31" fillId="0" borderId="120" xfId="4" applyNumberFormat="1" applyFont="1" applyFill="1" applyBorder="1" applyAlignment="1">
      <alignment horizontal="right" vertical="center"/>
    </xf>
    <xf numFmtId="3" fontId="31" fillId="2" borderId="109" xfId="4" applyNumberFormat="1" applyFont="1" applyFill="1" applyBorder="1" applyAlignment="1">
      <alignment horizontal="right" vertical="center"/>
    </xf>
    <xf numFmtId="3" fontId="23" fillId="6" borderId="119" xfId="6" applyNumberFormat="1" applyFont="1" applyFill="1" applyBorder="1" applyAlignment="1">
      <alignment horizontal="right" vertical="center"/>
    </xf>
    <xf numFmtId="43" fontId="23" fillId="6" borderId="119" xfId="1" applyFont="1" applyFill="1" applyBorder="1" applyAlignment="1">
      <alignment horizontal="right" vertical="center"/>
    </xf>
    <xf numFmtId="3" fontId="31" fillId="0" borderId="118" xfId="4" applyNumberFormat="1" applyFont="1" applyFill="1" applyBorder="1" applyAlignment="1">
      <alignment horizontal="right" vertical="center"/>
    </xf>
    <xf numFmtId="3" fontId="27" fillId="55" borderId="6" xfId="4" applyNumberFormat="1" applyFont="1" applyFill="1" applyBorder="1" applyAlignment="1">
      <alignment horizontal="left" vertical="center"/>
    </xf>
    <xf numFmtId="3" fontId="29" fillId="8" borderId="30" xfId="4" applyNumberFormat="1" applyFont="1" applyFill="1" applyBorder="1" applyAlignment="1">
      <alignment horizontal="right" vertical="center"/>
    </xf>
    <xf numFmtId="3" fontId="7" fillId="8" borderId="29" xfId="4" applyNumberFormat="1" applyFont="1" applyFill="1" applyBorder="1" applyAlignment="1">
      <alignment horizontal="right" vertical="center"/>
    </xf>
    <xf numFmtId="3" fontId="7" fillId="8" borderId="0" xfId="4" applyNumberFormat="1" applyFont="1" applyFill="1" applyBorder="1" applyAlignment="1">
      <alignment horizontal="right" vertical="center"/>
    </xf>
    <xf numFmtId="0" fontId="7" fillId="8" borderId="73" xfId="4" applyFont="1" applyFill="1" applyBorder="1" applyAlignment="1">
      <alignment vertical="center"/>
    </xf>
    <xf numFmtId="3" fontId="32" fillId="8" borderId="27" xfId="6" applyNumberFormat="1" applyFont="1" applyFill="1" applyBorder="1" applyAlignment="1">
      <alignment vertical="center"/>
    </xf>
    <xf numFmtId="0" fontId="24" fillId="8" borderId="36" xfId="4" applyFont="1" applyFill="1" applyBorder="1" applyAlignment="1">
      <alignment vertical="center" wrapText="1"/>
    </xf>
    <xf numFmtId="0" fontId="7" fillId="0" borderId="77" xfId="4" applyFont="1" applyFill="1" applyBorder="1" applyAlignment="1">
      <alignment horizontal="left" vertical="center"/>
    </xf>
    <xf numFmtId="3" fontId="31" fillId="0" borderId="24" xfId="4" applyNumberFormat="1" applyFont="1" applyFill="1" applyBorder="1" applyAlignment="1">
      <alignment horizontal="right" vertical="center"/>
    </xf>
    <xf numFmtId="3" fontId="31" fillId="25" borderId="74" xfId="4" applyNumberFormat="1" applyFont="1" applyFill="1" applyBorder="1" applyAlignment="1">
      <alignment horizontal="right" vertical="center"/>
    </xf>
    <xf numFmtId="0" fontId="7" fillId="0" borderId="32" xfId="4" applyFont="1" applyFill="1" applyBorder="1" applyAlignment="1">
      <alignment horizontal="left" vertical="center"/>
    </xf>
    <xf numFmtId="0" fontId="7" fillId="0" borderId="21" xfId="4" applyFont="1" applyFill="1" applyBorder="1" applyAlignment="1">
      <alignment horizontal="left" vertical="center"/>
    </xf>
    <xf numFmtId="0" fontId="7" fillId="0" borderId="108" xfId="4" applyFont="1" applyFill="1" applyBorder="1" applyAlignment="1">
      <alignment horizontal="left" vertical="center"/>
    </xf>
    <xf numFmtId="0" fontId="31" fillId="0" borderId="77" xfId="4" applyFont="1" applyFill="1" applyBorder="1" applyAlignment="1">
      <alignment horizontal="left" vertical="center"/>
    </xf>
    <xf numFmtId="0" fontId="31" fillId="0" borderId="32" xfId="4" applyFont="1" applyFill="1" applyBorder="1" applyAlignment="1">
      <alignment horizontal="left" vertical="center"/>
    </xf>
    <xf numFmtId="0" fontId="23" fillId="0" borderId="73" xfId="0" applyFont="1" applyBorder="1" applyAlignment="1">
      <alignment vertical="center"/>
    </xf>
    <xf numFmtId="0" fontId="23" fillId="0" borderId="6" xfId="0" applyFont="1" applyBorder="1" applyAlignment="1">
      <alignment vertical="center"/>
    </xf>
    <xf numFmtId="0" fontId="25" fillId="6" borderId="106" xfId="4" applyFont="1" applyFill="1" applyBorder="1" applyAlignment="1">
      <alignment horizontal="left" vertical="center"/>
    </xf>
    <xf numFmtId="3" fontId="25" fillId="6" borderId="119" xfId="4" applyNumberFormat="1" applyFont="1" applyFill="1" applyBorder="1" applyAlignment="1">
      <alignment horizontal="right" vertical="center"/>
    </xf>
    <xf numFmtId="3" fontId="25" fillId="22" borderId="118" xfId="4" applyNumberFormat="1" applyFont="1" applyFill="1" applyBorder="1" applyAlignment="1">
      <alignment horizontal="right" vertical="center"/>
    </xf>
    <xf numFmtId="3" fontId="27" fillId="0" borderId="109" xfId="4" applyNumberFormat="1" applyFont="1" applyFill="1" applyBorder="1" applyAlignment="1">
      <alignment horizontal="right" vertical="center"/>
    </xf>
    <xf numFmtId="3" fontId="27" fillId="25" borderId="119" xfId="4" applyNumberFormat="1" applyFont="1" applyFill="1" applyBorder="1" applyAlignment="1">
      <alignment horizontal="right" vertical="center"/>
    </xf>
    <xf numFmtId="3" fontId="7" fillId="0" borderId="119" xfId="4" applyNumberFormat="1" applyFont="1" applyFill="1" applyBorder="1" applyAlignment="1">
      <alignment horizontal="right" vertical="center"/>
    </xf>
    <xf numFmtId="3" fontId="31" fillId="0" borderId="119" xfId="4" applyNumberFormat="1" applyFont="1" applyFill="1" applyBorder="1" applyAlignment="1">
      <alignment horizontal="right" vertical="center"/>
    </xf>
    <xf numFmtId="3" fontId="33" fillId="0" borderId="119" xfId="6" applyNumberFormat="1" applyFont="1" applyFill="1" applyBorder="1" applyAlignment="1">
      <alignment vertical="center"/>
    </xf>
    <xf numFmtId="3" fontId="33" fillId="0" borderId="118" xfId="6" applyNumberFormat="1" applyFont="1" applyFill="1" applyBorder="1" applyAlignment="1">
      <alignment vertical="center"/>
    </xf>
    <xf numFmtId="3" fontId="32" fillId="0" borderId="118" xfId="6" applyNumberFormat="1" applyFont="1" applyFill="1" applyBorder="1" applyAlignment="1">
      <alignment vertical="center"/>
    </xf>
    <xf numFmtId="3" fontId="27" fillId="0" borderId="119" xfId="4" applyNumberFormat="1" applyFont="1" applyFill="1" applyBorder="1" applyAlignment="1">
      <alignment horizontal="right" vertical="center"/>
    </xf>
    <xf numFmtId="3" fontId="24" fillId="6" borderId="110" xfId="4" applyNumberFormat="1" applyFont="1" applyFill="1" applyBorder="1" applyAlignment="1">
      <alignment horizontal="right" vertical="center"/>
    </xf>
    <xf numFmtId="3" fontId="24" fillId="6" borderId="118" xfId="4" applyNumberFormat="1" applyFont="1" applyFill="1" applyBorder="1" applyAlignment="1">
      <alignment horizontal="right" vertical="center"/>
    </xf>
    <xf numFmtId="43" fontId="24" fillId="6" borderId="118" xfId="1" applyFont="1" applyFill="1" applyBorder="1" applyAlignment="1">
      <alignment horizontal="right" vertical="center"/>
    </xf>
    <xf numFmtId="3" fontId="27" fillId="0" borderId="118" xfId="4" applyNumberFormat="1" applyFont="1" applyFill="1" applyBorder="1" applyAlignment="1">
      <alignment horizontal="right" vertical="center"/>
    </xf>
    <xf numFmtId="43" fontId="7" fillId="0" borderId="119" xfId="1" applyFont="1" applyFill="1" applyBorder="1" applyAlignment="1">
      <alignment horizontal="right" vertical="center"/>
    </xf>
    <xf numFmtId="3" fontId="32" fillId="0" borderId="119" xfId="6" applyNumberFormat="1" applyFont="1" applyFill="1" applyBorder="1" applyAlignment="1">
      <alignment vertical="center"/>
    </xf>
    <xf numFmtId="43" fontId="7" fillId="0" borderId="120" xfId="1" applyFont="1" applyFill="1" applyBorder="1" applyAlignment="1">
      <alignment horizontal="right" vertical="center"/>
    </xf>
    <xf numFmtId="43" fontId="33" fillId="0" borderId="118" xfId="1" applyFont="1" applyFill="1" applyBorder="1" applyAlignment="1">
      <alignment vertical="center"/>
    </xf>
    <xf numFmtId="3" fontId="27" fillId="2" borderId="115" xfId="4" applyNumberFormat="1" applyFont="1" applyFill="1" applyBorder="1" applyAlignment="1">
      <alignment vertical="center" wrapText="1"/>
    </xf>
    <xf numFmtId="43" fontId="32" fillId="0" borderId="118" xfId="1" applyFont="1" applyFill="1" applyBorder="1" applyAlignment="1">
      <alignment vertical="center"/>
    </xf>
    <xf numFmtId="3" fontId="24" fillId="22" borderId="118" xfId="4" applyNumberFormat="1" applyFont="1" applyFill="1" applyBorder="1" applyAlignment="1">
      <alignment horizontal="right" vertical="center"/>
    </xf>
    <xf numFmtId="3" fontId="33" fillId="0" borderId="119" xfId="6" applyNumberFormat="1" applyFont="1" applyFill="1" applyBorder="1" applyAlignment="1">
      <alignment horizontal="right" vertical="center"/>
    </xf>
    <xf numFmtId="3" fontId="24" fillId="22" borderId="119" xfId="4" applyNumberFormat="1" applyFont="1" applyFill="1" applyBorder="1" applyAlignment="1">
      <alignment horizontal="right" vertical="center"/>
    </xf>
    <xf numFmtId="43" fontId="33" fillId="0" borderId="119" xfId="1" applyFont="1" applyFill="1" applyBorder="1" applyAlignment="1">
      <alignment horizontal="right" vertical="center"/>
    </xf>
    <xf numFmtId="3" fontId="29" fillId="25" borderId="119" xfId="4" applyNumberFormat="1" applyFont="1" applyFill="1" applyBorder="1" applyAlignment="1">
      <alignment horizontal="right" vertical="center"/>
    </xf>
    <xf numFmtId="0" fontId="0" fillId="0" borderId="11" xfId="0" applyFont="1" applyBorder="1" applyAlignment="1">
      <alignment vertical="center"/>
    </xf>
    <xf numFmtId="0" fontId="17" fillId="0" borderId="25" xfId="4" applyFont="1" applyFill="1" applyBorder="1" applyAlignment="1">
      <alignment vertical="center"/>
    </xf>
    <xf numFmtId="3" fontId="0" fillId="0" borderId="0" xfId="0" applyNumberFormat="1" applyFont="1" applyAlignment="1">
      <alignment vertical="center"/>
    </xf>
    <xf numFmtId="0" fontId="17" fillId="8" borderId="6" xfId="4" applyFont="1" applyFill="1" applyBorder="1" applyAlignment="1">
      <alignment vertical="center"/>
    </xf>
    <xf numFmtId="0" fontId="17" fillId="8" borderId="22" xfId="4" applyFont="1" applyFill="1" applyBorder="1" applyAlignment="1">
      <alignment vertical="top"/>
    </xf>
    <xf numFmtId="3" fontId="7" fillId="23" borderId="118" xfId="0" applyNumberFormat="1" applyFont="1" applyFill="1" applyBorder="1" applyAlignment="1">
      <alignment vertical="center"/>
    </xf>
    <xf numFmtId="0" fontId="17" fillId="0" borderId="52" xfId="4" applyFont="1" applyFill="1" applyBorder="1" applyAlignment="1">
      <alignment horizontal="center" vertical="center"/>
    </xf>
    <xf numFmtId="3" fontId="27" fillId="2" borderId="38" xfId="4" applyNumberFormat="1" applyFont="1" applyFill="1" applyBorder="1" applyAlignment="1">
      <alignment horizontal="center" vertical="center" wrapText="1"/>
    </xf>
    <xf numFmtId="3" fontId="40" fillId="0" borderId="78" xfId="4" applyNumberFormat="1" applyFont="1" applyFill="1" applyBorder="1" applyAlignment="1">
      <alignment horizontal="right" vertical="center"/>
    </xf>
    <xf numFmtId="3" fontId="27" fillId="26" borderId="78" xfId="4" applyNumberFormat="1" applyFont="1" applyFill="1" applyBorder="1" applyAlignment="1">
      <alignment horizontal="center" vertical="center"/>
    </xf>
    <xf numFmtId="0" fontId="42" fillId="0" borderId="40" xfId="0" applyFont="1" applyBorder="1" applyAlignment="1">
      <alignment horizontal="center" vertical="center" wrapText="1"/>
    </xf>
    <xf numFmtId="0" fontId="18" fillId="0" borderId="46" xfId="4" applyFont="1" applyFill="1" applyBorder="1" applyAlignment="1">
      <alignment vertical="center" wrapText="1"/>
    </xf>
    <xf numFmtId="3" fontId="31" fillId="0" borderId="12" xfId="4" applyNumberFormat="1" applyFont="1" applyFill="1" applyBorder="1" applyAlignment="1">
      <alignment horizontal="right" vertical="center"/>
    </xf>
    <xf numFmtId="3" fontId="31" fillId="25" borderId="23" xfId="4" applyNumberFormat="1" applyFont="1" applyFill="1" applyBorder="1" applyAlignment="1">
      <alignment horizontal="right" vertical="center"/>
    </xf>
    <xf numFmtId="0" fontId="18" fillId="0" borderId="41" xfId="4" applyFont="1" applyFill="1" applyBorder="1" applyAlignment="1">
      <alignment vertical="center" wrapText="1"/>
    </xf>
    <xf numFmtId="3" fontId="33" fillId="0" borderId="23" xfId="6" applyNumberFormat="1" applyFont="1" applyFill="1" applyBorder="1" applyAlignment="1">
      <alignment vertical="center"/>
    </xf>
    <xf numFmtId="3" fontId="27" fillId="25" borderId="23" xfId="4" applyNumberFormat="1" applyFont="1" applyFill="1" applyBorder="1" applyAlignment="1">
      <alignment horizontal="right" vertical="center"/>
    </xf>
    <xf numFmtId="3" fontId="25" fillId="6" borderId="118" xfId="4" applyNumberFormat="1" applyFont="1" applyFill="1" applyBorder="1" applyAlignment="1">
      <alignment horizontal="right" vertical="center"/>
    </xf>
    <xf numFmtId="43" fontId="25" fillId="6" borderId="118" xfId="1" applyFont="1" applyFill="1" applyBorder="1" applyAlignment="1">
      <alignment horizontal="right" vertical="center"/>
    </xf>
    <xf numFmtId="43" fontId="27" fillId="0" borderId="119" xfId="1" applyFont="1" applyFill="1" applyBorder="1" applyAlignment="1">
      <alignment horizontal="right" vertical="center"/>
    </xf>
    <xf numFmtId="43" fontId="7" fillId="0" borderId="118" xfId="1" applyFont="1" applyFill="1" applyBorder="1" applyAlignment="1">
      <alignment horizontal="right" vertical="center"/>
    </xf>
    <xf numFmtId="3" fontId="31" fillId="0" borderId="119" xfId="4" applyNumberFormat="1" applyFont="1" applyFill="1" applyBorder="1" applyAlignment="1">
      <alignment vertical="center"/>
    </xf>
    <xf numFmtId="3" fontId="31" fillId="0" borderId="109" xfId="4" applyNumberFormat="1" applyFont="1" applyFill="1" applyBorder="1" applyAlignment="1">
      <alignment vertical="center"/>
    </xf>
    <xf numFmtId="0" fontId="27" fillId="2" borderId="32" xfId="4" applyFont="1" applyFill="1" applyBorder="1" applyAlignment="1">
      <alignment vertical="center"/>
    </xf>
    <xf numFmtId="0" fontId="31" fillId="2" borderId="77" xfId="0" applyFont="1" applyFill="1" applyBorder="1" applyAlignment="1">
      <alignment vertical="center"/>
    </xf>
    <xf numFmtId="0" fontId="0" fillId="0" borderId="126" xfId="0" applyFont="1" applyBorder="1" applyAlignment="1">
      <alignment vertical="center"/>
    </xf>
    <xf numFmtId="0" fontId="42" fillId="0" borderId="126" xfId="0" applyFont="1" applyBorder="1"/>
    <xf numFmtId="0" fontId="0" fillId="0" borderId="128" xfId="0" applyFont="1" applyBorder="1"/>
    <xf numFmtId="0" fontId="69" fillId="8" borderId="20" xfId="4" applyFont="1" applyFill="1" applyBorder="1" applyAlignment="1">
      <alignment vertical="center" wrapText="1"/>
    </xf>
    <xf numFmtId="3" fontId="29" fillId="8" borderId="29" xfId="0" applyNumberFormat="1" applyFont="1" applyFill="1" applyBorder="1" applyAlignment="1">
      <alignment vertical="center" wrapText="1"/>
    </xf>
    <xf numFmtId="3" fontId="69" fillId="8" borderId="29" xfId="0" applyNumberFormat="1" applyFont="1" applyFill="1" applyBorder="1" applyAlignment="1">
      <alignment vertical="center" wrapText="1"/>
    </xf>
    <xf numFmtId="43" fontId="69" fillId="8" borderId="29" xfId="1" applyFont="1" applyFill="1" applyBorder="1" applyAlignment="1">
      <alignment vertical="center" wrapText="1"/>
    </xf>
    <xf numFmtId="3" fontId="69" fillId="8" borderId="34" xfId="0" applyNumberFormat="1" applyFont="1" applyFill="1" applyBorder="1" applyAlignment="1">
      <alignment vertical="center" wrapText="1"/>
    </xf>
    <xf numFmtId="43" fontId="69" fillId="9" borderId="34" xfId="1" applyFont="1" applyFill="1" applyBorder="1" applyAlignment="1">
      <alignment vertical="center" wrapText="1"/>
    </xf>
    <xf numFmtId="3" fontId="8" fillId="0" borderId="0" xfId="0" applyNumberFormat="1" applyFont="1" applyFill="1" applyAlignment="1">
      <alignment vertical="center"/>
    </xf>
    <xf numFmtId="3" fontId="8" fillId="0" borderId="10" xfId="0" applyNumberFormat="1" applyFont="1" applyBorder="1" applyAlignment="1">
      <alignment vertical="center"/>
    </xf>
    <xf numFmtId="3" fontId="8" fillId="0" borderId="27" xfId="0" applyNumberFormat="1" applyFont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8" fillId="0" borderId="28" xfId="0" applyFont="1" applyFill="1" applyBorder="1" applyAlignment="1">
      <alignment vertical="center" wrapText="1"/>
    </xf>
    <xf numFmtId="43" fontId="8" fillId="0" borderId="35" xfId="1" applyFont="1" applyFill="1" applyBorder="1" applyAlignment="1">
      <alignment vertical="center" wrapText="1"/>
    </xf>
    <xf numFmtId="3" fontId="8" fillId="0" borderId="35" xfId="0" applyNumberFormat="1" applyFont="1" applyFill="1" applyBorder="1" applyAlignment="1">
      <alignment vertical="center" wrapText="1"/>
    </xf>
    <xf numFmtId="3" fontId="8" fillId="32" borderId="35" xfId="0" applyNumberFormat="1" applyFont="1" applyFill="1" applyBorder="1" applyAlignment="1">
      <alignment vertical="center" wrapText="1"/>
    </xf>
    <xf numFmtId="3" fontId="25" fillId="6" borderId="133" xfId="4" applyNumberFormat="1" applyFont="1" applyFill="1" applyBorder="1" applyAlignment="1">
      <alignment horizontal="right" vertical="center"/>
    </xf>
    <xf numFmtId="3" fontId="25" fillId="22" borderId="130" xfId="4" applyNumberFormat="1" applyFont="1" applyFill="1" applyBorder="1" applyAlignment="1">
      <alignment horizontal="right" vertical="center"/>
    </xf>
    <xf numFmtId="3" fontId="27" fillId="0" borderId="133" xfId="4" applyNumberFormat="1" applyFont="1" applyFill="1" applyBorder="1" applyAlignment="1">
      <alignment horizontal="right" vertical="center"/>
    </xf>
    <xf numFmtId="3" fontId="27" fillId="25" borderId="130" xfId="4" applyNumberFormat="1" applyFont="1" applyFill="1" applyBorder="1" applyAlignment="1">
      <alignment horizontal="right" vertical="center"/>
    </xf>
    <xf numFmtId="3" fontId="7" fillId="0" borderId="130" xfId="4" applyNumberFormat="1" applyFont="1" applyFill="1" applyBorder="1" applyAlignment="1">
      <alignment horizontal="right" vertical="center"/>
    </xf>
    <xf numFmtId="3" fontId="31" fillId="0" borderId="130" xfId="4" applyNumberFormat="1" applyFont="1" applyFill="1" applyBorder="1" applyAlignment="1">
      <alignment horizontal="right" vertical="center"/>
    </xf>
    <xf numFmtId="3" fontId="7" fillId="0" borderId="133" xfId="4" applyNumberFormat="1" applyFont="1" applyFill="1" applyBorder="1" applyAlignment="1">
      <alignment horizontal="right" vertical="center"/>
    </xf>
    <xf numFmtId="3" fontId="33" fillId="0" borderId="133" xfId="6" applyNumberFormat="1" applyFont="1" applyFill="1" applyBorder="1" applyAlignment="1">
      <alignment vertical="center"/>
    </xf>
    <xf numFmtId="3" fontId="31" fillId="0" borderId="133" xfId="4" applyNumberFormat="1" applyFont="1" applyFill="1" applyBorder="1" applyAlignment="1">
      <alignment horizontal="right" vertical="center"/>
    </xf>
    <xf numFmtId="3" fontId="24" fillId="22" borderId="104" xfId="4" applyNumberFormat="1" applyFont="1" applyFill="1" applyBorder="1" applyAlignment="1">
      <alignment horizontal="right" vertical="center"/>
    </xf>
    <xf numFmtId="3" fontId="7" fillId="25" borderId="0" xfId="4" applyNumberFormat="1" applyFont="1" applyFill="1" applyBorder="1" applyAlignment="1">
      <alignment horizontal="right" vertical="center"/>
    </xf>
    <xf numFmtId="43" fontId="32" fillId="0" borderId="104" xfId="1" applyFont="1" applyFill="1" applyBorder="1" applyAlignment="1">
      <alignment vertical="center"/>
    </xf>
    <xf numFmtId="3" fontId="32" fillId="0" borderId="105" xfId="6" applyNumberFormat="1" applyFont="1" applyFill="1" applyBorder="1" applyAlignment="1">
      <alignment vertical="center"/>
    </xf>
    <xf numFmtId="43" fontId="32" fillId="0" borderId="105" xfId="1" applyFont="1" applyFill="1" applyBorder="1" applyAlignment="1">
      <alignment vertical="center"/>
    </xf>
    <xf numFmtId="43" fontId="33" fillId="0" borderId="105" xfId="1" applyFont="1" applyFill="1" applyBorder="1" applyAlignment="1">
      <alignment vertical="center"/>
    </xf>
    <xf numFmtId="43" fontId="7" fillId="0" borderId="103" xfId="1" applyFont="1" applyFill="1" applyBorder="1" applyAlignment="1">
      <alignment horizontal="right" vertical="center"/>
    </xf>
    <xf numFmtId="0" fontId="7" fillId="0" borderId="83" xfId="4" applyFont="1" applyFill="1" applyBorder="1" applyAlignment="1">
      <alignment horizontal="left" vertical="center"/>
    </xf>
    <xf numFmtId="3" fontId="7" fillId="0" borderId="72" xfId="4" applyNumberFormat="1" applyFont="1" applyFill="1" applyBorder="1" applyAlignment="1">
      <alignment vertical="center"/>
    </xf>
    <xf numFmtId="3" fontId="7" fillId="0" borderId="47" xfId="4" applyNumberFormat="1" applyFont="1" applyFill="1" applyBorder="1" applyAlignment="1">
      <alignment horizontal="center" vertical="center"/>
    </xf>
    <xf numFmtId="43" fontId="32" fillId="0" borderId="23" xfId="1" applyFont="1" applyFill="1" applyBorder="1" applyAlignment="1">
      <alignment vertical="center"/>
    </xf>
    <xf numFmtId="0" fontId="24" fillId="6" borderId="28" xfId="4" applyFont="1" applyFill="1" applyBorder="1" applyAlignment="1">
      <alignment horizontal="left" vertical="center"/>
    </xf>
    <xf numFmtId="3" fontId="24" fillId="6" borderId="119" xfId="4" applyNumberFormat="1" applyFont="1" applyFill="1" applyBorder="1" applyAlignment="1">
      <alignment horizontal="right" vertical="center"/>
    </xf>
    <xf numFmtId="3" fontId="7" fillId="8" borderId="3" xfId="4" applyNumberFormat="1" applyFont="1" applyFill="1" applyBorder="1" applyAlignment="1">
      <alignment horizontal="right" vertical="center"/>
    </xf>
    <xf numFmtId="43" fontId="27" fillId="0" borderId="27" xfId="1" applyFont="1" applyFill="1" applyBorder="1" applyAlignment="1">
      <alignment horizontal="right" vertical="center"/>
    </xf>
    <xf numFmtId="43" fontId="7" fillId="0" borderId="105" xfId="1" applyFont="1" applyFill="1" applyBorder="1" applyAlignment="1">
      <alignment horizontal="right" vertical="center"/>
    </xf>
    <xf numFmtId="43" fontId="31" fillId="25" borderId="105" xfId="1" applyFont="1" applyFill="1" applyBorder="1" applyAlignment="1">
      <alignment horizontal="right" vertical="center"/>
    </xf>
    <xf numFmtId="43" fontId="31" fillId="0" borderId="105" xfId="1" applyFont="1" applyFill="1" applyBorder="1" applyAlignment="1">
      <alignment horizontal="right" vertical="center"/>
    </xf>
    <xf numFmtId="0" fontId="31" fillId="0" borderId="108" xfId="4" applyFont="1" applyFill="1" applyBorder="1" applyAlignment="1">
      <alignment vertical="center"/>
    </xf>
    <xf numFmtId="43" fontId="24" fillId="6" borderId="105" xfId="1" applyFont="1" applyFill="1" applyBorder="1" applyAlignment="1">
      <alignment vertical="center"/>
    </xf>
    <xf numFmtId="3" fontId="29" fillId="2" borderId="105" xfId="4" applyNumberFormat="1" applyFont="1" applyFill="1" applyBorder="1" applyAlignment="1">
      <alignment vertical="center"/>
    </xf>
    <xf numFmtId="3" fontId="27" fillId="2" borderId="105" xfId="4" applyNumberFormat="1" applyFont="1" applyFill="1" applyBorder="1" applyAlignment="1">
      <alignment vertical="center"/>
    </xf>
    <xf numFmtId="43" fontId="29" fillId="2" borderId="105" xfId="1" applyFont="1" applyFill="1" applyBorder="1" applyAlignment="1">
      <alignment vertical="center"/>
    </xf>
    <xf numFmtId="3" fontId="31" fillId="2" borderId="47" xfId="4" applyNumberFormat="1" applyFont="1" applyFill="1" applyBorder="1" applyAlignment="1">
      <alignment vertical="center"/>
    </xf>
    <xf numFmtId="3" fontId="31" fillId="2" borderId="72" xfId="4" applyNumberFormat="1" applyFont="1" applyFill="1" applyBorder="1" applyAlignment="1">
      <alignment vertical="center"/>
    </xf>
    <xf numFmtId="3" fontId="7" fillId="2" borderId="47" xfId="4" applyNumberFormat="1" applyFont="1" applyFill="1" applyBorder="1" applyAlignment="1">
      <alignment vertical="center"/>
    </xf>
    <xf numFmtId="43" fontId="7" fillId="2" borderId="47" xfId="1" applyFont="1" applyFill="1" applyBorder="1" applyAlignment="1">
      <alignment vertical="center"/>
    </xf>
    <xf numFmtId="3" fontId="31" fillId="2" borderId="74" xfId="4" applyNumberFormat="1" applyFont="1" applyFill="1" applyBorder="1" applyAlignment="1">
      <alignment vertical="center"/>
    </xf>
    <xf numFmtId="43" fontId="24" fillId="8" borderId="2" xfId="1" applyFont="1" applyFill="1" applyBorder="1" applyAlignment="1">
      <alignment horizontal="right" vertical="center"/>
    </xf>
    <xf numFmtId="3" fontId="23" fillId="6" borderId="93" xfId="6" applyNumberFormat="1" applyFont="1" applyFill="1" applyBorder="1" applyAlignment="1">
      <alignment horizontal="right" vertical="center"/>
    </xf>
    <xf numFmtId="43" fontId="23" fillId="6" borderId="93" xfId="1" applyFont="1" applyFill="1" applyBorder="1" applyAlignment="1">
      <alignment horizontal="right" vertical="center"/>
    </xf>
    <xf numFmtId="3" fontId="25" fillId="22" borderId="93" xfId="4" applyNumberFormat="1" applyFont="1" applyFill="1" applyBorder="1" applyAlignment="1">
      <alignment horizontal="right" vertical="center"/>
    </xf>
    <xf numFmtId="3" fontId="33" fillId="0" borderId="93" xfId="6" applyNumberFormat="1" applyFont="1" applyFill="1" applyBorder="1" applyAlignment="1">
      <alignment horizontal="right" vertical="center"/>
    </xf>
    <xf numFmtId="3" fontId="31" fillId="0" borderId="97" xfId="4" applyNumberFormat="1" applyFont="1" applyFill="1" applyBorder="1" applyAlignment="1">
      <alignment horizontal="right" vertical="center"/>
    </xf>
    <xf numFmtId="3" fontId="31" fillId="2" borderId="93" xfId="4" applyNumberFormat="1" applyFont="1" applyFill="1" applyBorder="1" applyAlignment="1">
      <alignment horizontal="right" vertical="center"/>
    </xf>
    <xf numFmtId="43" fontId="31" fillId="0" borderId="93" xfId="1" applyFont="1" applyFill="1" applyBorder="1" applyAlignment="1">
      <alignment horizontal="right" vertical="center"/>
    </xf>
    <xf numFmtId="3" fontId="31" fillId="0" borderId="13" xfId="4" applyNumberFormat="1" applyFont="1" applyFill="1" applyBorder="1" applyAlignment="1">
      <alignment horizontal="right" vertical="center"/>
    </xf>
    <xf numFmtId="3" fontId="31" fillId="0" borderId="27" xfId="4" applyNumberFormat="1" applyFont="1" applyFill="1" applyBorder="1" applyAlignment="1">
      <alignment horizontal="right" vertical="center"/>
    </xf>
    <xf numFmtId="43" fontId="31" fillId="0" borderId="27" xfId="1" applyFont="1" applyFill="1" applyBorder="1" applyAlignment="1">
      <alignment horizontal="right" vertical="center"/>
    </xf>
    <xf numFmtId="3" fontId="23" fillId="6" borderId="91" xfId="6" applyNumberFormat="1" applyFont="1" applyFill="1" applyBorder="1" applyAlignment="1">
      <alignment horizontal="right" vertical="center"/>
    </xf>
    <xf numFmtId="43" fontId="23" fillId="6" borderId="91" xfId="1" applyFont="1" applyFill="1" applyBorder="1" applyAlignment="1">
      <alignment horizontal="right" vertical="center"/>
    </xf>
    <xf numFmtId="3" fontId="33" fillId="0" borderId="95" xfId="6" applyNumberFormat="1" applyFont="1" applyFill="1" applyBorder="1" applyAlignment="1">
      <alignment horizontal="right" vertical="center"/>
    </xf>
    <xf numFmtId="43" fontId="33" fillId="0" borderId="95" xfId="1" applyFont="1" applyFill="1" applyBorder="1" applyAlignment="1">
      <alignment horizontal="right" vertical="center"/>
    </xf>
    <xf numFmtId="0" fontId="24" fillId="8" borderId="35" xfId="4" applyFont="1" applyFill="1" applyBorder="1" applyAlignment="1">
      <alignment vertical="center" wrapText="1"/>
    </xf>
    <xf numFmtId="0" fontId="24" fillId="8" borderId="35" xfId="4" applyFont="1" applyFill="1" applyBorder="1" applyAlignment="1">
      <alignment horizontal="center" vertical="center" wrapText="1"/>
    </xf>
    <xf numFmtId="3" fontId="24" fillId="8" borderId="35" xfId="4" applyNumberFormat="1" applyFont="1" applyFill="1" applyBorder="1" applyAlignment="1"/>
    <xf numFmtId="3" fontId="24" fillId="22" borderId="35" xfId="4" applyNumberFormat="1" applyFont="1" applyFill="1" applyBorder="1" applyAlignment="1">
      <alignment horizontal="right" vertical="center"/>
    </xf>
    <xf numFmtId="3" fontId="33" fillId="0" borderId="130" xfId="6" applyNumberFormat="1" applyFont="1" applyFill="1" applyBorder="1" applyAlignment="1">
      <alignment vertical="center"/>
    </xf>
    <xf numFmtId="0" fontId="7" fillId="0" borderId="132" xfId="4" applyFont="1" applyFill="1" applyBorder="1" applyAlignment="1">
      <alignment vertical="center"/>
    </xf>
    <xf numFmtId="3" fontId="32" fillId="0" borderId="132" xfId="6" applyNumberFormat="1" applyFont="1" applyFill="1" applyBorder="1" applyAlignment="1">
      <alignment vertical="center"/>
    </xf>
    <xf numFmtId="3" fontId="7" fillId="0" borderId="132" xfId="4" applyNumberFormat="1" applyFont="1" applyFill="1" applyBorder="1" applyAlignment="1">
      <alignment horizontal="right" vertical="center"/>
    </xf>
    <xf numFmtId="3" fontId="31" fillId="0" borderId="132" xfId="4" applyNumberFormat="1" applyFont="1" applyFill="1" applyBorder="1" applyAlignment="1">
      <alignment horizontal="right" vertical="center"/>
    </xf>
    <xf numFmtId="0" fontId="31" fillId="0" borderId="108" xfId="0" applyFont="1" applyFill="1" applyBorder="1" applyAlignment="1">
      <alignment horizontal="left" vertical="center" wrapText="1"/>
    </xf>
    <xf numFmtId="3" fontId="27" fillId="2" borderId="117" xfId="4" applyNumberFormat="1" applyFont="1" applyFill="1" applyBorder="1" applyAlignment="1">
      <alignment vertical="center" wrapText="1"/>
    </xf>
    <xf numFmtId="0" fontId="27" fillId="2" borderId="110" xfId="4" applyFont="1" applyFill="1" applyBorder="1" applyAlignment="1">
      <alignment vertical="top"/>
    </xf>
    <xf numFmtId="0" fontId="25" fillId="6" borderId="123" xfId="4" applyFont="1" applyFill="1" applyBorder="1" applyAlignment="1">
      <alignment horizontal="left" vertical="center"/>
    </xf>
    <xf numFmtId="3" fontId="27" fillId="0" borderId="131" xfId="4" applyNumberFormat="1" applyFont="1" applyFill="1" applyBorder="1" applyAlignment="1">
      <alignment horizontal="right" vertical="center"/>
    </xf>
    <xf numFmtId="3" fontId="27" fillId="0" borderId="121" xfId="4" applyNumberFormat="1" applyFont="1" applyFill="1" applyBorder="1" applyAlignment="1">
      <alignment horizontal="right" vertical="center"/>
    </xf>
    <xf numFmtId="3" fontId="27" fillId="25" borderId="133" xfId="4" applyNumberFormat="1" applyFont="1" applyFill="1" applyBorder="1" applyAlignment="1">
      <alignment horizontal="right" vertical="center"/>
    </xf>
    <xf numFmtId="3" fontId="7" fillId="0" borderId="131" xfId="4" applyNumberFormat="1" applyFont="1" applyFill="1" applyBorder="1" applyAlignment="1">
      <alignment horizontal="right" vertical="center"/>
    </xf>
    <xf numFmtId="3" fontId="7" fillId="0" borderId="121" xfId="4" applyNumberFormat="1" applyFont="1" applyFill="1" applyBorder="1" applyAlignment="1">
      <alignment horizontal="right" vertical="center"/>
    </xf>
    <xf numFmtId="3" fontId="27" fillId="2" borderId="123" xfId="4" applyNumberFormat="1" applyFont="1" applyFill="1" applyBorder="1" applyAlignment="1">
      <alignment vertical="center" wrapText="1"/>
    </xf>
    <xf numFmtId="0" fontId="18" fillId="0" borderId="42" xfId="0" applyFont="1" applyFill="1" applyBorder="1" applyAlignment="1">
      <alignment vertical="center" wrapText="1"/>
    </xf>
    <xf numFmtId="0" fontId="27" fillId="55" borderId="17" xfId="4" applyFont="1" applyFill="1" applyBorder="1" applyAlignment="1">
      <alignment horizontal="left" vertical="center"/>
    </xf>
    <xf numFmtId="3" fontId="32" fillId="8" borderId="37" xfId="6" applyNumberFormat="1" applyFont="1" applyFill="1" applyBorder="1" applyAlignment="1">
      <alignment vertical="center"/>
    </xf>
    <xf numFmtId="3" fontId="27" fillId="2" borderId="31" xfId="4" applyNumberFormat="1" applyFont="1" applyFill="1" applyBorder="1" applyAlignment="1">
      <alignment vertical="center" wrapText="1"/>
    </xf>
    <xf numFmtId="0" fontId="72" fillId="0" borderId="0" xfId="0" applyFont="1" applyFill="1"/>
    <xf numFmtId="0" fontId="71" fillId="0" borderId="0" xfId="0" applyFont="1"/>
    <xf numFmtId="0" fontId="72" fillId="0" borderId="0" xfId="0" applyFont="1"/>
    <xf numFmtId="0" fontId="70" fillId="2" borderId="0" xfId="0" applyFont="1" applyFill="1" applyBorder="1" applyAlignment="1">
      <alignment horizontal="center" wrapText="1"/>
    </xf>
    <xf numFmtId="0" fontId="71" fillId="0" borderId="0" xfId="0" applyFont="1" applyAlignment="1">
      <alignment horizontal="center" wrapText="1"/>
    </xf>
    <xf numFmtId="0" fontId="75" fillId="0" borderId="23" xfId="0" applyFont="1" applyBorder="1" applyAlignment="1">
      <alignment horizontal="center" vertical="center" wrapText="1"/>
    </xf>
    <xf numFmtId="0" fontId="73" fillId="0" borderId="12" xfId="0" applyFont="1" applyBorder="1" applyAlignment="1">
      <alignment horizontal="center" vertical="center"/>
    </xf>
    <xf numFmtId="0" fontId="74" fillId="0" borderId="12" xfId="4" applyFont="1" applyBorder="1" applyAlignment="1">
      <alignment horizontal="center" vertical="center" wrapText="1"/>
    </xf>
    <xf numFmtId="0" fontId="73" fillId="0" borderId="27" xfId="0" applyFont="1" applyBorder="1" applyAlignment="1">
      <alignment horizontal="center" vertical="center"/>
    </xf>
    <xf numFmtId="0" fontId="73" fillId="0" borderId="13" xfId="0" applyFont="1" applyBorder="1" applyAlignment="1">
      <alignment horizontal="center" vertical="center"/>
    </xf>
    <xf numFmtId="0" fontId="74" fillId="0" borderId="13" xfId="0" applyFont="1" applyBorder="1" applyAlignment="1">
      <alignment horizontal="center" vertical="center"/>
    </xf>
    <xf numFmtId="0" fontId="73" fillId="0" borderId="10" xfId="0" applyFont="1" applyBorder="1" applyAlignment="1">
      <alignment horizontal="center" vertical="center"/>
    </xf>
    <xf numFmtId="0" fontId="76" fillId="0" borderId="4" xfId="0" quotePrefix="1" applyFont="1" applyBorder="1" applyAlignment="1">
      <alignment horizontal="center" vertical="center"/>
    </xf>
    <xf numFmtId="3" fontId="76" fillId="0" borderId="4" xfId="0" applyNumberFormat="1" applyFont="1" applyBorder="1" applyAlignment="1">
      <alignment horizontal="center" vertical="center"/>
    </xf>
    <xf numFmtId="3" fontId="76" fillId="0" borderId="15" xfId="0" applyNumberFormat="1" applyFont="1" applyBorder="1" applyAlignment="1">
      <alignment horizontal="center" vertical="center"/>
    </xf>
    <xf numFmtId="3" fontId="76" fillId="0" borderId="15" xfId="0" quotePrefix="1" applyNumberFormat="1" applyFont="1" applyBorder="1" applyAlignment="1">
      <alignment horizontal="center" vertical="center"/>
    </xf>
    <xf numFmtId="3" fontId="76" fillId="0" borderId="39" xfId="0" quotePrefix="1" applyNumberFormat="1" applyFont="1" applyBorder="1" applyAlignment="1">
      <alignment horizontal="center" vertical="center"/>
    </xf>
    <xf numFmtId="3" fontId="77" fillId="0" borderId="39" xfId="0" quotePrefix="1" applyNumberFormat="1" applyFont="1" applyBorder="1" applyAlignment="1">
      <alignment horizontal="center" vertical="center"/>
    </xf>
    <xf numFmtId="3" fontId="76" fillId="0" borderId="2" xfId="0" quotePrefix="1" applyNumberFormat="1" applyFont="1" applyBorder="1" applyAlignment="1">
      <alignment horizontal="center" vertical="center"/>
    </xf>
    <xf numFmtId="0" fontId="72" fillId="0" borderId="0" xfId="0" applyFont="1" applyFill="1" applyAlignment="1">
      <alignment vertical="center"/>
    </xf>
    <xf numFmtId="0" fontId="71" fillId="0" borderId="0" xfId="0" applyFont="1" applyAlignment="1">
      <alignment vertical="center"/>
    </xf>
    <xf numFmtId="0" fontId="72" fillId="0" borderId="0" xfId="0" applyFont="1" applyAlignment="1">
      <alignment vertical="center"/>
    </xf>
    <xf numFmtId="3" fontId="79" fillId="37" borderId="39" xfId="0" applyNumberFormat="1" applyFont="1" applyFill="1" applyBorder="1" applyAlignment="1">
      <alignment vertical="center" wrapText="1"/>
    </xf>
    <xf numFmtId="3" fontId="79" fillId="38" borderId="40" xfId="0" applyNumberFormat="1" applyFont="1" applyFill="1" applyBorder="1" applyAlignment="1">
      <alignment vertical="center" wrapText="1"/>
    </xf>
    <xf numFmtId="165" fontId="80" fillId="0" borderId="0" xfId="0" applyNumberFormat="1" applyFont="1" applyFill="1" applyBorder="1" applyAlignment="1">
      <alignment vertical="center"/>
    </xf>
    <xf numFmtId="3" fontId="80" fillId="0" borderId="0" xfId="0" applyNumberFormat="1" applyFont="1" applyFill="1" applyAlignment="1">
      <alignment vertical="center"/>
    </xf>
    <xf numFmtId="0" fontId="80" fillId="0" borderId="0" xfId="0" applyFont="1" applyFill="1" applyBorder="1" applyAlignment="1">
      <alignment vertical="center"/>
    </xf>
    <xf numFmtId="3" fontId="79" fillId="6" borderId="39" xfId="0" applyNumberFormat="1" applyFont="1" applyFill="1" applyBorder="1" applyAlignment="1">
      <alignment vertical="center" wrapText="1"/>
    </xf>
    <xf numFmtId="3" fontId="79" fillId="39" borderId="40" xfId="0" applyNumberFormat="1" applyFont="1" applyFill="1" applyBorder="1" applyAlignment="1">
      <alignment horizontal="center" vertical="center" wrapText="1"/>
    </xf>
    <xf numFmtId="0" fontId="78" fillId="37" borderId="88" xfId="4" applyFont="1" applyFill="1" applyBorder="1" applyAlignment="1">
      <alignment horizontal="left" vertical="center"/>
    </xf>
    <xf numFmtId="0" fontId="71" fillId="37" borderId="50" xfId="0" applyFont="1" applyFill="1" applyBorder="1" applyAlignment="1">
      <alignment vertical="center"/>
    </xf>
    <xf numFmtId="165" fontId="80" fillId="2" borderId="0" xfId="0" applyNumberFormat="1" applyFont="1" applyFill="1" applyBorder="1" applyAlignment="1">
      <alignment vertical="center"/>
    </xf>
    <xf numFmtId="3" fontId="80" fillId="2" borderId="0" xfId="0" applyNumberFormat="1" applyFont="1" applyFill="1" applyAlignment="1">
      <alignment vertical="center"/>
    </xf>
    <xf numFmtId="0" fontId="80" fillId="2" borderId="0" xfId="0" applyFont="1" applyFill="1" applyBorder="1" applyAlignment="1">
      <alignment vertical="center"/>
    </xf>
    <xf numFmtId="3" fontId="79" fillId="2" borderId="15" xfId="0" applyNumberFormat="1" applyFont="1" applyFill="1" applyBorder="1" applyAlignment="1">
      <alignment vertical="center" wrapText="1"/>
    </xf>
    <xf numFmtId="3" fontId="79" fillId="0" borderId="42" xfId="0" applyNumberFormat="1" applyFont="1" applyFill="1" applyBorder="1" applyAlignment="1">
      <alignment horizontal="center" vertical="center" wrapText="1"/>
    </xf>
    <xf numFmtId="3" fontId="82" fillId="4" borderId="35" xfId="0" applyNumberFormat="1" applyFont="1" applyFill="1" applyBorder="1" applyAlignment="1">
      <alignment vertical="center" wrapText="1"/>
    </xf>
    <xf numFmtId="3" fontId="83" fillId="40" borderId="46" xfId="0" applyNumberFormat="1" applyFont="1" applyFill="1" applyBorder="1" applyAlignment="1">
      <alignment vertical="center" wrapText="1"/>
    </xf>
    <xf numFmtId="3" fontId="82" fillId="6" borderId="30" xfId="0" applyNumberFormat="1" applyFont="1" applyFill="1" applyBorder="1" applyAlignment="1">
      <alignment vertical="center" wrapText="1"/>
    </xf>
    <xf numFmtId="3" fontId="79" fillId="41" borderId="49" xfId="0" applyNumberFormat="1" applyFont="1" applyFill="1" applyBorder="1" applyAlignment="1">
      <alignment horizontal="center" vertical="center" wrapText="1"/>
    </xf>
    <xf numFmtId="3" fontId="82" fillId="4" borderId="30" xfId="0" applyNumberFormat="1" applyFont="1" applyFill="1" applyBorder="1" applyAlignment="1">
      <alignment vertical="center" wrapText="1"/>
    </xf>
    <xf numFmtId="3" fontId="79" fillId="37" borderId="12" xfId="0" applyNumberFormat="1" applyFont="1" applyFill="1" applyBorder="1" applyAlignment="1">
      <alignment vertical="center" wrapText="1"/>
    </xf>
    <xf numFmtId="0" fontId="72" fillId="0" borderId="0" xfId="0" applyFont="1" applyAlignment="1">
      <alignment horizontal="center" vertical="center"/>
    </xf>
    <xf numFmtId="0" fontId="72" fillId="0" borderId="0" xfId="0" applyFont="1" applyBorder="1"/>
    <xf numFmtId="0" fontId="41" fillId="0" borderId="0" xfId="0" applyFont="1" applyBorder="1"/>
    <xf numFmtId="3" fontId="80" fillId="0" borderId="0" xfId="0" applyNumberFormat="1" applyFont="1" applyFill="1" applyBorder="1" applyAlignment="1">
      <alignment vertical="center"/>
    </xf>
    <xf numFmtId="3" fontId="72" fillId="0" borderId="0" xfId="0" applyNumberFormat="1" applyFont="1" applyBorder="1"/>
    <xf numFmtId="3" fontId="41" fillId="0" borderId="0" xfId="0" applyNumberFormat="1" applyFont="1" applyBorder="1"/>
    <xf numFmtId="0" fontId="74" fillId="0" borderId="0" xfId="0" applyFont="1" applyAlignment="1">
      <alignment horizontal="center" vertical="center"/>
    </xf>
    <xf numFmtId="3" fontId="74" fillId="0" borderId="0" xfId="0" applyNumberFormat="1" applyFont="1" applyBorder="1"/>
    <xf numFmtId="0" fontId="74" fillId="0" borderId="0" xfId="0" applyFont="1" applyBorder="1"/>
    <xf numFmtId="0" fontId="72" fillId="0" borderId="0" xfId="0" applyFont="1" applyBorder="1" applyAlignment="1">
      <alignment wrapText="1"/>
    </xf>
    <xf numFmtId="0" fontId="74" fillId="0" borderId="0" xfId="0" applyFont="1" applyAlignment="1">
      <alignment horizontal="left" vertical="center"/>
    </xf>
    <xf numFmtId="0" fontId="72" fillId="0" borderId="1" xfId="0" applyFont="1" applyBorder="1" applyAlignment="1">
      <alignment horizontal="center" vertical="center"/>
    </xf>
    <xf numFmtId="0" fontId="85" fillId="0" borderId="3" xfId="0" applyFont="1" applyBorder="1" applyAlignment="1">
      <alignment wrapText="1"/>
    </xf>
    <xf numFmtId="0" fontId="72" fillId="0" borderId="3" xfId="0" applyFont="1" applyBorder="1"/>
    <xf numFmtId="0" fontId="41" fillId="0" borderId="3" xfId="0" applyFont="1" applyBorder="1"/>
    <xf numFmtId="0" fontId="72" fillId="0" borderId="3" xfId="0" applyFont="1" applyFill="1" applyBorder="1"/>
    <xf numFmtId="0" fontId="71" fillId="0" borderId="3" xfId="0" applyFont="1" applyBorder="1"/>
    <xf numFmtId="0" fontId="72" fillId="0" borderId="26" xfId="0" applyFont="1" applyBorder="1" applyAlignment="1">
      <alignment horizontal="center" vertical="center"/>
    </xf>
    <xf numFmtId="0" fontId="72" fillId="0" borderId="0" xfId="0" applyFont="1" applyFill="1" applyBorder="1"/>
    <xf numFmtId="0" fontId="71" fillId="0" borderId="0" xfId="0" applyFont="1" applyBorder="1"/>
    <xf numFmtId="0" fontId="72" fillId="0" borderId="68" xfId="0" applyFont="1" applyBorder="1" applyAlignment="1">
      <alignment horizontal="center" vertical="center"/>
    </xf>
    <xf numFmtId="0" fontId="72" fillId="0" borderId="24" xfId="0" applyFont="1" applyBorder="1"/>
    <xf numFmtId="0" fontId="41" fillId="0" borderId="24" xfId="0" applyFont="1" applyBorder="1"/>
    <xf numFmtId="0" fontId="72" fillId="0" borderId="24" xfId="0" applyFont="1" applyFill="1" applyBorder="1"/>
    <xf numFmtId="0" fontId="71" fillId="0" borderId="24" xfId="0" applyFont="1" applyBorder="1"/>
    <xf numFmtId="0" fontId="72" fillId="0" borderId="27" xfId="0" applyFont="1" applyBorder="1"/>
    <xf numFmtId="0" fontId="72" fillId="0" borderId="13" xfId="0" applyFont="1" applyBorder="1"/>
    <xf numFmtId="0" fontId="72" fillId="0" borderId="10" xfId="0" applyFont="1" applyBorder="1"/>
    <xf numFmtId="0" fontId="24" fillId="6" borderId="136" xfId="4" applyFont="1" applyFill="1" applyBorder="1" applyAlignment="1">
      <alignment horizontal="left" vertical="center"/>
    </xf>
    <xf numFmtId="3" fontId="25" fillId="8" borderId="70" xfId="0" applyNumberFormat="1" applyFont="1" applyFill="1" applyBorder="1" applyAlignment="1">
      <alignment vertical="top"/>
    </xf>
    <xf numFmtId="3" fontId="31" fillId="0" borderId="138" xfId="0" applyNumberFormat="1" applyFont="1" applyFill="1" applyBorder="1" applyAlignment="1">
      <alignment vertical="top"/>
    </xf>
    <xf numFmtId="0" fontId="24" fillId="6" borderId="143" xfId="4" applyFont="1" applyFill="1" applyBorder="1" applyAlignment="1">
      <alignment horizontal="left" vertical="center"/>
    </xf>
    <xf numFmtId="3" fontId="31" fillId="0" borderId="138" xfId="0" applyNumberFormat="1" applyFont="1" applyFill="1" applyBorder="1" applyAlignment="1">
      <alignment vertical="center"/>
    </xf>
    <xf numFmtId="3" fontId="31" fillId="2" borderId="138" xfId="0" applyNumberFormat="1" applyFont="1" applyFill="1" applyBorder="1" applyAlignment="1">
      <alignment vertical="center"/>
    </xf>
    <xf numFmtId="3" fontId="27" fillId="0" borderId="138" xfId="0" applyNumberFormat="1" applyFont="1" applyFill="1" applyBorder="1" applyAlignment="1">
      <alignment vertical="top"/>
    </xf>
    <xf numFmtId="3" fontId="25" fillId="6" borderId="138" xfId="0" applyNumberFormat="1" applyFont="1" applyFill="1" applyBorder="1" applyAlignment="1">
      <alignment vertical="center"/>
    </xf>
    <xf numFmtId="3" fontId="25" fillId="6" borderId="140" xfId="0" applyNumberFormat="1" applyFont="1" applyFill="1" applyBorder="1" applyAlignment="1">
      <alignment vertical="center"/>
    </xf>
    <xf numFmtId="3" fontId="7" fillId="0" borderId="140" xfId="4" applyNumberFormat="1" applyFont="1" applyFill="1" applyBorder="1" applyAlignment="1">
      <alignment horizontal="right" vertical="center"/>
    </xf>
    <xf numFmtId="3" fontId="72" fillId="0" borderId="148" xfId="0" applyNumberFormat="1" applyFont="1" applyBorder="1"/>
    <xf numFmtId="0" fontId="0" fillId="0" borderId="140" xfId="0" applyFont="1" applyBorder="1"/>
    <xf numFmtId="3" fontId="0" fillId="0" borderId="140" xfId="0" applyNumberFormat="1" applyFont="1" applyBorder="1"/>
    <xf numFmtId="0" fontId="42" fillId="0" borderId="140" xfId="0" applyFont="1" applyBorder="1"/>
    <xf numFmtId="3" fontId="0" fillId="56" borderId="140" xfId="0" applyNumberFormat="1" applyFont="1" applyFill="1" applyBorder="1"/>
    <xf numFmtId="0" fontId="0" fillId="0" borderId="140" xfId="0" applyFont="1" applyBorder="1" applyAlignment="1">
      <alignment vertical="center"/>
    </xf>
    <xf numFmtId="0" fontId="0" fillId="0" borderId="9" xfId="0" applyFont="1" applyBorder="1"/>
    <xf numFmtId="0" fontId="17" fillId="8" borderId="142" xfId="4" applyFont="1" applyFill="1" applyBorder="1" applyAlignment="1">
      <alignment vertical="top"/>
    </xf>
    <xf numFmtId="0" fontId="27" fillId="55" borderId="138" xfId="4" applyFont="1" applyFill="1" applyBorder="1" applyAlignment="1">
      <alignment horizontal="left" vertical="center"/>
    </xf>
    <xf numFmtId="0" fontId="25" fillId="6" borderId="138" xfId="4" applyFont="1" applyFill="1" applyBorder="1" applyAlignment="1">
      <alignment horizontal="left" vertical="center"/>
    </xf>
    <xf numFmtId="0" fontId="18" fillId="8" borderId="141" xfId="4" applyFont="1" applyFill="1" applyBorder="1" applyAlignment="1">
      <alignment horizontal="center" vertical="center"/>
    </xf>
    <xf numFmtId="0" fontId="7" fillId="8" borderId="132" xfId="4" applyFont="1" applyFill="1" applyBorder="1" applyAlignment="1">
      <alignment vertical="center"/>
    </xf>
    <xf numFmtId="3" fontId="32" fillId="8" borderId="132" xfId="6" applyNumberFormat="1" applyFont="1" applyFill="1" applyBorder="1" applyAlignment="1">
      <alignment vertical="center"/>
    </xf>
    <xf numFmtId="3" fontId="18" fillId="8" borderId="134" xfId="4" applyNumberFormat="1" applyFont="1" applyFill="1" applyBorder="1" applyAlignment="1">
      <alignment horizontal="center" vertical="top"/>
    </xf>
    <xf numFmtId="3" fontId="25" fillId="22" borderId="138" xfId="4" applyNumberFormat="1" applyFont="1" applyFill="1" applyBorder="1" applyAlignment="1">
      <alignment horizontal="right" vertical="center"/>
    </xf>
    <xf numFmtId="3" fontId="29" fillId="0" borderId="138" xfId="4" applyNumberFormat="1" applyFont="1" applyFill="1" applyBorder="1" applyAlignment="1">
      <alignment horizontal="right" vertical="center"/>
    </xf>
    <xf numFmtId="3" fontId="7" fillId="0" borderId="138" xfId="4" applyNumberFormat="1" applyFont="1" applyFill="1" applyBorder="1" applyAlignment="1">
      <alignment horizontal="right" vertical="center"/>
    </xf>
    <xf numFmtId="0" fontId="0" fillId="0" borderId="138" xfId="0" applyFont="1" applyBorder="1"/>
    <xf numFmtId="0" fontId="32" fillId="0" borderId="138" xfId="0" applyFont="1" applyBorder="1"/>
    <xf numFmtId="3" fontId="31" fillId="23" borderId="138" xfId="0" applyNumberFormat="1" applyFont="1" applyFill="1" applyBorder="1" applyAlignment="1">
      <alignment vertical="center"/>
    </xf>
    <xf numFmtId="3" fontId="31" fillId="0" borderId="138" xfId="0" applyNumberFormat="1" applyFont="1" applyFill="1" applyBorder="1" applyAlignment="1">
      <alignment horizontal="right" vertical="center"/>
    </xf>
    <xf numFmtId="3" fontId="24" fillId="6" borderId="138" xfId="4" applyNumberFormat="1" applyFont="1" applyFill="1" applyBorder="1" applyAlignment="1">
      <alignment vertical="center"/>
    </xf>
    <xf numFmtId="0" fontId="25" fillId="0" borderId="0" xfId="0" applyFont="1" applyBorder="1" applyAlignment="1">
      <alignment vertical="top"/>
    </xf>
    <xf numFmtId="3" fontId="21" fillId="0" borderId="0" xfId="0" applyNumberFormat="1" applyFont="1" applyBorder="1" applyAlignment="1">
      <alignment vertical="top"/>
    </xf>
    <xf numFmtId="0" fontId="62" fillId="0" borderId="0" xfId="0" applyFont="1" applyFill="1" applyBorder="1" applyAlignment="1">
      <alignment vertical="top"/>
    </xf>
    <xf numFmtId="0" fontId="62" fillId="30" borderId="0" xfId="0" applyFont="1" applyFill="1" applyBorder="1" applyAlignment="1">
      <alignment vertical="top"/>
    </xf>
    <xf numFmtId="0" fontId="21" fillId="0" borderId="0" xfId="0" applyFont="1" applyBorder="1" applyAlignment="1">
      <alignment horizontal="center" vertical="top" wrapText="1"/>
    </xf>
    <xf numFmtId="3" fontId="29" fillId="0" borderId="140" xfId="4" applyNumberFormat="1" applyFont="1" applyFill="1" applyBorder="1" applyAlignment="1">
      <alignment horizontal="right" vertical="center"/>
    </xf>
    <xf numFmtId="3" fontId="29" fillId="25" borderId="138" xfId="4" applyNumberFormat="1" applyFont="1" applyFill="1" applyBorder="1" applyAlignment="1">
      <alignment horizontal="right" vertical="center"/>
    </xf>
    <xf numFmtId="3" fontId="7" fillId="0" borderId="149" xfId="4" applyNumberFormat="1" applyFont="1" applyFill="1" applyBorder="1" applyAlignment="1">
      <alignment horizontal="right" vertical="center"/>
    </xf>
    <xf numFmtId="3" fontId="25" fillId="22" borderId="138" xfId="0" applyNumberFormat="1" applyFont="1" applyFill="1" applyBorder="1" applyAlignment="1">
      <alignment vertical="center"/>
    </xf>
    <xf numFmtId="0" fontId="25" fillId="6" borderId="129" xfId="4" applyFont="1" applyFill="1" applyBorder="1" applyAlignment="1">
      <alignment horizontal="left" vertical="center"/>
    </xf>
    <xf numFmtId="0" fontId="21" fillId="0" borderId="67" xfId="0" applyFont="1" applyBorder="1" applyAlignment="1">
      <alignment vertical="top"/>
    </xf>
    <xf numFmtId="0" fontId="0" fillId="0" borderId="68" xfId="0" applyFont="1" applyBorder="1" applyAlignment="1">
      <alignment horizontal="center" vertical="center"/>
    </xf>
    <xf numFmtId="0" fontId="31" fillId="0" borderId="24" xfId="4" applyFont="1" applyFill="1" applyBorder="1" applyAlignment="1">
      <alignment vertical="center"/>
    </xf>
    <xf numFmtId="0" fontId="23" fillId="0" borderId="24" xfId="0" applyFont="1" applyBorder="1" applyAlignment="1">
      <alignment horizontal="center" vertical="center" wrapText="1"/>
    </xf>
    <xf numFmtId="3" fontId="31" fillId="0" borderId="24" xfId="0" applyNumberFormat="1" applyFont="1" applyFill="1" applyBorder="1" applyAlignment="1">
      <alignment vertical="top"/>
    </xf>
    <xf numFmtId="3" fontId="31" fillId="0" borderId="24" xfId="0" applyNumberFormat="1" applyFont="1" applyFill="1" applyBorder="1" applyAlignment="1">
      <alignment horizontal="right" vertical="center"/>
    </xf>
    <xf numFmtId="3" fontId="31" fillId="57" borderId="24" xfId="0" applyNumberFormat="1" applyFont="1" applyFill="1" applyBorder="1" applyAlignment="1">
      <alignment horizontal="right" vertical="center"/>
    </xf>
    <xf numFmtId="3" fontId="31" fillId="59" borderId="24" xfId="0" applyNumberFormat="1" applyFont="1" applyFill="1" applyBorder="1" applyAlignment="1">
      <alignment horizontal="right" vertical="center"/>
    </xf>
    <xf numFmtId="3" fontId="25" fillId="22" borderId="24" xfId="0" applyNumberFormat="1" applyFont="1" applyFill="1" applyBorder="1" applyAlignment="1">
      <alignment horizontal="center" vertical="center"/>
    </xf>
    <xf numFmtId="0" fontId="23" fillId="0" borderId="69" xfId="0" applyFont="1" applyBorder="1" applyAlignment="1">
      <alignment horizontal="center" wrapText="1"/>
    </xf>
    <xf numFmtId="0" fontId="62" fillId="2" borderId="0" xfId="0" applyFont="1" applyFill="1" applyBorder="1" applyAlignment="1">
      <alignment vertical="top"/>
    </xf>
    <xf numFmtId="0" fontId="62" fillId="2" borderId="0" xfId="0" applyFont="1" applyFill="1" applyBorder="1" applyAlignment="1"/>
    <xf numFmtId="3" fontId="62" fillId="2" borderId="0" xfId="0" applyNumberFormat="1" applyFont="1" applyFill="1" applyBorder="1" applyAlignment="1">
      <alignment horizontal="left" vertical="top"/>
    </xf>
    <xf numFmtId="0" fontId="43" fillId="2" borderId="0" xfId="0" applyFont="1" applyFill="1" applyBorder="1" applyAlignment="1"/>
    <xf numFmtId="3" fontId="62" fillId="2" borderId="0" xfId="0" applyNumberFormat="1" applyFont="1" applyFill="1" applyBorder="1" applyAlignment="1">
      <alignment vertical="top"/>
    </xf>
    <xf numFmtId="0" fontId="20" fillId="2" borderId="1" xfId="0" applyFont="1" applyFill="1" applyBorder="1" applyAlignment="1">
      <alignment horizontal="center" vertical="top"/>
    </xf>
    <xf numFmtId="0" fontId="20" fillId="2" borderId="26" xfId="0" applyFont="1" applyFill="1" applyBorder="1" applyAlignment="1">
      <alignment horizontal="center" vertical="top"/>
    </xf>
    <xf numFmtId="0" fontId="21" fillId="0" borderId="87" xfId="0" applyFont="1" applyBorder="1" applyAlignment="1">
      <alignment horizontal="center" vertical="top"/>
    </xf>
    <xf numFmtId="0" fontId="21" fillId="0" borderId="79" xfId="0" applyFont="1" applyBorder="1" applyAlignment="1">
      <alignment horizontal="center" vertical="top"/>
    </xf>
    <xf numFmtId="0" fontId="21" fillId="0" borderId="15" xfId="0" quotePrefix="1" applyFont="1" applyBorder="1" applyAlignment="1">
      <alignment horizontal="center" vertical="top"/>
    </xf>
    <xf numFmtId="0" fontId="21" fillId="0" borderId="70" xfId="0" quotePrefix="1" applyFont="1" applyBorder="1" applyAlignment="1">
      <alignment horizontal="center" vertical="top"/>
    </xf>
    <xf numFmtId="0" fontId="21" fillId="2" borderId="70" xfId="0" applyFont="1" applyFill="1" applyBorder="1" applyAlignment="1">
      <alignment horizontal="center" vertical="top"/>
    </xf>
    <xf numFmtId="0" fontId="21" fillId="2" borderId="70" xfId="0" quotePrefix="1" applyFont="1" applyFill="1" applyBorder="1" applyAlignment="1">
      <alignment horizontal="center" vertical="top"/>
    </xf>
    <xf numFmtId="0" fontId="21" fillId="2" borderId="79" xfId="0" quotePrefix="1" applyFont="1" applyFill="1" applyBorder="1" applyAlignment="1">
      <alignment horizontal="center" vertical="top"/>
    </xf>
    <xf numFmtId="0" fontId="21" fillId="26" borderId="79" xfId="0" quotePrefix="1" applyFont="1" applyFill="1" applyBorder="1" applyAlignment="1">
      <alignment horizontal="center" vertical="top"/>
    </xf>
    <xf numFmtId="0" fontId="21" fillId="2" borderId="44" xfId="0" quotePrefix="1" applyFont="1" applyFill="1" applyBorder="1" applyAlignment="1">
      <alignment horizontal="center" vertical="top"/>
    </xf>
    <xf numFmtId="0" fontId="21" fillId="8" borderId="43" xfId="0" quotePrefix="1" applyFont="1" applyFill="1" applyBorder="1" applyAlignment="1">
      <alignment horizontal="center" vertical="top"/>
    </xf>
    <xf numFmtId="3" fontId="31" fillId="23" borderId="138" xfId="0" applyNumberFormat="1" applyFont="1" applyFill="1" applyBorder="1" applyAlignment="1">
      <alignment vertical="top"/>
    </xf>
    <xf numFmtId="3" fontId="31" fillId="23" borderId="138" xfId="0" applyNumberFormat="1" applyFont="1" applyFill="1" applyBorder="1" applyAlignment="1">
      <alignment horizontal="center" vertical="top"/>
    </xf>
    <xf numFmtId="3" fontId="25" fillId="6" borderId="138" xfId="0" applyNumberFormat="1" applyFont="1" applyFill="1" applyBorder="1" applyAlignment="1">
      <alignment vertical="top"/>
    </xf>
    <xf numFmtId="3" fontId="31" fillId="8" borderId="35" xfId="0" applyNumberFormat="1" applyFont="1" applyFill="1" applyBorder="1" applyAlignment="1">
      <alignment vertical="top"/>
    </xf>
    <xf numFmtId="3" fontId="31" fillId="23" borderId="10" xfId="0" applyNumberFormat="1" applyFont="1" applyFill="1" applyBorder="1" applyAlignment="1">
      <alignment vertical="top"/>
    </xf>
    <xf numFmtId="3" fontId="25" fillId="22" borderId="138" xfId="0" applyNumberFormat="1" applyFont="1" applyFill="1" applyBorder="1" applyAlignment="1">
      <alignment vertical="top"/>
    </xf>
    <xf numFmtId="3" fontId="27" fillId="2" borderId="138" xfId="4" applyNumberFormat="1" applyFont="1" applyFill="1" applyBorder="1" applyAlignment="1">
      <alignment vertical="top" wrapText="1"/>
    </xf>
    <xf numFmtId="3" fontId="25" fillId="25" borderId="138" xfId="0" applyNumberFormat="1" applyFont="1" applyFill="1" applyBorder="1" applyAlignment="1">
      <alignment vertical="top"/>
    </xf>
    <xf numFmtId="3" fontId="31" fillId="0" borderId="132" xfId="0" applyNumberFormat="1" applyFont="1" applyFill="1" applyBorder="1" applyAlignment="1">
      <alignment vertical="top"/>
    </xf>
    <xf numFmtId="0" fontId="27" fillId="2" borderId="35" xfId="4" applyFont="1" applyFill="1" applyBorder="1" applyAlignment="1">
      <alignment vertical="top"/>
    </xf>
    <xf numFmtId="3" fontId="27" fillId="0" borderId="35" xfId="0" applyNumberFormat="1" applyFont="1" applyFill="1" applyBorder="1" applyAlignment="1">
      <alignment vertical="top"/>
    </xf>
    <xf numFmtId="0" fontId="31" fillId="0" borderId="132" xfId="4" applyFont="1" applyFill="1" applyBorder="1" applyAlignment="1">
      <alignment vertical="center"/>
    </xf>
    <xf numFmtId="0" fontId="20" fillId="0" borderId="0" xfId="0" applyFont="1" applyFill="1" applyBorder="1" applyAlignment="1">
      <alignment vertical="top"/>
    </xf>
    <xf numFmtId="0" fontId="25" fillId="8" borderId="70" xfId="0" applyFont="1" applyFill="1" applyBorder="1" applyAlignment="1">
      <alignment vertical="center" wrapText="1"/>
    </xf>
    <xf numFmtId="0" fontId="25" fillId="8" borderId="70" xfId="0" applyFont="1" applyFill="1" applyBorder="1" applyAlignment="1">
      <alignment horizontal="center" vertical="center" wrapText="1"/>
    </xf>
    <xf numFmtId="0" fontId="31" fillId="6" borderId="138" xfId="0" applyFont="1" applyFill="1" applyBorder="1" applyAlignment="1">
      <alignment vertical="top"/>
    </xf>
    <xf numFmtId="3" fontId="31" fillId="2" borderId="138" xfId="0" applyNumberFormat="1" applyFont="1" applyFill="1" applyBorder="1" applyAlignment="1">
      <alignment vertical="top"/>
    </xf>
    <xf numFmtId="3" fontId="27" fillId="25" borderId="35" xfId="0" applyNumberFormat="1" applyFont="1" applyFill="1" applyBorder="1" applyAlignment="1">
      <alignment horizontal="center" vertical="top"/>
    </xf>
    <xf numFmtId="0" fontId="32" fillId="0" borderId="138" xfId="0" applyFont="1" applyBorder="1" applyAlignment="1">
      <alignment vertical="center"/>
    </xf>
    <xf numFmtId="0" fontId="20" fillId="0" borderId="0" xfId="0" applyFont="1" applyFill="1" applyBorder="1" applyAlignment="1">
      <alignment vertical="center"/>
    </xf>
    <xf numFmtId="3" fontId="27" fillId="0" borderId="138" xfId="4" applyNumberFormat="1" applyFont="1" applyFill="1" applyBorder="1" applyAlignment="1">
      <alignment vertical="center" wrapText="1"/>
    </xf>
    <xf numFmtId="3" fontId="20" fillId="0" borderId="0" xfId="0" applyNumberFormat="1" applyFont="1" applyFill="1" applyBorder="1" applyAlignment="1">
      <alignment vertical="center"/>
    </xf>
    <xf numFmtId="3" fontId="31" fillId="0" borderId="132" xfId="0" applyNumberFormat="1" applyFont="1" applyFill="1" applyBorder="1" applyAlignment="1">
      <alignment vertical="center"/>
    </xf>
    <xf numFmtId="0" fontId="31" fillId="8" borderId="70" xfId="0" applyFont="1" applyFill="1" applyBorder="1" applyAlignment="1">
      <alignment vertical="top"/>
    </xf>
    <xf numFmtId="3" fontId="31" fillId="8" borderId="70" xfId="0" applyNumberFormat="1" applyFont="1" applyFill="1" applyBorder="1" applyAlignment="1">
      <alignment vertical="top"/>
    </xf>
    <xf numFmtId="3" fontId="31" fillId="8" borderId="2" xfId="0" applyNumberFormat="1" applyFont="1" applyFill="1" applyBorder="1" applyAlignment="1">
      <alignment vertical="top"/>
    </xf>
    <xf numFmtId="3" fontId="25" fillId="22" borderId="2" xfId="0" applyNumberFormat="1" applyFont="1" applyFill="1" applyBorder="1" applyAlignment="1">
      <alignment vertical="top"/>
    </xf>
    <xf numFmtId="0" fontId="32" fillId="0" borderId="13" xfId="0" applyFont="1" applyBorder="1" applyAlignment="1">
      <alignment vertical="center"/>
    </xf>
    <xf numFmtId="3" fontId="31" fillId="23" borderId="35" xfId="0" applyNumberFormat="1" applyFont="1" applyFill="1" applyBorder="1" applyAlignment="1">
      <alignment horizontal="center" vertical="top"/>
    </xf>
    <xf numFmtId="3" fontId="27" fillId="2" borderId="138" xfId="4" applyNumberFormat="1" applyFont="1" applyFill="1" applyBorder="1" applyAlignment="1">
      <alignment vertical="center" wrapText="1"/>
    </xf>
    <xf numFmtId="3" fontId="31" fillId="25" borderId="138" xfId="0" applyNumberFormat="1" applyFont="1" applyFill="1" applyBorder="1" applyAlignment="1">
      <alignment horizontal="center" vertical="top"/>
    </xf>
    <xf numFmtId="3" fontId="25" fillId="0" borderId="138" xfId="0" applyNumberFormat="1" applyFont="1" applyFill="1" applyBorder="1" applyAlignment="1">
      <alignment vertical="top"/>
    </xf>
    <xf numFmtId="3" fontId="20" fillId="0" borderId="0" xfId="0" applyNumberFormat="1" applyFont="1" applyFill="1" applyBorder="1" applyAlignment="1">
      <alignment vertical="top"/>
    </xf>
    <xf numFmtId="0" fontId="32" fillId="0" borderId="132" xfId="0" applyFont="1" applyBorder="1" applyAlignment="1">
      <alignment vertical="center"/>
    </xf>
    <xf numFmtId="3" fontId="31" fillId="23" borderId="2" xfId="0" applyNumberFormat="1" applyFont="1" applyFill="1" applyBorder="1" applyAlignment="1">
      <alignment vertical="top"/>
    </xf>
    <xf numFmtId="3" fontId="27" fillId="25" borderId="138" xfId="0" applyNumberFormat="1" applyFont="1" applyFill="1" applyBorder="1" applyAlignment="1">
      <alignment vertical="top"/>
    </xf>
    <xf numFmtId="0" fontId="31" fillId="0" borderId="138" xfId="0" applyFont="1" applyFill="1" applyBorder="1" applyAlignment="1">
      <alignment vertical="top" wrapText="1"/>
    </xf>
    <xf numFmtId="3" fontId="25" fillId="0" borderId="35" xfId="0" applyNumberFormat="1" applyFont="1" applyFill="1" applyBorder="1" applyAlignment="1">
      <alignment vertical="top"/>
    </xf>
    <xf numFmtId="0" fontId="31" fillId="2" borderId="138" xfId="4" applyFont="1" applyFill="1" applyBorder="1" applyAlignment="1">
      <alignment vertical="center"/>
    </xf>
    <xf numFmtId="0" fontId="23" fillId="6" borderId="138" xfId="0" applyFont="1" applyFill="1" applyBorder="1" applyAlignment="1">
      <alignment horizontal="center" vertical="center"/>
    </xf>
    <xf numFmtId="0" fontId="27" fillId="2" borderId="35" xfId="4" applyFont="1" applyFill="1" applyBorder="1" applyAlignment="1">
      <alignment vertical="center"/>
    </xf>
    <xf numFmtId="0" fontId="31" fillId="2" borderId="132" xfId="4" applyFont="1" applyFill="1" applyBorder="1" applyAlignment="1">
      <alignment vertical="center"/>
    </xf>
    <xf numFmtId="0" fontId="31" fillId="0" borderId="138" xfId="0" applyFont="1" applyFill="1" applyBorder="1" applyAlignment="1">
      <alignment horizontal="left" vertical="center" wrapText="1"/>
    </xf>
    <xf numFmtId="0" fontId="23" fillId="0" borderId="13" xfId="0" applyFont="1" applyBorder="1" applyAlignment="1">
      <alignment horizontal="center" vertical="center" wrapText="1"/>
    </xf>
    <xf numFmtId="3" fontId="31" fillId="2" borderId="138" xfId="0" applyNumberFormat="1" applyFont="1" applyFill="1" applyBorder="1" applyAlignment="1">
      <alignment horizontal="right" vertical="center"/>
    </xf>
    <xf numFmtId="0" fontId="27" fillId="0" borderId="138" xfId="0" applyFont="1" applyFill="1" applyBorder="1" applyAlignment="1">
      <alignment vertical="top" wrapText="1"/>
    </xf>
    <xf numFmtId="3" fontId="25" fillId="2" borderId="138" xfId="0" applyNumberFormat="1" applyFont="1" applyFill="1" applyBorder="1" applyAlignment="1">
      <alignment vertical="top"/>
    </xf>
    <xf numFmtId="3" fontId="20" fillId="0" borderId="0" xfId="0" applyNumberFormat="1" applyFont="1" applyFill="1" applyBorder="1" applyAlignment="1">
      <alignment horizontal="right" vertical="top"/>
    </xf>
    <xf numFmtId="3" fontId="21" fillId="0" borderId="0" xfId="0" applyNumberFormat="1" applyFont="1" applyFill="1" applyBorder="1" applyAlignment="1"/>
    <xf numFmtId="0" fontId="21" fillId="30" borderId="0" xfId="0" applyFont="1" applyFill="1" applyBorder="1" applyAlignment="1">
      <alignment vertical="top"/>
    </xf>
    <xf numFmtId="0" fontId="20" fillId="0" borderId="1" xfId="0" applyFont="1" applyBorder="1" applyAlignment="1">
      <alignment vertical="top"/>
    </xf>
    <xf numFmtId="0" fontId="21" fillId="0" borderId="3" xfId="0" applyFont="1" applyBorder="1" applyAlignment="1">
      <alignment vertical="top"/>
    </xf>
    <xf numFmtId="0" fontId="21" fillId="0" borderId="66" xfId="0" applyFont="1" applyBorder="1" applyAlignment="1">
      <alignment vertical="top"/>
    </xf>
    <xf numFmtId="0" fontId="21" fillId="0" borderId="66" xfId="0" applyFont="1" applyBorder="1" applyAlignment="1">
      <alignment horizontal="center" vertical="top" wrapText="1"/>
    </xf>
    <xf numFmtId="0" fontId="20" fillId="0" borderId="26" xfId="0" applyFont="1" applyBorder="1" applyAlignment="1">
      <alignment vertical="top"/>
    </xf>
    <xf numFmtId="0" fontId="21" fillId="0" borderId="67" xfId="0" applyFont="1" applyBorder="1" applyAlignment="1">
      <alignment horizontal="center" vertical="top" wrapText="1"/>
    </xf>
    <xf numFmtId="0" fontId="20" fillId="0" borderId="68" xfId="0" applyFont="1" applyBorder="1" applyAlignment="1">
      <alignment vertical="top"/>
    </xf>
    <xf numFmtId="0" fontId="21" fillId="0" borderId="24" xfId="0" applyFont="1" applyBorder="1" applyAlignment="1">
      <alignment vertical="top"/>
    </xf>
    <xf numFmtId="0" fontId="21" fillId="0" borderId="69" xfId="0" applyFont="1" applyBorder="1" applyAlignment="1">
      <alignment vertical="top"/>
    </xf>
    <xf numFmtId="0" fontId="21" fillId="0" borderId="69" xfId="0" applyFont="1" applyBorder="1" applyAlignment="1">
      <alignment horizontal="center" vertical="top" wrapText="1"/>
    </xf>
    <xf numFmtId="3" fontId="27" fillId="25" borderId="140" xfId="4" applyNumberFormat="1" applyFont="1" applyFill="1" applyBorder="1" applyAlignment="1">
      <alignment horizontal="right" vertical="center"/>
    </xf>
    <xf numFmtId="3" fontId="31" fillId="25" borderId="140" xfId="4" applyNumberFormat="1" applyFont="1" applyFill="1" applyBorder="1" applyAlignment="1">
      <alignment horizontal="right" vertical="center"/>
    </xf>
    <xf numFmtId="3" fontId="7" fillId="0" borderId="137" xfId="4" applyNumberFormat="1" applyFont="1" applyFill="1" applyBorder="1" applyAlignment="1">
      <alignment horizontal="right" vertical="center"/>
    </xf>
    <xf numFmtId="3" fontId="7" fillId="0" borderId="139" xfId="4" applyNumberFormat="1" applyFont="1" applyFill="1" applyBorder="1" applyAlignment="1">
      <alignment horizontal="right" vertical="center"/>
    </xf>
    <xf numFmtId="0" fontId="7" fillId="2" borderId="21" xfId="4" applyFont="1" applyFill="1" applyBorder="1" applyAlignment="1">
      <alignment vertical="center"/>
    </xf>
    <xf numFmtId="43" fontId="24" fillId="6" borderId="30" xfId="1" applyFont="1" applyFill="1" applyBorder="1" applyAlignment="1">
      <alignment horizontal="right" vertical="center"/>
    </xf>
    <xf numFmtId="3" fontId="27" fillId="0" borderId="47" xfId="0" applyNumberFormat="1" applyFont="1" applyFill="1" applyBorder="1" applyAlignment="1">
      <alignment horizontal="right" vertical="center"/>
    </xf>
    <xf numFmtId="3" fontId="27" fillId="0" borderId="72" xfId="0" applyNumberFormat="1" applyFont="1" applyFill="1" applyBorder="1" applyAlignment="1">
      <alignment horizontal="right" vertical="center"/>
    </xf>
    <xf numFmtId="3" fontId="8" fillId="6" borderId="145" xfId="0" applyNumberFormat="1" applyFont="1" applyFill="1" applyBorder="1"/>
    <xf numFmtId="3" fontId="6" fillId="6" borderId="135" xfId="0" applyNumberFormat="1" applyFont="1" applyFill="1" applyBorder="1"/>
    <xf numFmtId="3" fontId="8" fillId="6" borderId="147" xfId="0" applyNumberFormat="1" applyFont="1" applyFill="1" applyBorder="1"/>
    <xf numFmtId="3" fontId="8" fillId="6" borderId="113" xfId="0" applyNumberFormat="1" applyFont="1" applyFill="1" applyBorder="1"/>
    <xf numFmtId="3" fontId="8" fillId="6" borderId="140" xfId="0" applyNumberFormat="1" applyFont="1" applyFill="1" applyBorder="1"/>
    <xf numFmtId="3" fontId="8" fillId="6" borderId="137" xfId="0" applyNumberFormat="1" applyFont="1" applyFill="1" applyBorder="1"/>
    <xf numFmtId="3" fontId="8" fillId="6" borderId="136" xfId="0" applyNumberFormat="1" applyFont="1" applyFill="1" applyBorder="1"/>
    <xf numFmtId="3" fontId="8" fillId="6" borderId="146" xfId="0" applyNumberFormat="1" applyFont="1" applyFill="1" applyBorder="1"/>
    <xf numFmtId="0" fontId="14" fillId="2" borderId="0" xfId="113" applyFont="1" applyFill="1" applyBorder="1" applyAlignment="1">
      <alignment horizontal="right" vertical="center"/>
    </xf>
    <xf numFmtId="0" fontId="15" fillId="2" borderId="0" xfId="112" applyFont="1" applyFill="1" applyBorder="1" applyAlignment="1">
      <alignment horizontal="right" vertical="center"/>
    </xf>
    <xf numFmtId="0" fontId="19" fillId="2" borderId="3" xfId="112" applyFont="1" applyFill="1" applyBorder="1" applyAlignment="1">
      <alignment vertical="center" wrapText="1"/>
    </xf>
    <xf numFmtId="0" fontId="19" fillId="2" borderId="8" xfId="112" applyFont="1" applyFill="1" applyBorder="1" applyAlignment="1">
      <alignment vertical="center" wrapText="1"/>
    </xf>
    <xf numFmtId="0" fontId="26" fillId="0" borderId="12" xfId="112" applyFont="1" applyBorder="1" applyAlignment="1">
      <alignment horizontal="center" vertical="center" wrapText="1"/>
    </xf>
    <xf numFmtId="0" fontId="17" fillId="0" borderId="12" xfId="112" applyFont="1" applyBorder="1" applyAlignment="1">
      <alignment horizontal="center" vertical="center"/>
    </xf>
    <xf numFmtId="0" fontId="26" fillId="32" borderId="12" xfId="114" applyFont="1" applyFill="1" applyBorder="1" applyAlignment="1">
      <alignment horizontal="center" vertical="center"/>
    </xf>
    <xf numFmtId="0" fontId="26" fillId="0" borderId="12" xfId="114" applyFont="1" applyBorder="1" applyAlignment="1">
      <alignment horizontal="center" vertical="center"/>
    </xf>
    <xf numFmtId="3" fontId="27" fillId="21" borderId="139" xfId="4" applyNumberFormat="1" applyFont="1" applyFill="1" applyBorder="1" applyAlignment="1">
      <alignment horizontal="right" vertical="center"/>
    </xf>
    <xf numFmtId="3" fontId="32" fillId="8" borderId="140" xfId="114" applyNumberFormat="1" applyFont="1" applyFill="1" applyBorder="1" applyAlignment="1">
      <alignment vertical="center"/>
    </xf>
    <xf numFmtId="0" fontId="31" fillId="8" borderId="136" xfId="4" applyFont="1" applyFill="1" applyBorder="1" applyAlignment="1">
      <alignment vertical="center"/>
    </xf>
    <xf numFmtId="3" fontId="24" fillId="6" borderId="140" xfId="4" applyNumberFormat="1" applyFont="1" applyFill="1" applyBorder="1" applyAlignment="1">
      <alignment horizontal="right" vertical="center"/>
    </xf>
    <xf numFmtId="0" fontId="27" fillId="8" borderId="143" xfId="4" applyFont="1" applyFill="1" applyBorder="1" applyAlignment="1">
      <alignment vertical="center"/>
    </xf>
    <xf numFmtId="0" fontId="27" fillId="8" borderId="129" xfId="4" applyFont="1" applyFill="1" applyBorder="1" applyAlignment="1">
      <alignment vertical="center"/>
    </xf>
    <xf numFmtId="3" fontId="33" fillId="8" borderId="140" xfId="114" applyNumberFormat="1" applyFont="1" applyFill="1" applyBorder="1" applyAlignment="1">
      <alignment vertical="center"/>
    </xf>
    <xf numFmtId="0" fontId="17" fillId="8" borderId="11" xfId="4" applyFont="1" applyFill="1" applyBorder="1" applyAlignment="1">
      <alignment horizontal="center" vertical="center"/>
    </xf>
    <xf numFmtId="0" fontId="31" fillId="8" borderId="129" xfId="4" applyFont="1" applyFill="1" applyBorder="1" applyAlignment="1">
      <alignment vertical="center"/>
    </xf>
    <xf numFmtId="3" fontId="31" fillId="8" borderId="138" xfId="112" applyNumberFormat="1" applyFont="1" applyFill="1" applyBorder="1" applyAlignment="1">
      <alignment vertical="center"/>
    </xf>
    <xf numFmtId="0" fontId="18" fillId="8" borderId="43" xfId="4" applyFont="1" applyFill="1" applyBorder="1" applyAlignment="1">
      <alignment vertical="center"/>
    </xf>
    <xf numFmtId="3" fontId="18" fillId="0" borderId="0" xfId="112" applyNumberFormat="1" applyFont="1" applyBorder="1" applyAlignment="1">
      <alignment vertical="center"/>
    </xf>
    <xf numFmtId="0" fontId="18" fillId="0" borderId="0" xfId="112" applyFont="1" applyBorder="1" applyAlignment="1">
      <alignment vertical="center"/>
    </xf>
    <xf numFmtId="0" fontId="17" fillId="8" borderId="11" xfId="4" applyFont="1" applyFill="1" applyBorder="1" applyAlignment="1">
      <alignment vertical="center"/>
    </xf>
    <xf numFmtId="0" fontId="27" fillId="8" borderId="20" xfId="4" applyFont="1" applyFill="1" applyBorder="1" applyAlignment="1">
      <alignment vertical="center"/>
    </xf>
    <xf numFmtId="3" fontId="33" fillId="8" borderId="9" xfId="114" applyNumberFormat="1" applyFont="1" applyFill="1" applyBorder="1" applyAlignment="1">
      <alignment vertical="center"/>
    </xf>
    <xf numFmtId="0" fontId="17" fillId="8" borderId="25" xfId="4" applyFont="1" applyFill="1" applyBorder="1" applyAlignment="1">
      <alignment vertical="center"/>
    </xf>
    <xf numFmtId="0" fontId="31" fillId="8" borderId="12" xfId="4" applyFont="1" applyFill="1" applyBorder="1" applyAlignment="1">
      <alignment vertical="center"/>
    </xf>
    <xf numFmtId="0" fontId="24" fillId="8" borderId="19" xfId="112" applyFont="1" applyFill="1" applyBorder="1" applyAlignment="1">
      <alignment vertical="center" wrapText="1"/>
    </xf>
    <xf numFmtId="0" fontId="24" fillId="8" borderId="14" xfId="112" applyFont="1" applyFill="1" applyBorder="1" applyAlignment="1">
      <alignment horizontal="center" vertical="center" wrapText="1"/>
    </xf>
    <xf numFmtId="3" fontId="27" fillId="0" borderId="139" xfId="4" applyNumberFormat="1" applyFont="1" applyFill="1" applyBorder="1" applyAlignment="1">
      <alignment horizontal="right" vertical="center"/>
    </xf>
    <xf numFmtId="3" fontId="29" fillId="0" borderId="137" xfId="4" applyNumberFormat="1" applyFont="1" applyFill="1" applyBorder="1" applyAlignment="1">
      <alignment horizontal="right" vertical="center"/>
    </xf>
    <xf numFmtId="3" fontId="29" fillId="0" borderId="139" xfId="4" applyNumberFormat="1" applyFont="1" applyFill="1" applyBorder="1" applyAlignment="1">
      <alignment horizontal="right" vertical="center"/>
    </xf>
    <xf numFmtId="3" fontId="33" fillId="0" borderId="138" xfId="114" applyNumberFormat="1" applyFont="1" applyFill="1" applyBorder="1" applyAlignment="1">
      <alignment vertical="center"/>
    </xf>
    <xf numFmtId="3" fontId="27" fillId="0" borderId="137" xfId="4" applyNumberFormat="1" applyFont="1" applyFill="1" applyBorder="1" applyAlignment="1">
      <alignment horizontal="right" vertical="center"/>
    </xf>
    <xf numFmtId="3" fontId="7" fillId="0" borderId="138" xfId="112" applyNumberFormat="1" applyFont="1" applyFill="1" applyBorder="1" applyAlignment="1">
      <alignment vertical="center"/>
    </xf>
    <xf numFmtId="3" fontId="31" fillId="0" borderId="138" xfId="112" applyNumberFormat="1" applyFont="1" applyFill="1" applyBorder="1" applyAlignment="1">
      <alignment vertical="center"/>
    </xf>
    <xf numFmtId="3" fontId="7" fillId="0" borderId="35" xfId="112" applyNumberFormat="1" applyFont="1" applyFill="1" applyBorder="1" applyAlignment="1">
      <alignment vertical="center"/>
    </xf>
    <xf numFmtId="3" fontId="29" fillId="2" borderId="138" xfId="4" applyNumberFormat="1" applyFont="1" applyFill="1" applyBorder="1" applyAlignment="1">
      <alignment horizontal="right" vertical="center"/>
    </xf>
    <xf numFmtId="3" fontId="27" fillId="2" borderId="138" xfId="4" applyNumberFormat="1" applyFont="1" applyFill="1" applyBorder="1" applyAlignment="1">
      <alignment horizontal="right" vertical="center"/>
    </xf>
    <xf numFmtId="3" fontId="33" fillId="0" borderId="140" xfId="114" applyNumberFormat="1" applyFont="1" applyFill="1" applyBorder="1" applyAlignment="1">
      <alignment vertical="center"/>
    </xf>
    <xf numFmtId="3" fontId="31" fillId="0" borderId="132" xfId="112" applyNumberFormat="1" applyFont="1" applyFill="1" applyBorder="1" applyAlignment="1">
      <alignment vertical="center"/>
    </xf>
    <xf numFmtId="3" fontId="32" fillId="0" borderId="138" xfId="114" applyNumberFormat="1" applyFont="1" applyFill="1" applyBorder="1" applyAlignment="1">
      <alignment vertical="center"/>
    </xf>
    <xf numFmtId="3" fontId="33" fillId="0" borderId="9" xfId="114" applyNumberFormat="1" applyFont="1" applyFill="1" applyBorder="1" applyAlignment="1">
      <alignment vertical="center"/>
    </xf>
    <xf numFmtId="0" fontId="24" fillId="32" borderId="143" xfId="4" applyFont="1" applyFill="1" applyBorder="1" applyAlignment="1">
      <alignment horizontal="left" vertical="center"/>
    </xf>
    <xf numFmtId="0" fontId="25" fillId="32" borderId="142" xfId="4" applyFont="1" applyFill="1" applyBorder="1" applyAlignment="1">
      <alignment horizontal="left" vertical="center"/>
    </xf>
    <xf numFmtId="0" fontId="29" fillId="2" borderId="136" xfId="4" applyFont="1" applyFill="1" applyBorder="1" applyAlignment="1">
      <alignment vertical="top"/>
    </xf>
    <xf numFmtId="3" fontId="27" fillId="21" borderId="132" xfId="4" applyNumberFormat="1" applyFont="1" applyFill="1" applyBorder="1" applyAlignment="1">
      <alignment horizontal="right" vertical="center"/>
    </xf>
    <xf numFmtId="3" fontId="27" fillId="8" borderId="138" xfId="0" applyNumberFormat="1" applyFont="1" applyFill="1" applyBorder="1" applyAlignment="1">
      <alignment vertical="center"/>
    </xf>
    <xf numFmtId="3" fontId="27" fillId="57" borderId="138" xfId="0" applyNumberFormat="1" applyFont="1" applyFill="1" applyBorder="1" applyAlignment="1">
      <alignment vertical="center"/>
    </xf>
    <xf numFmtId="3" fontId="27" fillId="59" borderId="138" xfId="0" applyNumberFormat="1" applyFont="1" applyFill="1" applyBorder="1" applyAlignment="1">
      <alignment vertical="center"/>
    </xf>
    <xf numFmtId="3" fontId="27" fillId="23" borderId="138" xfId="0" applyNumberFormat="1" applyFont="1" applyFill="1" applyBorder="1" applyAlignment="1">
      <alignment vertical="center"/>
    </xf>
    <xf numFmtId="3" fontId="31" fillId="28" borderId="138" xfId="0" applyNumberFormat="1" applyFont="1" applyFill="1" applyBorder="1" applyAlignment="1">
      <alignment vertical="center"/>
    </xf>
    <xf numFmtId="3" fontId="31" fillId="58" borderId="138" xfId="0" applyNumberFormat="1" applyFont="1" applyFill="1" applyBorder="1" applyAlignment="1">
      <alignment vertical="center"/>
    </xf>
    <xf numFmtId="3" fontId="31" fillId="60" borderId="138" xfId="0" applyNumberFormat="1" applyFont="1" applyFill="1" applyBorder="1" applyAlignment="1">
      <alignment vertical="center"/>
    </xf>
    <xf numFmtId="3" fontId="25" fillId="57" borderId="140" xfId="0" applyNumberFormat="1" applyFont="1" applyFill="1" applyBorder="1" applyAlignment="1">
      <alignment vertical="center"/>
    </xf>
    <xf numFmtId="3" fontId="25" fillId="59" borderId="140" xfId="0" applyNumberFormat="1" applyFont="1" applyFill="1" applyBorder="1" applyAlignment="1">
      <alignment vertical="center"/>
    </xf>
    <xf numFmtId="43" fontId="25" fillId="6" borderId="140" xfId="1" applyFont="1" applyFill="1" applyBorder="1" applyAlignment="1">
      <alignment vertical="center"/>
    </xf>
    <xf numFmtId="3" fontId="25" fillId="22" borderId="140" xfId="0" applyNumberFormat="1" applyFont="1" applyFill="1" applyBorder="1" applyAlignment="1">
      <alignment vertical="center"/>
    </xf>
    <xf numFmtId="3" fontId="27" fillId="2" borderId="136" xfId="4" applyNumberFormat="1" applyFont="1" applyFill="1" applyBorder="1" applyAlignment="1">
      <alignment vertical="center" wrapText="1"/>
    </xf>
    <xf numFmtId="3" fontId="27" fillId="0" borderId="140" xfId="0" applyNumberFormat="1" applyFont="1" applyFill="1" applyBorder="1" applyAlignment="1">
      <alignment vertical="center"/>
    </xf>
    <xf numFmtId="3" fontId="27" fillId="57" borderId="140" xfId="0" applyNumberFormat="1" applyFont="1" applyFill="1" applyBorder="1" applyAlignment="1">
      <alignment vertical="center"/>
    </xf>
    <xf numFmtId="3" fontId="27" fillId="59" borderId="140" xfId="0" applyNumberFormat="1" applyFont="1" applyFill="1" applyBorder="1" applyAlignment="1">
      <alignment vertical="center"/>
    </xf>
    <xf numFmtId="43" fontId="27" fillId="0" borderId="140" xfId="1" applyFont="1" applyFill="1" applyBorder="1" applyAlignment="1">
      <alignment vertical="center"/>
    </xf>
    <xf numFmtId="3" fontId="27" fillId="25" borderId="140" xfId="0" applyNumberFormat="1" applyFont="1" applyFill="1" applyBorder="1" applyAlignment="1">
      <alignment vertical="center"/>
    </xf>
    <xf numFmtId="0" fontId="31" fillId="0" borderId="77" xfId="0" applyFont="1" applyFill="1" applyBorder="1" applyAlignment="1">
      <alignment vertical="center"/>
    </xf>
    <xf numFmtId="3" fontId="31" fillId="0" borderId="149" xfId="0" applyNumberFormat="1" applyFont="1" applyFill="1" applyBorder="1" applyAlignment="1">
      <alignment vertical="center"/>
    </xf>
    <xf numFmtId="3" fontId="31" fillId="57" borderId="132" xfId="0" applyNumberFormat="1" applyFont="1" applyFill="1" applyBorder="1" applyAlignment="1">
      <alignment vertical="center"/>
    </xf>
    <xf numFmtId="3" fontId="31" fillId="59" borderId="132" xfId="0" applyNumberFormat="1" applyFont="1" applyFill="1" applyBorder="1" applyAlignment="1">
      <alignment vertical="center"/>
    </xf>
    <xf numFmtId="43" fontId="31" fillId="0" borderId="132" xfId="1" applyFont="1" applyFill="1" applyBorder="1" applyAlignment="1">
      <alignment vertical="center"/>
    </xf>
    <xf numFmtId="0" fontId="24" fillId="8" borderId="87" xfId="0" applyFont="1" applyFill="1" applyBorder="1" applyAlignment="1">
      <alignment vertical="center" wrapText="1"/>
    </xf>
    <xf numFmtId="0" fontId="24" fillId="8" borderId="16" xfId="0" applyFont="1" applyFill="1" applyBorder="1" applyAlignment="1">
      <alignment horizontal="center" vertical="center" wrapText="1"/>
    </xf>
    <xf numFmtId="3" fontId="29" fillId="2" borderId="30" xfId="4" applyNumberFormat="1" applyFont="1" applyFill="1" applyBorder="1" applyAlignment="1">
      <alignment horizontal="right" vertical="center"/>
    </xf>
    <xf numFmtId="3" fontId="29" fillId="0" borderId="63" xfId="4" applyNumberFormat="1" applyFont="1" applyFill="1" applyBorder="1" applyAlignment="1">
      <alignment horizontal="right" vertical="center"/>
    </xf>
    <xf numFmtId="0" fontId="25" fillId="6" borderId="29" xfId="4" applyFont="1" applyFill="1" applyBorder="1" applyAlignment="1">
      <alignment horizontal="left" vertical="center"/>
    </xf>
    <xf numFmtId="0" fontId="0" fillId="0" borderId="24" xfId="0" applyFont="1" applyBorder="1"/>
    <xf numFmtId="0" fontId="24" fillId="8" borderId="45" xfId="0" applyFont="1" applyFill="1" applyBorder="1" applyAlignment="1">
      <alignment vertical="center" wrapText="1"/>
    </xf>
    <xf numFmtId="3" fontId="27" fillId="2" borderId="34" xfId="4" applyNumberFormat="1" applyFont="1" applyFill="1" applyBorder="1" applyAlignment="1">
      <alignment vertical="center" wrapText="1"/>
    </xf>
    <xf numFmtId="0" fontId="20" fillId="6" borderId="20" xfId="4" applyFont="1" applyFill="1" applyBorder="1" applyAlignment="1">
      <alignment horizontal="center" vertical="center" wrapText="1"/>
    </xf>
    <xf numFmtId="0" fontId="25" fillId="6" borderId="28" xfId="4" applyFont="1" applyFill="1" applyBorder="1" applyAlignment="1">
      <alignment horizontal="center" vertical="center"/>
    </xf>
    <xf numFmtId="0" fontId="87" fillId="0" borderId="0" xfId="0" applyFont="1" applyBorder="1" applyAlignment="1">
      <alignment horizontal="center" vertical="center"/>
    </xf>
    <xf numFmtId="43" fontId="25" fillId="6" borderId="93" xfId="1" applyFont="1" applyFill="1" applyBorder="1" applyAlignment="1">
      <alignment vertical="top"/>
    </xf>
    <xf numFmtId="43" fontId="27" fillId="2" borderId="93" xfId="1" applyFont="1" applyFill="1" applyBorder="1" applyAlignment="1">
      <alignment vertical="top"/>
    </xf>
    <xf numFmtId="43" fontId="27" fillId="0" borderId="93" xfId="1" applyFont="1" applyFill="1" applyBorder="1" applyAlignment="1">
      <alignment vertical="top"/>
    </xf>
    <xf numFmtId="43" fontId="23" fillId="6" borderId="105" xfId="1" applyFont="1" applyFill="1" applyBorder="1" applyAlignment="1">
      <alignment horizontal="right" vertical="center"/>
    </xf>
    <xf numFmtId="43" fontId="33" fillId="0" borderId="105" xfId="1" applyFont="1" applyFill="1" applyBorder="1" applyAlignment="1">
      <alignment horizontal="right" vertical="center"/>
    </xf>
    <xf numFmtId="43" fontId="24" fillId="8" borderId="70" xfId="1" applyFont="1" applyFill="1" applyBorder="1" applyAlignment="1">
      <alignment horizontal="right" vertical="center"/>
    </xf>
    <xf numFmtId="3" fontId="25" fillId="22" borderId="174" xfId="4" applyNumberFormat="1" applyFont="1" applyFill="1" applyBorder="1" applyAlignment="1">
      <alignment horizontal="right" vertical="center"/>
    </xf>
    <xf numFmtId="3" fontId="27" fillId="25" borderId="174" xfId="4" applyNumberFormat="1" applyFont="1" applyFill="1" applyBorder="1" applyAlignment="1">
      <alignment horizontal="right" vertical="center"/>
    </xf>
    <xf numFmtId="3" fontId="23" fillId="6" borderId="174" xfId="6" applyNumberFormat="1" applyFont="1" applyFill="1" applyBorder="1" applyAlignment="1">
      <alignment horizontal="right" vertical="center"/>
    </xf>
    <xf numFmtId="3" fontId="33" fillId="0" borderId="174" xfId="6" applyNumberFormat="1" applyFont="1" applyFill="1" applyBorder="1" applyAlignment="1">
      <alignment horizontal="right" vertical="center"/>
    </xf>
    <xf numFmtId="3" fontId="31" fillId="0" borderId="174" xfId="4" applyNumberFormat="1" applyFont="1" applyFill="1" applyBorder="1" applyAlignment="1">
      <alignment horizontal="right" vertical="center"/>
    </xf>
    <xf numFmtId="3" fontId="33" fillId="0" borderId="174" xfId="6" applyNumberFormat="1" applyFont="1" applyFill="1" applyBorder="1" applyAlignment="1">
      <alignment vertical="center"/>
    </xf>
    <xf numFmtId="43" fontId="24" fillId="8" borderId="7" xfId="1" applyFont="1" applyFill="1" applyBorder="1" applyAlignment="1">
      <alignment horizontal="right" vertical="center"/>
    </xf>
    <xf numFmtId="43" fontId="25" fillId="6" borderId="9" xfId="1" applyFont="1" applyFill="1" applyBorder="1" applyAlignment="1">
      <alignment horizontal="right" vertical="center"/>
    </xf>
    <xf numFmtId="43" fontId="7" fillId="0" borderId="72" xfId="1" applyFont="1" applyFill="1" applyBorder="1" applyAlignment="1">
      <alignment horizontal="right" vertical="center"/>
    </xf>
    <xf numFmtId="43" fontId="25" fillId="8" borderId="2" xfId="1" applyFont="1" applyFill="1" applyBorder="1" applyAlignment="1">
      <alignment horizontal="right" vertical="center"/>
    </xf>
    <xf numFmtId="43" fontId="31" fillId="0" borderId="91" xfId="1" applyFont="1" applyFill="1" applyBorder="1" applyAlignment="1">
      <alignment horizontal="right" vertical="center"/>
    </xf>
    <xf numFmtId="0" fontId="0" fillId="0" borderId="25" xfId="0" applyFont="1" applyBorder="1"/>
    <xf numFmtId="0" fontId="24" fillId="8" borderId="19" xfId="0" applyFont="1" applyFill="1" applyBorder="1" applyAlignment="1">
      <alignment horizontal="left" vertical="center" wrapText="1"/>
    </xf>
    <xf numFmtId="3" fontId="24" fillId="8" borderId="3" xfId="0" applyNumberFormat="1" applyFont="1" applyFill="1" applyBorder="1" applyAlignment="1">
      <alignment vertical="center"/>
    </xf>
    <xf numFmtId="3" fontId="31" fillId="0" borderId="30" xfId="0" applyNumberFormat="1" applyFont="1" applyFill="1" applyBorder="1" applyAlignment="1">
      <alignment horizontal="right" vertical="center"/>
    </xf>
    <xf numFmtId="3" fontId="31" fillId="0" borderId="29" xfId="0" applyNumberFormat="1" applyFont="1" applyFill="1" applyBorder="1" applyAlignment="1">
      <alignment horizontal="right" vertical="center"/>
    </xf>
    <xf numFmtId="3" fontId="7" fillId="0" borderId="30" xfId="0" applyNumberFormat="1" applyFont="1" applyFill="1" applyBorder="1" applyAlignment="1">
      <alignment horizontal="right" vertical="center"/>
    </xf>
    <xf numFmtId="0" fontId="33" fillId="0" borderId="6" xfId="0" applyFont="1" applyBorder="1" applyAlignment="1">
      <alignment horizontal="center" vertical="center"/>
    </xf>
    <xf numFmtId="3" fontId="29" fillId="0" borderId="29" xfId="4" applyNumberFormat="1" applyFont="1" applyFill="1" applyBorder="1" applyAlignment="1">
      <alignment horizontal="right" vertical="center"/>
    </xf>
    <xf numFmtId="3" fontId="31" fillId="0" borderId="9" xfId="0" applyNumberFormat="1" applyFont="1" applyFill="1" applyBorder="1" applyAlignment="1">
      <alignment horizontal="right" vertical="center"/>
    </xf>
    <xf numFmtId="3" fontId="7" fillId="0" borderId="29" xfId="0" applyNumberFormat="1" applyFont="1" applyFill="1" applyBorder="1" applyAlignment="1">
      <alignment horizontal="right" vertical="center"/>
    </xf>
    <xf numFmtId="3" fontId="7" fillId="0" borderId="71" xfId="0" applyNumberFormat="1" applyFont="1" applyFill="1" applyBorder="1" applyAlignment="1">
      <alignment horizontal="right" vertical="center"/>
    </xf>
    <xf numFmtId="3" fontId="31" fillId="0" borderId="71" xfId="0" applyNumberFormat="1" applyFont="1" applyFill="1" applyBorder="1" applyAlignment="1">
      <alignment horizontal="right" vertical="center"/>
    </xf>
    <xf numFmtId="3" fontId="7" fillId="0" borderId="74" xfId="0" applyNumberFormat="1" applyFont="1" applyFill="1" applyBorder="1" applyAlignment="1">
      <alignment horizontal="right" vertical="center"/>
    </xf>
    <xf numFmtId="3" fontId="31" fillId="0" borderId="74" xfId="0" applyNumberFormat="1" applyFont="1" applyFill="1" applyBorder="1" applyAlignment="1">
      <alignment horizontal="right" vertical="center"/>
    </xf>
    <xf numFmtId="3" fontId="31" fillId="0" borderId="75" xfId="0" applyNumberFormat="1" applyFont="1" applyFill="1" applyBorder="1" applyAlignment="1">
      <alignment horizontal="right" vertical="center"/>
    </xf>
    <xf numFmtId="0" fontId="24" fillId="8" borderId="70" xfId="4" applyFont="1" applyFill="1" applyBorder="1" applyAlignment="1">
      <alignment horizontal="center" vertical="center" wrapText="1"/>
    </xf>
    <xf numFmtId="3" fontId="24" fillId="22" borderId="70" xfId="4" applyNumberFormat="1" applyFont="1" applyFill="1" applyBorder="1" applyAlignment="1">
      <alignment horizontal="right" vertical="center"/>
    </xf>
    <xf numFmtId="0" fontId="24" fillId="6" borderId="35" xfId="4" applyFont="1" applyFill="1" applyBorder="1" applyAlignment="1">
      <alignment horizontal="left" vertical="center"/>
    </xf>
    <xf numFmtId="0" fontId="7" fillId="0" borderId="132" xfId="4" applyFont="1" applyFill="1" applyBorder="1" applyAlignment="1">
      <alignment vertical="top"/>
    </xf>
    <xf numFmtId="3" fontId="31" fillId="0" borderId="132" xfId="0" applyNumberFormat="1" applyFont="1" applyFill="1" applyBorder="1" applyAlignment="1">
      <alignment horizontal="right"/>
    </xf>
    <xf numFmtId="3" fontId="31" fillId="0" borderId="132" xfId="0" applyNumberFormat="1" applyFont="1" applyFill="1" applyBorder="1" applyAlignment="1">
      <alignment horizontal="right" vertical="center"/>
    </xf>
    <xf numFmtId="4" fontId="0" fillId="0" borderId="0" xfId="0" applyNumberFormat="1" applyFont="1" applyBorder="1" applyAlignment="1">
      <alignment vertical="top"/>
    </xf>
    <xf numFmtId="3" fontId="7" fillId="0" borderId="0" xfId="0" applyNumberFormat="1" applyFont="1" applyFill="1" applyBorder="1" applyAlignment="1">
      <alignment vertical="top"/>
    </xf>
    <xf numFmtId="0" fontId="28" fillId="55" borderId="22" xfId="0" quotePrefix="1" applyFont="1" applyFill="1" applyBorder="1" applyAlignment="1">
      <alignment horizontal="center" vertical="top"/>
    </xf>
    <xf numFmtId="3" fontId="25" fillId="6" borderId="35" xfId="0" applyNumberFormat="1" applyFont="1" applyFill="1" applyBorder="1" applyAlignment="1"/>
    <xf numFmtId="3" fontId="18" fillId="8" borderId="67" xfId="0" applyNumberFormat="1" applyFont="1" applyFill="1" applyBorder="1" applyAlignment="1">
      <alignment horizontal="center" vertical="top" wrapText="1"/>
    </xf>
    <xf numFmtId="3" fontId="18" fillId="8" borderId="67" xfId="0" applyNumberFormat="1" applyFont="1" applyFill="1" applyBorder="1" applyAlignment="1">
      <alignment horizontal="center" vertical="center" wrapText="1"/>
    </xf>
    <xf numFmtId="3" fontId="31" fillId="23" borderId="176" xfId="0" applyNumberFormat="1" applyFont="1" applyFill="1" applyBorder="1" applyAlignment="1"/>
    <xf numFmtId="3" fontId="31" fillId="25" borderId="176" xfId="0" applyNumberFormat="1" applyFont="1" applyFill="1" applyBorder="1" applyAlignment="1">
      <alignment horizontal="center" vertical="top"/>
    </xf>
    <xf numFmtId="0" fontId="30" fillId="8" borderId="11" xfId="0" applyFont="1" applyFill="1" applyBorder="1" applyAlignment="1">
      <alignment vertical="center"/>
    </xf>
    <xf numFmtId="0" fontId="25" fillId="6" borderId="136" xfId="4" applyFont="1" applyFill="1" applyBorder="1" applyAlignment="1">
      <alignment horizontal="left" vertical="center"/>
    </xf>
    <xf numFmtId="3" fontId="25" fillId="6" borderId="173" xfId="0" applyNumberFormat="1" applyFont="1" applyFill="1" applyBorder="1" applyAlignment="1">
      <alignment vertical="top"/>
    </xf>
    <xf numFmtId="43" fontId="25" fillId="6" borderId="173" xfId="1" applyFont="1" applyFill="1" applyBorder="1" applyAlignment="1">
      <alignment vertical="top"/>
    </xf>
    <xf numFmtId="3" fontId="31" fillId="8" borderId="132" xfId="0" applyNumberFormat="1" applyFont="1" applyFill="1" applyBorder="1" applyAlignment="1">
      <alignment vertical="top"/>
    </xf>
    <xf numFmtId="0" fontId="24" fillId="8" borderId="19" xfId="0" applyFont="1" applyFill="1" applyBorder="1" applyAlignment="1">
      <alignment vertical="top" wrapText="1"/>
    </xf>
    <xf numFmtId="0" fontId="24" fillId="8" borderId="17" xfId="0" applyFont="1" applyFill="1" applyBorder="1" applyAlignment="1">
      <alignment horizontal="center" vertical="center" wrapText="1"/>
    </xf>
    <xf numFmtId="3" fontId="31" fillId="8" borderId="3" xfId="0" applyNumberFormat="1" applyFont="1" applyFill="1" applyBorder="1" applyAlignment="1">
      <alignment vertical="top"/>
    </xf>
    <xf numFmtId="3" fontId="31" fillId="8" borderId="15" xfId="0" applyNumberFormat="1" applyFont="1" applyFill="1" applyBorder="1" applyAlignment="1">
      <alignment vertical="top"/>
    </xf>
    <xf numFmtId="3" fontId="31" fillId="8" borderId="4" xfId="0" applyNumberFormat="1" applyFont="1" applyFill="1" applyBorder="1" applyAlignment="1">
      <alignment vertical="top"/>
    </xf>
    <xf numFmtId="3" fontId="31" fillId="23" borderId="42" xfId="0" applyNumberFormat="1" applyFont="1" applyFill="1" applyBorder="1" applyAlignment="1">
      <alignment vertical="top"/>
    </xf>
    <xf numFmtId="0" fontId="7" fillId="0" borderId="0" xfId="0" applyFont="1" applyFill="1" applyBorder="1" applyAlignment="1">
      <alignment vertical="top"/>
    </xf>
    <xf numFmtId="0" fontId="24" fillId="6" borderId="179" xfId="4" applyFont="1" applyFill="1" applyBorder="1" applyAlignment="1">
      <alignment horizontal="left" vertical="center"/>
    </xf>
    <xf numFmtId="0" fontId="7" fillId="6" borderId="178" xfId="0" applyFont="1" applyFill="1" applyBorder="1" applyAlignment="1">
      <alignment vertical="top" wrapText="1"/>
    </xf>
    <xf numFmtId="3" fontId="25" fillId="6" borderId="173" xfId="0" applyNumberFormat="1" applyFont="1" applyFill="1" applyBorder="1" applyAlignment="1"/>
    <xf numFmtId="3" fontId="25" fillId="6" borderId="27" xfId="0" applyNumberFormat="1" applyFont="1" applyFill="1" applyBorder="1" applyAlignment="1"/>
    <xf numFmtId="3" fontId="25" fillId="6" borderId="13" xfId="0" applyNumberFormat="1" applyFont="1" applyFill="1" applyBorder="1" applyAlignment="1"/>
    <xf numFmtId="3" fontId="25" fillId="6" borderId="0" xfId="0" applyNumberFormat="1" applyFont="1" applyFill="1" applyBorder="1" applyAlignment="1"/>
    <xf numFmtId="3" fontId="25" fillId="22" borderId="43" xfId="0" applyNumberFormat="1" applyFont="1" applyFill="1" applyBorder="1" applyAlignment="1"/>
    <xf numFmtId="3" fontId="29" fillId="2" borderId="136" xfId="4" applyNumberFormat="1" applyFont="1" applyFill="1" applyBorder="1" applyAlignment="1">
      <alignment vertical="center" wrapText="1"/>
    </xf>
    <xf numFmtId="3" fontId="27" fillId="2" borderId="173" xfId="0" applyNumberFormat="1" applyFont="1" applyFill="1" applyBorder="1" applyAlignment="1"/>
    <xf numFmtId="3" fontId="27" fillId="2" borderId="27" xfId="0" applyNumberFormat="1" applyFont="1" applyFill="1" applyBorder="1" applyAlignment="1"/>
    <xf numFmtId="3" fontId="27" fillId="2" borderId="13" xfId="0" applyNumberFormat="1" applyFont="1" applyFill="1" applyBorder="1" applyAlignment="1"/>
    <xf numFmtId="3" fontId="27" fillId="2" borderId="0" xfId="0" applyNumberFormat="1" applyFont="1" applyFill="1" applyBorder="1" applyAlignment="1"/>
    <xf numFmtId="3" fontId="27" fillId="26" borderId="43" xfId="0" applyNumberFormat="1" applyFont="1" applyFill="1" applyBorder="1" applyAlignment="1"/>
    <xf numFmtId="3" fontId="31" fillId="0" borderId="173" xfId="0" applyNumberFormat="1" applyFont="1" applyFill="1" applyBorder="1" applyAlignment="1">
      <alignment vertical="top"/>
    </xf>
    <xf numFmtId="3" fontId="31" fillId="0" borderId="27" xfId="0" applyNumberFormat="1" applyFont="1" applyFill="1" applyBorder="1" applyAlignment="1">
      <alignment vertical="top"/>
    </xf>
    <xf numFmtId="3" fontId="31" fillId="0" borderId="0" xfId="0" applyNumberFormat="1" applyFont="1" applyFill="1" applyBorder="1" applyAlignment="1">
      <alignment vertical="top"/>
    </xf>
    <xf numFmtId="3" fontId="31" fillId="25" borderId="43" xfId="0" applyNumberFormat="1" applyFont="1" applyFill="1" applyBorder="1" applyAlignment="1">
      <alignment horizontal="center" vertical="top"/>
    </xf>
    <xf numFmtId="0" fontId="7" fillId="0" borderId="136" xfId="0" applyFont="1" applyFill="1" applyBorder="1" applyAlignment="1">
      <alignment vertical="center" wrapText="1"/>
    </xf>
    <xf numFmtId="3" fontId="31" fillId="25" borderId="43" xfId="0" applyNumberFormat="1" applyFont="1" applyFill="1" applyBorder="1" applyAlignment="1">
      <alignment vertical="top"/>
    </xf>
    <xf numFmtId="0" fontId="29" fillId="2" borderId="136" xfId="4" applyFont="1" applyFill="1" applyBorder="1" applyAlignment="1">
      <alignment vertical="center"/>
    </xf>
    <xf numFmtId="3" fontId="27" fillId="0" borderId="173" xfId="0" applyNumberFormat="1" applyFont="1" applyFill="1" applyBorder="1" applyAlignment="1">
      <alignment vertical="top"/>
    </xf>
    <xf numFmtId="3" fontId="27" fillId="0" borderId="27" xfId="0" applyNumberFormat="1" applyFont="1" applyFill="1" applyBorder="1" applyAlignment="1">
      <alignment vertical="top"/>
    </xf>
    <xf numFmtId="3" fontId="27" fillId="0" borderId="13" xfId="0" applyNumberFormat="1" applyFont="1" applyFill="1" applyBorder="1" applyAlignment="1">
      <alignment vertical="top"/>
    </xf>
    <xf numFmtId="3" fontId="27" fillId="0" borderId="0" xfId="0" applyNumberFormat="1" applyFont="1" applyFill="1" applyBorder="1" applyAlignment="1">
      <alignment vertical="top"/>
    </xf>
    <xf numFmtId="3" fontId="27" fillId="25" borderId="43" xfId="0" applyNumberFormat="1" applyFont="1" applyFill="1" applyBorder="1" applyAlignment="1">
      <alignment horizontal="center" vertical="top"/>
    </xf>
    <xf numFmtId="0" fontId="7" fillId="0" borderId="146" xfId="4" applyFont="1" applyFill="1" applyBorder="1" applyAlignment="1">
      <alignment vertical="center"/>
    </xf>
    <xf numFmtId="3" fontId="31" fillId="0" borderId="139" xfId="0" applyNumberFormat="1" applyFont="1" applyFill="1" applyBorder="1" applyAlignment="1">
      <alignment vertical="top"/>
    </xf>
    <xf numFmtId="0" fontId="7" fillId="6" borderId="178" xfId="0" applyFont="1" applyFill="1" applyBorder="1" applyAlignment="1">
      <alignment vertical="top"/>
    </xf>
    <xf numFmtId="0" fontId="7" fillId="2" borderId="27" xfId="0" applyFont="1" applyFill="1" applyBorder="1" applyAlignment="1">
      <alignment vertical="top"/>
    </xf>
    <xf numFmtId="3" fontId="25" fillId="2" borderId="177" xfId="0" applyNumberFormat="1" applyFont="1" applyFill="1" applyBorder="1" applyAlignment="1"/>
    <xf numFmtId="3" fontId="25" fillId="2" borderId="27" xfId="0" applyNumberFormat="1" applyFont="1" applyFill="1" applyBorder="1" applyAlignment="1"/>
    <xf numFmtId="3" fontId="25" fillId="2" borderId="13" xfId="0" applyNumberFormat="1" applyFont="1" applyFill="1" applyBorder="1" applyAlignment="1"/>
    <xf numFmtId="3" fontId="25" fillId="2" borderId="0" xfId="0" applyNumberFormat="1" applyFont="1" applyFill="1" applyBorder="1" applyAlignment="1"/>
    <xf numFmtId="0" fontId="7" fillId="0" borderId="146" xfId="4" applyFont="1" applyFill="1" applyBorder="1" applyAlignment="1">
      <alignment horizontal="left"/>
    </xf>
    <xf numFmtId="0" fontId="23" fillId="0" borderId="27" xfId="0" applyFont="1" applyBorder="1" applyAlignment="1">
      <alignment horizontal="center" vertical="center" wrapText="1"/>
    </xf>
    <xf numFmtId="3" fontId="31" fillId="0" borderId="8" xfId="0" applyNumberFormat="1" applyFont="1" applyFill="1" applyBorder="1" applyAlignment="1">
      <alignment vertical="top"/>
    </xf>
    <xf numFmtId="0" fontId="24" fillId="8" borderId="9" xfId="0" applyFont="1" applyFill="1" applyBorder="1" applyAlignment="1">
      <alignment horizontal="center" vertical="center" wrapText="1"/>
    </xf>
    <xf numFmtId="3" fontId="25" fillId="8" borderId="0" xfId="0" applyNumberFormat="1" applyFont="1" applyFill="1" applyBorder="1" applyAlignment="1">
      <alignment vertical="top"/>
    </xf>
    <xf numFmtId="3" fontId="25" fillId="8" borderId="13" xfId="0" applyNumberFormat="1" applyFont="1" applyFill="1" applyBorder="1" applyAlignment="1">
      <alignment vertical="top"/>
    </xf>
    <xf numFmtId="3" fontId="25" fillId="8" borderId="27" xfId="0" applyNumberFormat="1" applyFont="1" applyFill="1" applyBorder="1" applyAlignment="1">
      <alignment vertical="top"/>
    </xf>
    <xf numFmtId="3" fontId="31" fillId="23" borderId="43" xfId="0" applyNumberFormat="1" applyFont="1" applyFill="1" applyBorder="1" applyAlignment="1"/>
    <xf numFmtId="43" fontId="25" fillId="6" borderId="173" xfId="1" applyFont="1" applyFill="1" applyBorder="1" applyAlignment="1"/>
    <xf numFmtId="43" fontId="25" fillId="6" borderId="174" xfId="1" applyFont="1" applyFill="1" applyBorder="1" applyAlignment="1"/>
    <xf numFmtId="3" fontId="25" fillId="22" borderId="176" xfId="0" applyNumberFormat="1" applyFont="1" applyFill="1" applyBorder="1" applyAlignment="1"/>
    <xf numFmtId="3" fontId="29" fillId="2" borderId="179" xfId="4" applyNumberFormat="1" applyFont="1" applyFill="1" applyBorder="1" applyAlignment="1">
      <alignment vertical="center" wrapText="1"/>
    </xf>
    <xf numFmtId="43" fontId="27" fillId="2" borderId="173" xfId="1" applyFont="1" applyFill="1" applyBorder="1" applyAlignment="1"/>
    <xf numFmtId="43" fontId="27" fillId="2" borderId="174" xfId="1" applyFont="1" applyFill="1" applyBorder="1" applyAlignment="1"/>
    <xf numFmtId="3" fontId="27" fillId="25" borderId="176" xfId="0" applyNumberFormat="1" applyFont="1" applyFill="1" applyBorder="1" applyAlignment="1"/>
    <xf numFmtId="0" fontId="7" fillId="0" borderId="36" xfId="0" applyFont="1" applyFill="1" applyBorder="1" applyAlignment="1">
      <alignment vertical="center"/>
    </xf>
    <xf numFmtId="3" fontId="31" fillId="2" borderId="139" xfId="0" applyNumberFormat="1" applyFont="1" applyFill="1" applyBorder="1" applyAlignment="1"/>
    <xf numFmtId="43" fontId="31" fillId="2" borderId="139" xfId="1" applyFont="1" applyFill="1" applyBorder="1" applyAlignment="1"/>
    <xf numFmtId="43" fontId="31" fillId="2" borderId="175" xfId="1" applyFont="1" applyFill="1" applyBorder="1" applyAlignment="1"/>
    <xf numFmtId="3" fontId="31" fillId="25" borderId="176" xfId="0" applyNumberFormat="1" applyFont="1" applyFill="1" applyBorder="1" applyAlignment="1">
      <alignment vertical="top"/>
    </xf>
    <xf numFmtId="0" fontId="7" fillId="0" borderId="179" xfId="0" applyFont="1" applyFill="1" applyBorder="1" applyAlignment="1">
      <alignment vertical="center" wrapText="1"/>
    </xf>
    <xf numFmtId="3" fontId="31" fillId="0" borderId="173" xfId="0" applyNumberFormat="1" applyFont="1" applyFill="1" applyBorder="1" applyAlignment="1">
      <alignment vertical="center"/>
    </xf>
    <xf numFmtId="43" fontId="31" fillId="0" borderId="173" xfId="1" applyFont="1" applyFill="1" applyBorder="1" applyAlignment="1">
      <alignment vertical="center"/>
    </xf>
    <xf numFmtId="43" fontId="31" fillId="0" borderId="174" xfId="1" applyFont="1" applyFill="1" applyBorder="1" applyAlignment="1">
      <alignment vertical="center"/>
    </xf>
    <xf numFmtId="0" fontId="29" fillId="2" borderId="179" xfId="4" applyFont="1" applyFill="1" applyBorder="1" applyAlignment="1">
      <alignment vertical="center"/>
    </xf>
    <xf numFmtId="3" fontId="27" fillId="2" borderId="9" xfId="0" applyNumberFormat="1" applyFont="1" applyFill="1" applyBorder="1" applyAlignment="1"/>
    <xf numFmtId="43" fontId="27" fillId="2" borderId="9" xfId="1" applyFont="1" applyFill="1" applyBorder="1" applyAlignment="1"/>
    <xf numFmtId="43" fontId="27" fillId="2" borderId="35" xfId="1" applyFont="1" applyFill="1" applyBorder="1" applyAlignment="1"/>
    <xf numFmtId="0" fontId="7" fillId="0" borderId="144" xfId="4" applyFont="1" applyFill="1" applyBorder="1" applyAlignment="1">
      <alignment vertical="center"/>
    </xf>
    <xf numFmtId="0" fontId="0" fillId="0" borderId="175" xfId="0" applyFont="1" applyBorder="1"/>
    <xf numFmtId="0" fontId="0" fillId="0" borderId="139" xfId="0" applyFont="1" applyBorder="1"/>
    <xf numFmtId="43" fontId="0" fillId="0" borderId="173" xfId="1" applyFont="1" applyBorder="1"/>
    <xf numFmtId="43" fontId="0" fillId="0" borderId="174" xfId="1" applyFont="1" applyBorder="1"/>
    <xf numFmtId="3" fontId="27" fillId="25" borderId="176" xfId="0" applyNumberFormat="1" applyFont="1" applyFill="1" applyBorder="1" applyAlignment="1">
      <alignment horizontal="center" vertical="top"/>
    </xf>
    <xf numFmtId="0" fontId="24" fillId="6" borderId="178" xfId="0" applyFont="1" applyFill="1" applyBorder="1" applyAlignment="1">
      <alignment vertical="top"/>
    </xf>
    <xf numFmtId="43" fontId="31" fillId="2" borderId="173" xfId="1" applyFont="1" applyFill="1" applyBorder="1" applyAlignment="1"/>
    <xf numFmtId="0" fontId="37" fillId="0" borderId="6" xfId="0" applyFont="1" applyBorder="1" applyAlignment="1">
      <alignment vertical="center" wrapText="1"/>
    </xf>
    <xf numFmtId="3" fontId="27" fillId="2" borderId="139" xfId="0" applyNumberFormat="1" applyFont="1" applyFill="1" applyBorder="1" applyAlignment="1"/>
    <xf numFmtId="43" fontId="27" fillId="2" borderId="139" xfId="1" applyFont="1" applyFill="1" applyBorder="1" applyAlignment="1"/>
    <xf numFmtId="43" fontId="27" fillId="2" borderId="175" xfId="1" applyFont="1" applyFill="1" applyBorder="1" applyAlignment="1"/>
    <xf numFmtId="43" fontId="31" fillId="0" borderId="149" xfId="1" applyFont="1" applyFill="1" applyBorder="1" applyAlignment="1">
      <alignment vertical="center"/>
    </xf>
    <xf numFmtId="0" fontId="24" fillId="8" borderId="5" xfId="0" applyFont="1" applyFill="1" applyBorder="1" applyAlignment="1">
      <alignment vertical="center" wrapText="1"/>
    </xf>
    <xf numFmtId="3" fontId="25" fillId="8" borderId="3" xfId="0" applyNumberFormat="1" applyFont="1" applyFill="1" applyBorder="1" applyAlignment="1">
      <alignment vertical="top"/>
    </xf>
    <xf numFmtId="3" fontId="25" fillId="23" borderId="42" xfId="0" applyNumberFormat="1" applyFont="1" applyFill="1" applyBorder="1" applyAlignment="1">
      <alignment vertical="top"/>
    </xf>
    <xf numFmtId="3" fontId="25" fillId="6" borderId="173" xfId="0" applyNumberFormat="1" applyFont="1" applyFill="1" applyBorder="1" applyAlignment="1">
      <alignment vertical="center"/>
    </xf>
    <xf numFmtId="3" fontId="29" fillId="2" borderId="136" xfId="4" applyNumberFormat="1" applyFont="1" applyFill="1" applyBorder="1" applyAlignment="1">
      <alignment vertical="top" wrapText="1"/>
    </xf>
    <xf numFmtId="3" fontId="27" fillId="23" borderId="176" xfId="0" applyNumberFormat="1" applyFont="1" applyFill="1" applyBorder="1" applyAlignment="1"/>
    <xf numFmtId="0" fontId="7" fillId="0" borderId="21" xfId="0" applyFont="1" applyFill="1" applyBorder="1" applyAlignment="1">
      <alignment vertical="top"/>
    </xf>
    <xf numFmtId="43" fontId="31" fillId="0" borderId="132" xfId="1" applyFont="1" applyFill="1" applyBorder="1" applyAlignment="1">
      <alignment vertical="top"/>
    </xf>
    <xf numFmtId="43" fontId="31" fillId="0" borderId="149" xfId="1" applyFont="1" applyFill="1" applyBorder="1" applyAlignment="1">
      <alignment vertical="top"/>
    </xf>
    <xf numFmtId="0" fontId="24" fillId="8" borderId="5" xfId="0" applyFont="1" applyFill="1" applyBorder="1" applyAlignment="1">
      <alignment vertical="top" wrapText="1"/>
    </xf>
    <xf numFmtId="3" fontId="25" fillId="8" borderId="4" xfId="0" applyNumberFormat="1" applyFont="1" applyFill="1" applyBorder="1" applyAlignment="1">
      <alignment vertical="top"/>
    </xf>
    <xf numFmtId="3" fontId="31" fillId="0" borderId="12" xfId="0" applyNumberFormat="1" applyFont="1" applyFill="1" applyBorder="1" applyAlignment="1">
      <alignment vertical="center"/>
    </xf>
    <xf numFmtId="3" fontId="27" fillId="2" borderId="173" xfId="0" applyNumberFormat="1" applyFont="1" applyFill="1" applyBorder="1" applyAlignment="1">
      <alignment vertical="center"/>
    </xf>
    <xf numFmtId="3" fontId="31" fillId="2" borderId="139" xfId="0" applyNumberFormat="1" applyFont="1" applyFill="1" applyBorder="1" applyAlignment="1">
      <alignment vertical="center"/>
    </xf>
    <xf numFmtId="0" fontId="0" fillId="0" borderId="173" xfId="0" applyFont="1" applyBorder="1" applyAlignment="1">
      <alignment vertical="center"/>
    </xf>
    <xf numFmtId="3" fontId="31" fillId="2" borderId="173" xfId="0" applyNumberFormat="1" applyFont="1" applyFill="1" applyBorder="1" applyAlignment="1">
      <alignment vertical="center"/>
    </xf>
    <xf numFmtId="3" fontId="31" fillId="2" borderId="132" xfId="0" applyNumberFormat="1" applyFont="1" applyFill="1" applyBorder="1" applyAlignment="1">
      <alignment vertical="center"/>
    </xf>
    <xf numFmtId="0" fontId="0" fillId="0" borderId="12" xfId="0" applyFont="1" applyBorder="1" applyAlignment="1">
      <alignment vertical="center"/>
    </xf>
    <xf numFmtId="3" fontId="27" fillId="26" borderId="176" xfId="0" applyNumberFormat="1" applyFont="1" applyFill="1" applyBorder="1" applyAlignment="1"/>
    <xf numFmtId="43" fontId="31" fillId="0" borderId="173" xfId="1" applyFont="1" applyFill="1" applyBorder="1" applyAlignment="1">
      <alignment vertical="top"/>
    </xf>
    <xf numFmtId="43" fontId="31" fillId="0" borderId="174" xfId="1" applyFont="1" applyFill="1" applyBorder="1" applyAlignment="1">
      <alignment vertical="top"/>
    </xf>
    <xf numFmtId="43" fontId="27" fillId="0" borderId="173" xfId="1" applyFont="1" applyFill="1" applyBorder="1" applyAlignment="1">
      <alignment vertical="top"/>
    </xf>
    <xf numFmtId="43" fontId="27" fillId="0" borderId="174" xfId="1" applyFont="1" applyFill="1" applyBorder="1" applyAlignment="1">
      <alignment vertical="top"/>
    </xf>
    <xf numFmtId="43" fontId="31" fillId="0" borderId="139" xfId="1" applyFont="1" applyFill="1" applyBorder="1" applyAlignment="1">
      <alignment vertical="top"/>
    </xf>
    <xf numFmtId="43" fontId="31" fillId="0" borderId="175" xfId="1" applyFont="1" applyFill="1" applyBorder="1" applyAlignment="1">
      <alignment vertical="top"/>
    </xf>
    <xf numFmtId="3" fontId="31" fillId="25" borderId="141" xfId="0" applyNumberFormat="1" applyFont="1" applyFill="1" applyBorder="1" applyAlignment="1">
      <alignment horizontal="center" vertical="top"/>
    </xf>
    <xf numFmtId="0" fontId="7" fillId="6" borderId="20" xfId="0" applyFont="1" applyFill="1" applyBorder="1" applyAlignment="1">
      <alignment vertical="top"/>
    </xf>
    <xf numFmtId="43" fontId="25" fillId="2" borderId="177" xfId="1" applyFont="1" applyFill="1" applyBorder="1" applyAlignment="1"/>
    <xf numFmtId="43" fontId="25" fillId="2" borderId="173" xfId="1" applyFont="1" applyFill="1" applyBorder="1" applyAlignment="1"/>
    <xf numFmtId="43" fontId="25" fillId="2" borderId="145" xfId="1" applyFont="1" applyFill="1" applyBorder="1" applyAlignment="1"/>
    <xf numFmtId="0" fontId="7" fillId="0" borderId="77" xfId="4" applyFont="1" applyFill="1" applyBorder="1" applyAlignment="1">
      <alignment horizontal="left"/>
    </xf>
    <xf numFmtId="43" fontId="31" fillId="0" borderId="12" xfId="1" applyFont="1" applyFill="1" applyBorder="1" applyAlignment="1">
      <alignment vertical="top"/>
    </xf>
    <xf numFmtId="43" fontId="31" fillId="0" borderId="23" xfId="1" applyFont="1" applyFill="1" applyBorder="1" applyAlignment="1">
      <alignment vertical="top"/>
    </xf>
    <xf numFmtId="167" fontId="31" fillId="0" borderId="173" xfId="1" applyNumberFormat="1" applyFont="1" applyFill="1" applyBorder="1" applyAlignment="1">
      <alignment vertical="top"/>
    </xf>
    <xf numFmtId="3" fontId="27" fillId="2" borderId="177" xfId="0" applyNumberFormat="1" applyFont="1" applyFill="1" applyBorder="1" applyAlignment="1"/>
    <xf numFmtId="3" fontId="25" fillId="0" borderId="173" xfId="0" applyNumberFormat="1" applyFont="1" applyFill="1" applyBorder="1" applyAlignment="1"/>
    <xf numFmtId="43" fontId="27" fillId="2" borderId="174" xfId="1" applyFont="1" applyFill="1" applyBorder="1" applyAlignment="1">
      <alignment vertical="center"/>
    </xf>
    <xf numFmtId="3" fontId="18" fillId="0" borderId="0" xfId="0" applyNumberFormat="1" applyFont="1" applyFill="1" applyBorder="1" applyAlignment="1">
      <alignment vertical="center"/>
    </xf>
    <xf numFmtId="0" fontId="24" fillId="0" borderId="0" xfId="0" applyFont="1" applyFill="1" applyBorder="1" applyAlignment="1">
      <alignment vertical="top"/>
    </xf>
    <xf numFmtId="0" fontId="60" fillId="0" borderId="0" xfId="0" applyFont="1" applyFill="1" applyBorder="1" applyAlignment="1">
      <alignment vertical="top"/>
    </xf>
    <xf numFmtId="3" fontId="60" fillId="0" borderId="0" xfId="0" applyNumberFormat="1" applyFont="1" applyFill="1" applyBorder="1" applyAlignment="1">
      <alignment vertical="top"/>
    </xf>
    <xf numFmtId="0" fontId="40" fillId="0" borderId="0" xfId="0" applyFont="1" applyFill="1" applyBorder="1" applyAlignment="1">
      <alignment vertical="top"/>
    </xf>
    <xf numFmtId="3" fontId="22" fillId="0" borderId="0" xfId="0" applyNumberFormat="1" applyFont="1" applyBorder="1" applyAlignment="1">
      <alignment vertical="top"/>
    </xf>
    <xf numFmtId="0" fontId="0" fillId="0" borderId="173" xfId="0" applyFont="1" applyBorder="1" applyAlignment="1">
      <alignment horizontal="center" vertical="top"/>
    </xf>
    <xf numFmtId="0" fontId="37" fillId="0" borderId="0" xfId="0" applyFont="1" applyBorder="1" applyAlignment="1">
      <alignment horizontal="center" vertical="top"/>
    </xf>
    <xf numFmtId="3" fontId="37" fillId="0" borderId="0" xfId="0" applyNumberFormat="1" applyFont="1" applyBorder="1" applyAlignment="1">
      <alignment horizontal="center" vertical="top"/>
    </xf>
    <xf numFmtId="3" fontId="37" fillId="0" borderId="173" xfId="0" applyNumberFormat="1" applyFont="1" applyBorder="1" applyAlignment="1">
      <alignment vertical="top"/>
    </xf>
    <xf numFmtId="0" fontId="17" fillId="0" borderId="0" xfId="0" applyFont="1" applyFill="1" applyBorder="1" applyAlignment="1">
      <alignment vertical="top"/>
    </xf>
    <xf numFmtId="0" fontId="19" fillId="0" borderId="0" xfId="0" applyFont="1" applyBorder="1" applyAlignment="1">
      <alignment horizontal="center" vertical="top"/>
    </xf>
    <xf numFmtId="0" fontId="0" fillId="0" borderId="0" xfId="0" applyFont="1" applyFill="1" applyBorder="1" applyAlignment="1">
      <alignment horizontal="center" vertical="top" wrapText="1"/>
    </xf>
    <xf numFmtId="0" fontId="0" fillId="0" borderId="26" xfId="0" applyFont="1" applyBorder="1" applyAlignment="1">
      <alignment vertical="top"/>
    </xf>
    <xf numFmtId="0" fontId="0" fillId="0" borderId="11" xfId="0" applyFont="1" applyBorder="1" applyAlignment="1">
      <alignment vertical="top"/>
    </xf>
    <xf numFmtId="3" fontId="31" fillId="8" borderId="0" xfId="0" applyNumberFormat="1" applyFont="1" applyFill="1" applyBorder="1" applyAlignment="1"/>
    <xf numFmtId="3" fontId="31" fillId="8" borderId="27" xfId="0" applyNumberFormat="1" applyFont="1" applyFill="1" applyBorder="1" applyAlignment="1"/>
    <xf numFmtId="0" fontId="7" fillId="6" borderId="174" xfId="0" applyFont="1" applyFill="1" applyBorder="1" applyAlignment="1">
      <alignment vertical="top"/>
    </xf>
    <xf numFmtId="3" fontId="27" fillId="0" borderId="173" xfId="0" applyNumberFormat="1" applyFont="1" applyFill="1" applyBorder="1" applyAlignment="1"/>
    <xf numFmtId="43" fontId="27" fillId="0" borderId="173" xfId="1" applyFont="1" applyFill="1" applyBorder="1" applyAlignment="1"/>
    <xf numFmtId="43" fontId="27" fillId="0" borderId="174" xfId="1" applyFont="1" applyFill="1" applyBorder="1" applyAlignment="1"/>
    <xf numFmtId="0" fontId="7" fillId="0" borderId="136" xfId="0" applyFont="1" applyFill="1" applyBorder="1" applyAlignment="1">
      <alignment vertical="top" wrapText="1"/>
    </xf>
    <xf numFmtId="43" fontId="25" fillId="6" borderId="35" xfId="1" applyFont="1" applyFill="1" applyBorder="1" applyAlignment="1"/>
    <xf numFmtId="3" fontId="27" fillId="2" borderId="136" xfId="4" applyNumberFormat="1" applyFont="1" applyFill="1" applyBorder="1" applyAlignment="1">
      <alignment vertical="top" wrapText="1"/>
    </xf>
    <xf numFmtId="0" fontId="7" fillId="2" borderId="178" xfId="0" applyFont="1" applyFill="1" applyBorder="1" applyAlignment="1">
      <alignment vertical="top"/>
    </xf>
    <xf numFmtId="0" fontId="23" fillId="0" borderId="37" xfId="0" applyFont="1" applyBorder="1" applyAlignment="1">
      <alignment horizontal="center" vertical="center" wrapText="1"/>
    </xf>
    <xf numFmtId="0" fontId="21" fillId="0" borderId="37" xfId="0" applyFont="1" applyBorder="1" applyAlignment="1">
      <alignment horizontal="center" vertical="top"/>
    </xf>
    <xf numFmtId="0" fontId="21" fillId="0" borderId="132" xfId="0" applyFont="1" applyBorder="1" applyAlignment="1">
      <alignment horizontal="center" vertical="top"/>
    </xf>
    <xf numFmtId="0" fontId="21" fillId="0" borderId="132" xfId="0" quotePrefix="1" applyFont="1" applyBorder="1" applyAlignment="1">
      <alignment horizontal="center" vertical="top"/>
    </xf>
    <xf numFmtId="0" fontId="21" fillId="2" borderId="132" xfId="0" applyFont="1" applyFill="1" applyBorder="1" applyAlignment="1">
      <alignment horizontal="center" vertical="top"/>
    </xf>
    <xf numFmtId="0" fontId="21" fillId="2" borderId="132" xfId="0" quotePrefix="1" applyFont="1" applyFill="1" applyBorder="1" applyAlignment="1">
      <alignment horizontal="center" vertical="top"/>
    </xf>
    <xf numFmtId="0" fontId="18" fillId="2" borderId="132" xfId="0" quotePrefix="1" applyFont="1" applyFill="1" applyBorder="1" applyAlignment="1">
      <alignment horizontal="center" vertical="top"/>
    </xf>
    <xf numFmtId="0" fontId="7" fillId="8" borderId="178" xfId="0" applyFont="1" applyFill="1" applyBorder="1" applyAlignment="1">
      <alignment vertical="center" wrapText="1"/>
    </xf>
    <xf numFmtId="3" fontId="29" fillId="8" borderId="173" xfId="0" applyNumberFormat="1" applyFont="1" applyFill="1" applyBorder="1" applyAlignment="1">
      <alignment vertical="center"/>
    </xf>
    <xf numFmtId="3" fontId="29" fillId="23" borderId="173" xfId="0" applyNumberFormat="1" applyFont="1" applyFill="1" applyBorder="1" applyAlignment="1">
      <alignment vertical="center"/>
    </xf>
    <xf numFmtId="3" fontId="7" fillId="28" borderId="173" xfId="0" applyNumberFormat="1" applyFont="1" applyFill="1" applyBorder="1" applyAlignment="1">
      <alignment vertical="center"/>
    </xf>
    <xf numFmtId="3" fontId="7" fillId="23" borderId="173" xfId="0" applyNumberFormat="1" applyFont="1" applyFill="1" applyBorder="1" applyAlignment="1">
      <alignment vertical="center"/>
    </xf>
    <xf numFmtId="0" fontId="29" fillId="8" borderId="136" xfId="4" applyFont="1" applyFill="1" applyBorder="1" applyAlignment="1">
      <alignment vertical="center"/>
    </xf>
    <xf numFmtId="0" fontId="24" fillId="8" borderId="178" xfId="0" applyFont="1" applyFill="1" applyBorder="1" applyAlignment="1">
      <alignment vertical="center"/>
    </xf>
    <xf numFmtId="0" fontId="7" fillId="8" borderId="146" xfId="0" applyFont="1" applyFill="1" applyBorder="1" applyAlignment="1">
      <alignment vertical="top" wrapText="1"/>
    </xf>
    <xf numFmtId="3" fontId="7" fillId="8" borderId="142" xfId="0" applyNumberFormat="1" applyFont="1" applyFill="1" applyBorder="1" applyAlignment="1">
      <alignment vertical="top" wrapText="1"/>
    </xf>
    <xf numFmtId="3" fontId="7" fillId="23" borderId="139" xfId="0" applyNumberFormat="1" applyFont="1" applyFill="1" applyBorder="1" applyAlignment="1">
      <alignment vertical="top"/>
    </xf>
    <xf numFmtId="0" fontId="7" fillId="6" borderId="178" xfId="0" applyFont="1" applyFill="1" applyBorder="1" applyAlignment="1">
      <alignment vertical="center" wrapText="1"/>
    </xf>
    <xf numFmtId="3" fontId="24" fillId="6" borderId="173" xfId="0" applyNumberFormat="1" applyFont="1" applyFill="1" applyBorder="1" applyAlignment="1">
      <alignment vertical="center"/>
    </xf>
    <xf numFmtId="3" fontId="7" fillId="28" borderId="67" xfId="0" applyNumberFormat="1" applyFont="1" applyFill="1" applyBorder="1" applyAlignment="1">
      <alignment horizontal="center" vertical="center" wrapText="1"/>
    </xf>
    <xf numFmtId="0" fontId="18" fillId="0" borderId="0" xfId="0" applyFont="1" applyBorder="1" applyAlignment="1">
      <alignment vertical="center"/>
    </xf>
    <xf numFmtId="0" fontId="17" fillId="8" borderId="25" xfId="0" applyFont="1" applyFill="1" applyBorder="1" applyAlignment="1">
      <alignment vertical="center"/>
    </xf>
    <xf numFmtId="0" fontId="7" fillId="8" borderId="146" xfId="0" applyFont="1" applyFill="1" applyBorder="1" applyAlignment="1">
      <alignment vertical="center" wrapText="1"/>
    </xf>
    <xf numFmtId="0" fontId="7" fillId="8" borderId="37" xfId="0" applyFont="1" applyFill="1" applyBorder="1" applyAlignment="1">
      <alignment vertical="center" wrapText="1"/>
    </xf>
    <xf numFmtId="3" fontId="7" fillId="28" borderId="132" xfId="0" applyNumberFormat="1" applyFont="1" applyFill="1" applyBorder="1" applyAlignment="1">
      <alignment vertical="center"/>
    </xf>
    <xf numFmtId="3" fontId="18" fillId="8" borderId="69" xfId="0" applyNumberFormat="1" applyFont="1" applyFill="1" applyBorder="1" applyAlignment="1">
      <alignment horizontal="center" vertical="center" wrapText="1"/>
    </xf>
    <xf numFmtId="3" fontId="18" fillId="0" borderId="0" xfId="0" applyNumberFormat="1" applyFont="1" applyBorder="1" applyAlignment="1">
      <alignment vertical="center"/>
    </xf>
    <xf numFmtId="3" fontId="7" fillId="8" borderId="4" xfId="0" applyNumberFormat="1" applyFont="1" applyFill="1" applyBorder="1" applyAlignment="1">
      <alignment vertical="top"/>
    </xf>
    <xf numFmtId="3" fontId="7" fillId="8" borderId="70" xfId="0" applyNumberFormat="1" applyFont="1" applyFill="1" applyBorder="1" applyAlignment="1">
      <alignment vertical="top"/>
    </xf>
    <xf numFmtId="0" fontId="7" fillId="8" borderId="2" xfId="0" applyFont="1" applyFill="1" applyBorder="1" applyAlignment="1">
      <alignment vertical="top"/>
    </xf>
    <xf numFmtId="0" fontId="7" fillId="23" borderId="15" xfId="0" applyFont="1" applyFill="1" applyBorder="1" applyAlignment="1">
      <alignment vertical="center"/>
    </xf>
    <xf numFmtId="3" fontId="31" fillId="6" borderId="178" xfId="0" applyNumberFormat="1" applyFont="1" applyFill="1" applyBorder="1" applyAlignment="1">
      <alignment vertical="top"/>
    </xf>
    <xf numFmtId="3" fontId="25" fillId="6" borderId="174" xfId="0" applyNumberFormat="1" applyFont="1" applyFill="1" applyBorder="1" applyAlignment="1">
      <alignment vertical="top"/>
    </xf>
    <xf numFmtId="3" fontId="25" fillId="22" borderId="173" xfId="0" applyNumberFormat="1" applyFont="1" applyFill="1" applyBorder="1" applyAlignment="1">
      <alignment vertical="top"/>
    </xf>
    <xf numFmtId="3" fontId="27" fillId="2" borderId="174" xfId="0" applyNumberFormat="1" applyFont="1" applyFill="1" applyBorder="1" applyAlignment="1">
      <alignment vertical="top"/>
    </xf>
    <xf numFmtId="3" fontId="25" fillId="25" borderId="173" xfId="0" applyNumberFormat="1" applyFont="1" applyFill="1" applyBorder="1" applyAlignment="1">
      <alignment vertical="top"/>
    </xf>
    <xf numFmtId="3" fontId="31" fillId="0" borderId="174" xfId="0" applyNumberFormat="1" applyFont="1" applyFill="1" applyBorder="1" applyAlignment="1">
      <alignment vertical="top"/>
    </xf>
    <xf numFmtId="3" fontId="31" fillId="25" borderId="35" xfId="0" applyNumberFormat="1" applyFont="1" applyFill="1" applyBorder="1" applyAlignment="1">
      <alignment vertical="top"/>
    </xf>
    <xf numFmtId="0" fontId="27" fillId="2" borderId="136" xfId="4" applyFont="1" applyFill="1" applyBorder="1" applyAlignment="1">
      <alignment vertical="top"/>
    </xf>
    <xf numFmtId="3" fontId="27" fillId="0" borderId="174" xfId="0" applyNumberFormat="1" applyFont="1" applyFill="1" applyBorder="1" applyAlignment="1">
      <alignment vertical="top"/>
    </xf>
    <xf numFmtId="0" fontId="31" fillId="0" borderId="146" xfId="0" applyFont="1" applyFill="1" applyBorder="1" applyAlignment="1">
      <alignment horizontal="left" vertical="center" wrapText="1"/>
    </xf>
    <xf numFmtId="3" fontId="31" fillId="0" borderId="175" xfId="0" applyNumberFormat="1" applyFont="1" applyFill="1" applyBorder="1" applyAlignment="1">
      <alignment vertical="top"/>
    </xf>
    <xf numFmtId="3" fontId="31" fillId="0" borderId="139" xfId="0" applyNumberFormat="1" applyFont="1" applyFill="1" applyBorder="1" applyAlignment="1">
      <alignment horizontal="right" vertical="center"/>
    </xf>
    <xf numFmtId="0" fontId="7" fillId="6" borderId="178" xfId="0" applyFont="1" applyFill="1" applyBorder="1" applyAlignment="1">
      <alignment horizontal="left" vertical="center" wrapText="1"/>
    </xf>
    <xf numFmtId="3" fontId="25" fillId="6" borderId="139" xfId="0" applyNumberFormat="1" applyFont="1" applyFill="1" applyBorder="1" applyAlignment="1">
      <alignment vertical="top"/>
    </xf>
    <xf numFmtId="3" fontId="27" fillId="2" borderId="180" xfId="4" applyNumberFormat="1" applyFont="1" applyFill="1" applyBorder="1" applyAlignment="1">
      <alignment vertical="center" wrapText="1"/>
    </xf>
    <xf numFmtId="3" fontId="27" fillId="2" borderId="173" xfId="0" applyNumberFormat="1" applyFont="1" applyFill="1" applyBorder="1" applyAlignment="1">
      <alignment vertical="top"/>
    </xf>
    <xf numFmtId="3" fontId="27" fillId="2" borderId="13" xfId="0" applyNumberFormat="1" applyFont="1" applyFill="1" applyBorder="1" applyAlignment="1">
      <alignment vertical="top"/>
    </xf>
    <xf numFmtId="0" fontId="27" fillId="2" borderId="145" xfId="4" applyFont="1" applyFill="1" applyBorder="1" applyAlignment="1">
      <alignment vertical="top"/>
    </xf>
    <xf numFmtId="0" fontId="31" fillId="0" borderId="77" xfId="0" applyFont="1" applyFill="1" applyBorder="1" applyAlignment="1">
      <alignment horizontal="left" vertical="center" wrapText="1"/>
    </xf>
    <xf numFmtId="0" fontId="31" fillId="6" borderId="178" xfId="0" applyFont="1" applyFill="1" applyBorder="1" applyAlignment="1">
      <alignment vertical="top"/>
    </xf>
    <xf numFmtId="43" fontId="25" fillId="6" borderId="174" xfId="1" applyFont="1" applyFill="1" applyBorder="1" applyAlignment="1">
      <alignment vertical="top"/>
    </xf>
    <xf numFmtId="0" fontId="27" fillId="2" borderId="180" xfId="4" applyFont="1" applyFill="1" applyBorder="1" applyAlignment="1">
      <alignment vertical="top"/>
    </xf>
    <xf numFmtId="0" fontId="31" fillId="0" borderId="181" xfId="0" applyFont="1" applyFill="1" applyBorder="1" applyAlignment="1">
      <alignment horizontal="left" vertical="center" wrapText="1"/>
    </xf>
    <xf numFmtId="0" fontId="25" fillId="6" borderId="180" xfId="4" applyFont="1" applyFill="1" applyBorder="1" applyAlignment="1">
      <alignment horizontal="left" vertical="center"/>
    </xf>
    <xf numFmtId="0" fontId="31" fillId="0" borderId="182" xfId="0" applyFont="1" applyFill="1" applyBorder="1" applyAlignment="1">
      <alignment horizontal="left" vertical="center" wrapText="1"/>
    </xf>
    <xf numFmtId="3" fontId="31" fillId="0" borderId="149" xfId="0" applyNumberFormat="1" applyFont="1" applyFill="1" applyBorder="1" applyAlignment="1">
      <alignment vertical="top"/>
    </xf>
    <xf numFmtId="0" fontId="21" fillId="0" borderId="0" xfId="0" applyFont="1" applyFill="1" applyBorder="1" applyAlignment="1">
      <alignment horizontal="left" vertical="center" wrapText="1"/>
    </xf>
    <xf numFmtId="0" fontId="26" fillId="0" borderId="0" xfId="0" applyFont="1" applyBorder="1" applyAlignment="1">
      <alignment horizontal="center" vertical="center" wrapText="1"/>
    </xf>
    <xf numFmtId="3" fontId="20" fillId="0" borderId="0" xfId="0" applyNumberFormat="1" applyFont="1" applyFill="1" applyBorder="1" applyAlignment="1">
      <alignment horizontal="center" vertical="center"/>
    </xf>
    <xf numFmtId="3" fontId="25" fillId="0" borderId="0" xfId="0" applyNumberFormat="1" applyFont="1" applyFill="1" applyBorder="1" applyAlignment="1">
      <alignment horizontal="center" vertical="center"/>
    </xf>
    <xf numFmtId="0" fontId="24" fillId="2" borderId="24" xfId="0" applyFont="1" applyFill="1" applyBorder="1" applyAlignment="1">
      <alignment horizontal="left" vertical="top" wrapText="1"/>
    </xf>
    <xf numFmtId="0" fontId="18" fillId="2" borderId="24" xfId="0" applyFont="1" applyFill="1" applyBorder="1" applyAlignment="1">
      <alignment vertical="top"/>
    </xf>
    <xf numFmtId="0" fontId="18" fillId="30" borderId="0" xfId="0" applyFont="1" applyFill="1" applyBorder="1" applyAlignment="1">
      <alignment vertical="top"/>
    </xf>
    <xf numFmtId="0" fontId="27" fillId="55" borderId="179" xfId="4" applyFont="1" applyFill="1" applyBorder="1" applyAlignment="1">
      <alignment horizontal="left" vertical="center"/>
    </xf>
    <xf numFmtId="3" fontId="27" fillId="55" borderId="174" xfId="4" applyNumberFormat="1" applyFont="1" applyFill="1" applyBorder="1" applyAlignment="1">
      <alignment horizontal="right" vertical="center"/>
    </xf>
    <xf numFmtId="3" fontId="25" fillId="6" borderId="17" xfId="0" applyNumberFormat="1" applyFont="1" applyFill="1" applyBorder="1" applyAlignment="1">
      <alignment vertical="top"/>
    </xf>
    <xf numFmtId="3" fontId="25" fillId="22" borderId="70" xfId="0" applyNumberFormat="1" applyFont="1" applyFill="1" applyBorder="1" applyAlignment="1">
      <alignment vertical="top"/>
    </xf>
    <xf numFmtId="0" fontId="27" fillId="8" borderId="36" xfId="4" applyFont="1" applyFill="1" applyBorder="1" applyAlignment="1">
      <alignment vertical="top"/>
    </xf>
    <xf numFmtId="3" fontId="27" fillId="8" borderId="174" xfId="0" applyNumberFormat="1" applyFont="1" applyFill="1" applyBorder="1" applyAlignment="1">
      <alignment vertical="top"/>
    </xf>
    <xf numFmtId="3" fontId="27" fillId="23" borderId="173" xfId="0" applyNumberFormat="1" applyFont="1" applyFill="1" applyBorder="1" applyAlignment="1">
      <alignment vertical="top"/>
    </xf>
    <xf numFmtId="0" fontId="31" fillId="8" borderId="136" xfId="0" applyFont="1" applyFill="1" applyBorder="1" applyAlignment="1">
      <alignment vertical="top"/>
    </xf>
    <xf numFmtId="3" fontId="31" fillId="8" borderId="174" xfId="0" applyNumberFormat="1" applyFont="1" applyFill="1" applyBorder="1" applyAlignment="1">
      <alignment vertical="top"/>
    </xf>
    <xf numFmtId="3" fontId="25" fillId="23" borderId="174" xfId="0" applyNumberFormat="1" applyFont="1" applyFill="1" applyBorder="1" applyAlignment="1">
      <alignment horizontal="center" vertical="top"/>
    </xf>
    <xf numFmtId="0" fontId="31" fillId="8" borderId="136" xfId="0" applyFont="1" applyFill="1" applyBorder="1" applyAlignment="1">
      <alignment vertical="center"/>
    </xf>
    <xf numFmtId="3" fontId="31" fillId="8" borderId="174" xfId="0" applyNumberFormat="1" applyFont="1" applyFill="1" applyBorder="1" applyAlignment="1">
      <alignment vertical="center"/>
    </xf>
    <xf numFmtId="3" fontId="25" fillId="23" borderId="174" xfId="0" applyNumberFormat="1" applyFont="1" applyFill="1" applyBorder="1" applyAlignment="1">
      <alignment vertical="center"/>
    </xf>
    <xf numFmtId="0" fontId="18" fillId="30" borderId="0" xfId="0" applyFont="1" applyFill="1" applyBorder="1" applyAlignment="1">
      <alignment vertical="center"/>
    </xf>
    <xf numFmtId="3" fontId="27" fillId="8" borderId="174" xfId="0" applyNumberFormat="1" applyFont="1" applyFill="1" applyBorder="1" applyAlignment="1">
      <alignment horizontal="right" vertical="center"/>
    </xf>
    <xf numFmtId="3" fontId="27" fillId="8" borderId="173" xfId="0" applyNumberFormat="1" applyFont="1" applyFill="1" applyBorder="1" applyAlignment="1">
      <alignment horizontal="right" vertical="center"/>
    </xf>
    <xf numFmtId="3" fontId="25" fillId="23" borderId="174" xfId="0" applyNumberFormat="1" applyFont="1" applyFill="1" applyBorder="1" applyAlignment="1">
      <alignment horizontal="center" vertical="center"/>
    </xf>
    <xf numFmtId="3" fontId="20" fillId="8" borderId="67" xfId="0" applyNumberFormat="1" applyFont="1" applyFill="1" applyBorder="1" applyAlignment="1">
      <alignment horizontal="center" vertical="center" wrapText="1"/>
    </xf>
    <xf numFmtId="3" fontId="31" fillId="8" borderId="173" xfId="0" applyNumberFormat="1" applyFont="1" applyFill="1" applyBorder="1" applyAlignment="1">
      <alignment vertical="top"/>
    </xf>
    <xf numFmtId="3" fontId="25" fillId="23" borderId="173" xfId="0" applyNumberFormat="1" applyFont="1" applyFill="1" applyBorder="1" applyAlignment="1">
      <alignment horizontal="center" vertical="center"/>
    </xf>
    <xf numFmtId="3" fontId="25" fillId="6" borderId="173" xfId="4" applyNumberFormat="1" applyFont="1" applyFill="1" applyBorder="1" applyAlignment="1">
      <alignment horizontal="right" vertical="center"/>
    </xf>
    <xf numFmtId="0" fontId="25" fillId="6" borderId="173" xfId="4" applyFont="1" applyFill="1" applyBorder="1" applyAlignment="1">
      <alignment horizontal="right" vertical="center"/>
    </xf>
    <xf numFmtId="0" fontId="27" fillId="8" borderId="6" xfId="4" applyFont="1" applyFill="1" applyBorder="1" applyAlignment="1">
      <alignment horizontal="center" vertical="center"/>
    </xf>
    <xf numFmtId="3" fontId="25" fillId="8" borderId="174" xfId="0" applyNumberFormat="1" applyFont="1" applyFill="1" applyBorder="1" applyAlignment="1">
      <alignment vertical="center"/>
    </xf>
    <xf numFmtId="0" fontId="35" fillId="8" borderId="11" xfId="0" applyFont="1" applyFill="1" applyBorder="1" applyAlignment="1">
      <alignment vertical="top"/>
    </xf>
    <xf numFmtId="3" fontId="27" fillId="8" borderId="174" xfId="0" applyNumberFormat="1" applyFont="1" applyFill="1" applyBorder="1" applyAlignment="1">
      <alignment vertical="center"/>
    </xf>
    <xf numFmtId="3" fontId="35" fillId="8" borderId="67" xfId="0" applyNumberFormat="1" applyFont="1" applyFill="1" applyBorder="1" applyAlignment="1">
      <alignment horizontal="center" vertical="center" wrapText="1"/>
    </xf>
    <xf numFmtId="0" fontId="35" fillId="0" borderId="0" xfId="0" applyFont="1" applyFill="1" applyBorder="1" applyAlignment="1">
      <alignment vertical="top"/>
    </xf>
    <xf numFmtId="0" fontId="35" fillId="30" borderId="0" xfId="0" applyFont="1" applyFill="1" applyBorder="1" applyAlignment="1">
      <alignment vertical="top"/>
    </xf>
    <xf numFmtId="0" fontId="27" fillId="0" borderId="36" xfId="4" applyFont="1" applyFill="1" applyBorder="1" applyAlignment="1">
      <alignment vertical="center"/>
    </xf>
    <xf numFmtId="3" fontId="31" fillId="0" borderId="174" xfId="0" applyNumberFormat="1" applyFont="1" applyFill="1" applyBorder="1" applyAlignment="1">
      <alignment vertical="center"/>
    </xf>
    <xf numFmtId="3" fontId="25" fillId="0" borderId="174" xfId="0" applyNumberFormat="1" applyFont="1" applyFill="1" applyBorder="1" applyAlignment="1">
      <alignment vertical="center"/>
    </xf>
    <xf numFmtId="0" fontId="31" fillId="32" borderId="136" xfId="0" applyFont="1" applyFill="1" applyBorder="1" applyAlignment="1">
      <alignment vertical="center"/>
    </xf>
    <xf numFmtId="3" fontId="31" fillId="32" borderId="174" xfId="0" applyNumberFormat="1" applyFont="1" applyFill="1" applyBorder="1" applyAlignment="1">
      <alignment vertical="center"/>
    </xf>
    <xf numFmtId="0" fontId="32" fillId="0" borderId="0" xfId="0" applyFont="1" applyBorder="1"/>
    <xf numFmtId="0" fontId="25" fillId="6" borderId="174" xfId="4" applyFont="1" applyFill="1" applyBorder="1" applyAlignment="1">
      <alignment horizontal="left" vertical="center"/>
    </xf>
    <xf numFmtId="3" fontId="24" fillId="6" borderId="173" xfId="0" applyNumberFormat="1" applyFont="1" applyFill="1" applyBorder="1" applyAlignment="1">
      <alignment vertical="top"/>
    </xf>
    <xf numFmtId="0" fontId="24" fillId="8" borderId="4" xfId="0" applyFont="1" applyFill="1" applyBorder="1" applyAlignment="1">
      <alignment horizontal="center" vertical="center" wrapText="1"/>
    </xf>
    <xf numFmtId="0" fontId="7" fillId="23" borderId="70" xfId="0" applyFont="1" applyFill="1" applyBorder="1" applyAlignment="1">
      <alignment vertical="center"/>
    </xf>
    <xf numFmtId="3" fontId="31" fillId="2" borderId="136" xfId="4" applyNumberFormat="1" applyFont="1" applyFill="1" applyBorder="1" applyAlignment="1">
      <alignment vertical="center" wrapText="1"/>
    </xf>
    <xf numFmtId="0" fontId="0" fillId="0" borderId="173" xfId="0" applyFont="1" applyBorder="1"/>
    <xf numFmtId="3" fontId="7" fillId="23" borderId="173" xfId="0" applyNumberFormat="1" applyFont="1" applyFill="1" applyBorder="1" applyAlignment="1">
      <alignment horizontal="center" vertical="top"/>
    </xf>
    <xf numFmtId="3" fontId="25" fillId="2" borderId="173" xfId="0" applyNumberFormat="1" applyFont="1" applyFill="1" applyBorder="1" applyAlignment="1"/>
    <xf numFmtId="3" fontId="31" fillId="2" borderId="173" xfId="0" applyNumberFormat="1" applyFont="1" applyFill="1" applyBorder="1" applyAlignment="1"/>
    <xf numFmtId="3" fontId="28" fillId="2" borderId="173" xfId="0" applyNumberFormat="1" applyFont="1" applyFill="1" applyBorder="1" applyAlignment="1"/>
    <xf numFmtId="3" fontId="31" fillId="2" borderId="77" xfId="4" applyNumberFormat="1" applyFont="1" applyFill="1" applyBorder="1" applyAlignment="1">
      <alignment vertical="center" wrapText="1"/>
    </xf>
    <xf numFmtId="0" fontId="24" fillId="8" borderId="70" xfId="0" applyFont="1" applyFill="1" applyBorder="1" applyAlignment="1">
      <alignment horizontal="center" vertical="center" wrapText="1"/>
    </xf>
    <xf numFmtId="0" fontId="24" fillId="6" borderId="85" xfId="4" applyFont="1" applyFill="1" applyBorder="1" applyAlignment="1">
      <alignment horizontal="left" vertical="center"/>
    </xf>
    <xf numFmtId="3" fontId="25" fillId="22" borderId="173" xfId="0" applyNumberFormat="1" applyFont="1" applyFill="1" applyBorder="1" applyAlignment="1">
      <alignment vertical="center"/>
    </xf>
    <xf numFmtId="0" fontId="29" fillId="0" borderId="85" xfId="0" applyFont="1" applyFill="1" applyBorder="1" applyAlignment="1">
      <alignment vertical="center"/>
    </xf>
    <xf numFmtId="3" fontId="25" fillId="25" borderId="173" xfId="0" applyNumberFormat="1" applyFont="1" applyFill="1" applyBorder="1" applyAlignment="1">
      <alignment vertical="center"/>
    </xf>
    <xf numFmtId="0" fontId="30" fillId="0" borderId="0" xfId="0" applyFont="1" applyBorder="1" applyAlignment="1">
      <alignment vertical="top"/>
    </xf>
    <xf numFmtId="0" fontId="7" fillId="0" borderId="182" xfId="0" applyFont="1" applyFill="1" applyBorder="1" applyAlignment="1">
      <alignment vertical="center" wrapText="1"/>
    </xf>
    <xf numFmtId="3" fontId="31" fillId="25" borderId="12" xfId="0" applyNumberFormat="1" applyFont="1" applyFill="1" applyBorder="1" applyAlignment="1">
      <alignment vertical="center"/>
    </xf>
    <xf numFmtId="3" fontId="28" fillId="2" borderId="140" xfId="0" applyNumberFormat="1" applyFont="1" applyFill="1" applyBorder="1" applyAlignment="1">
      <alignment vertical="top"/>
    </xf>
    <xf numFmtId="3" fontId="28" fillId="57" borderId="140" xfId="0" applyNumberFormat="1" applyFont="1" applyFill="1" applyBorder="1" applyAlignment="1">
      <alignment vertical="top"/>
    </xf>
    <xf numFmtId="3" fontId="28" fillId="59" borderId="140" xfId="0" applyNumberFormat="1" applyFont="1" applyFill="1" applyBorder="1" applyAlignment="1">
      <alignment vertical="top"/>
    </xf>
    <xf numFmtId="43" fontId="28" fillId="2" borderId="140" xfId="1" applyFont="1" applyFill="1" applyBorder="1" applyAlignment="1">
      <alignment vertical="top"/>
    </xf>
    <xf numFmtId="3" fontId="28" fillId="2" borderId="9" xfId="0" applyNumberFormat="1" applyFont="1" applyFill="1" applyBorder="1" applyAlignment="1">
      <alignment vertical="top"/>
    </xf>
    <xf numFmtId="3" fontId="31" fillId="25" borderId="138" xfId="0" applyNumberFormat="1" applyFont="1" applyFill="1" applyBorder="1" applyAlignment="1">
      <alignment vertical="top"/>
    </xf>
    <xf numFmtId="3" fontId="31" fillId="8" borderId="7" xfId="0" applyNumberFormat="1" applyFont="1" applyFill="1" applyBorder="1" applyAlignment="1">
      <alignment vertical="top"/>
    </xf>
    <xf numFmtId="0" fontId="31" fillId="8" borderId="8" xfId="0" applyFont="1" applyFill="1" applyBorder="1" applyAlignment="1">
      <alignment vertical="top"/>
    </xf>
    <xf numFmtId="0" fontId="31" fillId="57" borderId="8" xfId="0" applyFont="1" applyFill="1" applyBorder="1" applyAlignment="1">
      <alignment vertical="top"/>
    </xf>
    <xf numFmtId="3" fontId="31" fillId="57" borderId="8" xfId="0" applyNumberFormat="1" applyFont="1" applyFill="1" applyBorder="1" applyAlignment="1">
      <alignment vertical="top"/>
    </xf>
    <xf numFmtId="3" fontId="31" fillId="59" borderId="8" xfId="0" applyNumberFormat="1" applyFont="1" applyFill="1" applyBorder="1" applyAlignment="1">
      <alignment vertical="top"/>
    </xf>
    <xf numFmtId="0" fontId="31" fillId="59" borderId="8" xfId="0" applyFont="1" applyFill="1" applyBorder="1" applyAlignment="1">
      <alignment vertical="top"/>
    </xf>
    <xf numFmtId="3" fontId="31" fillId="8" borderId="8" xfId="0" applyNumberFormat="1" applyFont="1" applyFill="1" applyBorder="1" applyAlignment="1">
      <alignment vertical="top"/>
    </xf>
    <xf numFmtId="0" fontId="31" fillId="8" borderId="9" xfId="0" applyFont="1" applyFill="1" applyBorder="1" applyAlignment="1">
      <alignment vertical="top"/>
    </xf>
    <xf numFmtId="0" fontId="7" fillId="0" borderId="77" xfId="0" applyFont="1" applyFill="1" applyBorder="1" applyAlignment="1">
      <alignment vertical="center" wrapText="1"/>
    </xf>
    <xf numFmtId="0" fontId="31" fillId="0" borderId="77" xfId="0" applyFont="1" applyFill="1" applyBorder="1" applyAlignment="1">
      <alignment vertical="top"/>
    </xf>
    <xf numFmtId="43" fontId="27" fillId="2" borderId="35" xfId="1" applyFont="1" applyFill="1" applyBorder="1" applyAlignment="1">
      <alignment vertical="center"/>
    </xf>
    <xf numFmtId="43" fontId="27" fillId="2" borderId="9" xfId="1" applyFont="1" applyFill="1" applyBorder="1" applyAlignment="1">
      <alignment vertical="center"/>
    </xf>
    <xf numFmtId="3" fontId="32" fillId="0" borderId="132" xfId="0" applyNumberFormat="1" applyFont="1" applyBorder="1"/>
    <xf numFmtId="3" fontId="32" fillId="57" borderId="132" xfId="0" applyNumberFormat="1" applyFont="1" applyFill="1" applyBorder="1"/>
    <xf numFmtId="3" fontId="32" fillId="59" borderId="132" xfId="0" applyNumberFormat="1" applyFont="1" applyFill="1" applyBorder="1"/>
    <xf numFmtId="43" fontId="32" fillId="0" borderId="132" xfId="1" applyFont="1" applyBorder="1"/>
    <xf numFmtId="43" fontId="32" fillId="0" borderId="12" xfId="1" applyFont="1" applyBorder="1"/>
    <xf numFmtId="0" fontId="20" fillId="2" borderId="6" xfId="0" applyFont="1" applyFill="1" applyBorder="1" applyAlignment="1">
      <alignment vertical="top"/>
    </xf>
    <xf numFmtId="0" fontId="27" fillId="55" borderId="147" xfId="4" applyFont="1" applyFill="1" applyBorder="1" applyAlignment="1">
      <alignment horizontal="left" vertical="center"/>
    </xf>
    <xf numFmtId="3" fontId="27" fillId="55" borderId="140" xfId="4" applyNumberFormat="1" applyFont="1" applyFill="1" applyBorder="1" applyAlignment="1">
      <alignment horizontal="right" vertical="center"/>
    </xf>
    <xf numFmtId="0" fontId="27" fillId="55" borderId="10" xfId="4" applyFont="1" applyFill="1" applyBorder="1" applyAlignment="1">
      <alignment horizontal="left" vertical="center"/>
    </xf>
    <xf numFmtId="0" fontId="27" fillId="55" borderId="13" xfId="4" applyFont="1" applyFill="1" applyBorder="1" applyAlignment="1">
      <alignment horizontal="left" vertical="center"/>
    </xf>
    <xf numFmtId="0" fontId="27" fillId="55" borderId="74" xfId="0" applyFont="1" applyFill="1" applyBorder="1" applyAlignment="1">
      <alignment horizontal="left" vertical="top"/>
    </xf>
    <xf numFmtId="0" fontId="28" fillId="55" borderId="12" xfId="0" quotePrefix="1" applyFont="1" applyFill="1" applyBorder="1" applyAlignment="1">
      <alignment horizontal="center" vertical="top"/>
    </xf>
    <xf numFmtId="0" fontId="25" fillId="6" borderId="35" xfId="4" applyFont="1" applyFill="1" applyBorder="1" applyAlignment="1">
      <alignment horizontal="left" vertical="center"/>
    </xf>
    <xf numFmtId="0" fontId="20" fillId="2" borderId="22" xfId="0" applyFont="1" applyFill="1" applyBorder="1" applyAlignment="1">
      <alignment vertical="top"/>
    </xf>
    <xf numFmtId="0" fontId="25" fillId="8" borderId="35" xfId="0" applyFont="1" applyFill="1" applyBorder="1" applyAlignment="1">
      <alignment horizontal="left" vertical="center" wrapText="1"/>
    </xf>
    <xf numFmtId="0" fontId="25" fillId="8" borderId="35" xfId="0" applyFont="1" applyFill="1" applyBorder="1" applyAlignment="1">
      <alignment horizontal="center" vertical="center" wrapText="1"/>
    </xf>
    <xf numFmtId="0" fontId="31" fillId="8" borderId="35" xfId="0" applyFont="1" applyFill="1" applyBorder="1" applyAlignment="1">
      <alignment vertical="top"/>
    </xf>
    <xf numFmtId="3" fontId="31" fillId="8" borderId="10" xfId="0" applyNumberFormat="1" applyFont="1" applyFill="1" applyBorder="1" applyAlignment="1">
      <alignment vertical="top"/>
    </xf>
    <xf numFmtId="3" fontId="27" fillId="25" borderId="138" xfId="0" applyNumberFormat="1" applyFont="1" applyFill="1" applyBorder="1" applyAlignment="1">
      <alignment horizontal="center" vertical="top"/>
    </xf>
    <xf numFmtId="0" fontId="31" fillId="0" borderId="138" xfId="4" applyFont="1" applyFill="1" applyBorder="1" applyAlignment="1">
      <alignment vertical="center"/>
    </xf>
    <xf numFmtId="3" fontId="25" fillId="6" borderId="35" xfId="0" applyNumberFormat="1" applyFont="1" applyFill="1" applyBorder="1" applyAlignment="1">
      <alignment vertical="top"/>
    </xf>
    <xf numFmtId="3" fontId="25" fillId="6" borderId="13" xfId="0" applyNumberFormat="1" applyFont="1" applyFill="1" applyBorder="1" applyAlignment="1">
      <alignment vertical="top"/>
    </xf>
    <xf numFmtId="0" fontId="0" fillId="0" borderId="132" xfId="0" applyFont="1" applyBorder="1"/>
    <xf numFmtId="3" fontId="31" fillId="2" borderId="35" xfId="0" applyNumberFormat="1" applyFont="1" applyFill="1" applyBorder="1" applyAlignment="1">
      <alignment vertical="top"/>
    </xf>
    <xf numFmtId="3" fontId="27" fillId="0" borderId="138" xfId="0" applyNumberFormat="1" applyFont="1" applyFill="1" applyBorder="1" applyAlignment="1">
      <alignment vertical="center"/>
    </xf>
    <xf numFmtId="3" fontId="31" fillId="0" borderId="35" xfId="0" applyNumberFormat="1" applyFont="1" applyFill="1" applyBorder="1" applyAlignment="1">
      <alignment vertical="center"/>
    </xf>
    <xf numFmtId="3" fontId="27" fillId="2" borderId="138" xfId="0" applyNumberFormat="1" applyFont="1" applyFill="1" applyBorder="1" applyAlignment="1">
      <alignment vertical="center"/>
    </xf>
    <xf numFmtId="0" fontId="25" fillId="2" borderId="43" xfId="0" applyFont="1" applyFill="1" applyBorder="1" applyAlignment="1">
      <alignment horizontal="center" vertical="top"/>
    </xf>
    <xf numFmtId="0" fontId="19" fillId="2" borderId="10" xfId="0" applyFont="1" applyFill="1" applyBorder="1" applyAlignment="1">
      <alignment vertical="center" wrapText="1"/>
    </xf>
    <xf numFmtId="0" fontId="19" fillId="2" borderId="0" xfId="0" applyFont="1" applyFill="1" applyBorder="1" applyAlignment="1">
      <alignment vertical="center" wrapText="1"/>
    </xf>
    <xf numFmtId="0" fontId="19" fillId="2" borderId="27" xfId="0" applyFont="1" applyFill="1" applyBorder="1" applyAlignment="1">
      <alignment vertical="center" wrapText="1"/>
    </xf>
    <xf numFmtId="9" fontId="25" fillId="2" borderId="46" xfId="2" applyFont="1" applyFill="1" applyBorder="1" applyAlignment="1">
      <alignment horizontal="center" vertical="top"/>
    </xf>
    <xf numFmtId="0" fontId="23" fillId="0" borderId="35" xfId="0" applyFont="1" applyBorder="1" applyAlignment="1">
      <alignment horizontal="center" vertical="center" wrapText="1"/>
    </xf>
    <xf numFmtId="0" fontId="24" fillId="0" borderId="35" xfId="0" applyFont="1" applyBorder="1" applyAlignment="1">
      <alignment horizontal="center" vertical="center"/>
    </xf>
    <xf numFmtId="0" fontId="25" fillId="0" borderId="35" xfId="4" applyFont="1" applyBorder="1" applyAlignment="1">
      <alignment horizontal="center" vertical="center" wrapText="1"/>
    </xf>
    <xf numFmtId="0" fontId="25" fillId="32" borderId="35" xfId="4" applyFont="1" applyFill="1" applyBorder="1" applyAlignment="1">
      <alignment horizontal="center" vertical="center" wrapText="1"/>
    </xf>
    <xf numFmtId="0" fontId="31" fillId="0" borderId="10" xfId="0" applyFont="1" applyBorder="1" applyAlignment="1">
      <alignment horizontal="center" vertical="top"/>
    </xf>
    <xf numFmtId="0" fontId="21" fillId="0" borderId="11" xfId="0" applyFont="1" applyBorder="1" applyAlignment="1">
      <alignment horizontal="center" vertical="top"/>
    </xf>
    <xf numFmtId="0" fontId="21" fillId="0" borderId="27" xfId="0" applyFont="1" applyBorder="1" applyAlignment="1">
      <alignment horizontal="center" vertical="top"/>
    </xf>
    <xf numFmtId="0" fontId="21" fillId="0" borderId="13" xfId="0" applyFont="1" applyBorder="1" applyAlignment="1">
      <alignment horizontal="center" vertical="top"/>
    </xf>
    <xf numFmtId="0" fontId="21" fillId="2" borderId="13" xfId="0" quotePrefix="1" applyFont="1" applyFill="1" applyBorder="1" applyAlignment="1">
      <alignment horizontal="center" vertical="top"/>
    </xf>
    <xf numFmtId="0" fontId="21" fillId="26" borderId="10" xfId="0" quotePrefix="1" applyFont="1" applyFill="1" applyBorder="1" applyAlignment="1">
      <alignment horizontal="center" vertical="top"/>
    </xf>
    <xf numFmtId="0" fontId="29" fillId="8" borderId="43" xfId="0" applyFont="1" applyFill="1" applyBorder="1" applyAlignment="1">
      <alignment vertical="top"/>
    </xf>
    <xf numFmtId="0" fontId="27" fillId="55" borderId="21" xfId="4" applyFont="1" applyFill="1" applyBorder="1" applyAlignment="1">
      <alignment horizontal="left" vertical="center"/>
    </xf>
    <xf numFmtId="3" fontId="18" fillId="8" borderId="13" xfId="4" applyNumberFormat="1" applyFont="1" applyFill="1" applyBorder="1" applyAlignment="1">
      <alignment vertical="top" wrapText="1"/>
    </xf>
    <xf numFmtId="0" fontId="7" fillId="8" borderId="43" xfId="4" applyFont="1" applyFill="1" applyBorder="1" applyAlignment="1">
      <alignment vertical="top"/>
    </xf>
    <xf numFmtId="3" fontId="18" fillId="8" borderId="12" xfId="4" applyNumberFormat="1" applyFont="1" applyFill="1" applyBorder="1" applyAlignment="1">
      <alignment vertical="top" wrapText="1"/>
    </xf>
    <xf numFmtId="0" fontId="25" fillId="8" borderId="10" xfId="0" applyFont="1" applyFill="1" applyBorder="1" applyAlignment="1">
      <alignment vertical="center"/>
    </xf>
    <xf numFmtId="3" fontId="25" fillId="22" borderId="35" xfId="4" applyNumberFormat="1" applyFont="1" applyFill="1" applyBorder="1" applyAlignment="1">
      <alignment horizontal="right" vertical="center"/>
    </xf>
    <xf numFmtId="3" fontId="18" fillId="0" borderId="13" xfId="4" applyNumberFormat="1" applyFont="1" applyFill="1" applyBorder="1" applyAlignment="1">
      <alignment horizontal="center" vertical="center" wrapText="1"/>
    </xf>
    <xf numFmtId="3" fontId="6" fillId="0" borderId="0" xfId="0" applyNumberFormat="1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6" fillId="30" borderId="0" xfId="0" applyFont="1" applyFill="1" applyBorder="1" applyAlignment="1">
      <alignment vertical="center"/>
    </xf>
    <xf numFmtId="0" fontId="24" fillId="8" borderId="10" xfId="4" applyFont="1" applyFill="1" applyBorder="1" applyAlignment="1">
      <alignment horizontal="right" vertical="top"/>
    </xf>
    <xf numFmtId="0" fontId="29" fillId="8" borderId="136" xfId="4" applyFont="1" applyFill="1" applyBorder="1" applyAlignment="1">
      <alignment vertical="top"/>
    </xf>
    <xf numFmtId="0" fontId="27" fillId="8" borderId="174" xfId="4" applyFont="1" applyFill="1" applyBorder="1" applyAlignment="1">
      <alignment horizontal="left" vertical="center"/>
    </xf>
    <xf numFmtId="3" fontId="27" fillId="8" borderId="173" xfId="4" applyNumberFormat="1" applyFont="1" applyFill="1" applyBorder="1" applyAlignment="1">
      <alignment vertical="top"/>
    </xf>
    <xf numFmtId="3" fontId="27" fillId="23" borderId="173" xfId="4" applyNumberFormat="1" applyFont="1" applyFill="1" applyBorder="1" applyAlignment="1">
      <alignment vertical="top"/>
    </xf>
    <xf numFmtId="0" fontId="7" fillId="8" borderId="10" xfId="4" applyFont="1" applyFill="1" applyBorder="1" applyAlignment="1">
      <alignment vertical="top"/>
    </xf>
    <xf numFmtId="0" fontId="7" fillId="8" borderId="136" xfId="4" applyFont="1" applyFill="1" applyBorder="1" applyAlignment="1">
      <alignment vertical="top"/>
    </xf>
    <xf numFmtId="0" fontId="7" fillId="8" borderId="174" xfId="4" applyFont="1" applyFill="1" applyBorder="1" applyAlignment="1">
      <alignment vertical="top"/>
    </xf>
    <xf numFmtId="3" fontId="7" fillId="8" borderId="173" xfId="4" applyNumberFormat="1" applyFont="1" applyFill="1" applyBorder="1" applyAlignment="1">
      <alignment vertical="top"/>
    </xf>
    <xf numFmtId="3" fontId="7" fillId="23" borderId="173" xfId="4" applyNumberFormat="1" applyFont="1" applyFill="1" applyBorder="1" applyAlignment="1">
      <alignment vertical="top"/>
    </xf>
    <xf numFmtId="3" fontId="0" fillId="0" borderId="0" xfId="0" applyNumberFormat="1" applyFont="1" applyFill="1" applyBorder="1"/>
    <xf numFmtId="0" fontId="7" fillId="8" borderId="136" xfId="4" applyFont="1" applyFill="1" applyBorder="1" applyAlignment="1">
      <alignment vertical="top" wrapText="1"/>
    </xf>
    <xf numFmtId="0" fontId="7" fillId="8" borderId="178" xfId="4" applyFont="1" applyFill="1" applyBorder="1" applyAlignment="1">
      <alignment vertical="top"/>
    </xf>
    <xf numFmtId="0" fontId="27" fillId="8" borderId="21" xfId="4" applyFont="1" applyFill="1" applyBorder="1" applyAlignment="1">
      <alignment horizontal="left" vertical="center"/>
    </xf>
    <xf numFmtId="0" fontId="27" fillId="8" borderId="20" xfId="4" applyFont="1" applyFill="1" applyBorder="1" applyAlignment="1">
      <alignment horizontal="left" vertical="center"/>
    </xf>
    <xf numFmtId="3" fontId="27" fillId="8" borderId="35" xfId="4" applyNumberFormat="1" applyFont="1" applyFill="1" applyBorder="1" applyAlignment="1">
      <alignment vertical="top"/>
    </xf>
    <xf numFmtId="3" fontId="27" fillId="23" borderId="35" xfId="4" applyNumberFormat="1" applyFont="1" applyFill="1" applyBorder="1" applyAlignment="1">
      <alignment vertical="top"/>
    </xf>
    <xf numFmtId="0" fontId="29" fillId="8" borderId="174" xfId="4" applyFont="1" applyFill="1" applyBorder="1" applyAlignment="1">
      <alignment horizontal="left" vertical="center"/>
    </xf>
    <xf numFmtId="3" fontId="25" fillId="6" borderId="35" xfId="4" applyNumberFormat="1" applyFont="1" applyFill="1" applyBorder="1" applyAlignment="1">
      <alignment vertical="center"/>
    </xf>
    <xf numFmtId="0" fontId="7" fillId="8" borderId="11" xfId="4" applyFont="1" applyFill="1" applyBorder="1" applyAlignment="1">
      <alignment vertical="top"/>
    </xf>
    <xf numFmtId="0" fontId="7" fillId="8" borderId="27" xfId="4" applyFont="1" applyFill="1" applyBorder="1" applyAlignment="1">
      <alignment vertical="top"/>
    </xf>
    <xf numFmtId="3" fontId="7" fillId="8" borderId="13" xfId="4" applyNumberFormat="1" applyFont="1" applyFill="1" applyBorder="1" applyAlignment="1">
      <alignment vertical="top"/>
    </xf>
    <xf numFmtId="0" fontId="27" fillId="8" borderId="9" xfId="4" applyFont="1" applyFill="1" applyBorder="1" applyAlignment="1">
      <alignment horizontal="left" vertical="center"/>
    </xf>
    <xf numFmtId="0" fontId="7" fillId="8" borderId="174" xfId="4" applyFont="1" applyFill="1" applyBorder="1" applyAlignment="1">
      <alignment horizontal="left" vertical="center"/>
    </xf>
    <xf numFmtId="0" fontId="7" fillId="8" borderId="74" xfId="4" applyFont="1" applyFill="1" applyBorder="1" applyAlignment="1">
      <alignment vertical="top"/>
    </xf>
    <xf numFmtId="0" fontId="7" fillId="8" borderId="77" xfId="4" applyFont="1" applyFill="1" applyBorder="1" applyAlignment="1">
      <alignment vertical="top" wrapText="1"/>
    </xf>
    <xf numFmtId="0" fontId="31" fillId="8" borderId="149" xfId="4" applyFont="1" applyFill="1" applyBorder="1" applyAlignment="1">
      <alignment horizontal="left" vertical="center"/>
    </xf>
    <xf numFmtId="3" fontId="7" fillId="8" borderId="132" xfId="4" applyNumberFormat="1" applyFont="1" applyFill="1" applyBorder="1" applyAlignment="1">
      <alignment vertical="top"/>
    </xf>
    <xf numFmtId="0" fontId="24" fillId="8" borderId="11" xfId="4" applyFont="1" applyFill="1" applyBorder="1" applyAlignment="1">
      <alignment horizontal="left" vertical="center" wrapText="1"/>
    </xf>
    <xf numFmtId="3" fontId="24" fillId="8" borderId="27" xfId="4" applyNumberFormat="1" applyFont="1" applyFill="1" applyBorder="1" applyAlignment="1">
      <alignment horizontal="center" vertical="center" wrapText="1"/>
    </xf>
    <xf numFmtId="3" fontId="7" fillId="8" borderId="27" xfId="4" applyNumberFormat="1" applyFont="1" applyFill="1" applyBorder="1" applyAlignment="1">
      <alignment horizontal="right" vertical="center"/>
    </xf>
    <xf numFmtId="3" fontId="7" fillId="8" borderId="13" xfId="4" applyNumberFormat="1" applyFont="1" applyFill="1" applyBorder="1" applyAlignment="1">
      <alignment horizontal="right" vertical="center"/>
    </xf>
    <xf numFmtId="3" fontId="7" fillId="23" borderId="10" xfId="4" applyNumberFormat="1" applyFont="1" applyFill="1" applyBorder="1" applyAlignment="1">
      <alignment horizontal="right" vertical="center"/>
    </xf>
    <xf numFmtId="3" fontId="24" fillId="6" borderId="178" xfId="4" applyNumberFormat="1" applyFont="1" applyFill="1" applyBorder="1" applyAlignment="1">
      <alignment vertical="center"/>
    </xf>
    <xf numFmtId="3" fontId="24" fillId="6" borderId="174" xfId="4" applyNumberFormat="1" applyFont="1" applyFill="1" applyBorder="1" applyAlignment="1">
      <alignment vertical="center"/>
    </xf>
    <xf numFmtId="3" fontId="24" fillId="6" borderId="173" xfId="4" applyNumberFormat="1" applyFont="1" applyFill="1" applyBorder="1" applyAlignment="1">
      <alignment vertical="center"/>
    </xf>
    <xf numFmtId="3" fontId="24" fillId="6" borderId="145" xfId="4" applyNumberFormat="1" applyFont="1" applyFill="1" applyBorder="1" applyAlignment="1">
      <alignment vertical="center"/>
    </xf>
    <xf numFmtId="3" fontId="24" fillId="22" borderId="173" xfId="4" applyNumberFormat="1" applyFont="1" applyFill="1" applyBorder="1" applyAlignment="1">
      <alignment vertical="center"/>
    </xf>
    <xf numFmtId="0" fontId="29" fillId="0" borderId="136" xfId="4" applyFont="1" applyFill="1" applyBorder="1" applyAlignment="1">
      <alignment vertical="top"/>
    </xf>
    <xf numFmtId="3" fontId="29" fillId="0" borderId="174" xfId="4" applyNumberFormat="1" applyFont="1" applyFill="1" applyBorder="1" applyAlignment="1">
      <alignment horizontal="right" vertical="center"/>
    </xf>
    <xf numFmtId="3" fontId="29" fillId="0" borderId="145" xfId="4" applyNumberFormat="1" applyFont="1" applyFill="1" applyBorder="1" applyAlignment="1">
      <alignment horizontal="right" vertical="center"/>
    </xf>
    <xf numFmtId="3" fontId="29" fillId="0" borderId="173" xfId="4" applyNumberFormat="1" applyFont="1" applyFill="1" applyBorder="1" applyAlignment="1">
      <alignment horizontal="right" vertical="center"/>
    </xf>
    <xf numFmtId="3" fontId="29" fillId="25" borderId="173" xfId="4" applyNumberFormat="1" applyFont="1" applyFill="1" applyBorder="1" applyAlignment="1">
      <alignment horizontal="right" vertical="center"/>
    </xf>
    <xf numFmtId="0" fontId="7" fillId="0" borderId="136" xfId="4" applyFont="1" applyFill="1" applyBorder="1" applyAlignment="1">
      <alignment vertical="top"/>
    </xf>
    <xf numFmtId="3" fontId="7" fillId="0" borderId="173" xfId="0" applyNumberFormat="1" applyFont="1" applyFill="1" applyBorder="1" applyAlignment="1">
      <alignment vertical="top"/>
    </xf>
    <xf numFmtId="3" fontId="7" fillId="0" borderId="173" xfId="4" applyNumberFormat="1" applyFont="1" applyFill="1" applyBorder="1" applyAlignment="1">
      <alignment vertical="top"/>
    </xf>
    <xf numFmtId="3" fontId="7" fillId="0" borderId="177" xfId="4" applyNumberFormat="1" applyFont="1" applyFill="1" applyBorder="1" applyAlignment="1">
      <alignment vertical="top"/>
    </xf>
    <xf numFmtId="3" fontId="7" fillId="25" borderId="173" xfId="4" applyNumberFormat="1" applyFont="1" applyFill="1" applyBorder="1" applyAlignment="1">
      <alignment vertical="top"/>
    </xf>
    <xf numFmtId="3" fontId="18" fillId="0" borderId="0" xfId="0" applyNumberFormat="1" applyFont="1" applyBorder="1" applyAlignment="1">
      <alignment vertical="top"/>
    </xf>
    <xf numFmtId="0" fontId="7" fillId="0" borderId="136" xfId="4" applyFont="1" applyFill="1" applyBorder="1" applyAlignment="1">
      <alignment vertical="top" wrapText="1"/>
    </xf>
    <xf numFmtId="3" fontId="7" fillId="0" borderId="174" xfId="4" applyNumberFormat="1" applyFont="1" applyFill="1" applyBorder="1" applyAlignment="1">
      <alignment vertical="top"/>
    </xf>
    <xf numFmtId="0" fontId="29" fillId="0" borderId="136" xfId="4" applyFont="1" applyFill="1" applyBorder="1" applyAlignment="1">
      <alignment horizontal="left" vertical="center"/>
    </xf>
    <xf numFmtId="3" fontId="31" fillId="0" borderId="145" xfId="4" applyNumberFormat="1" applyFont="1" applyFill="1" applyBorder="1" applyAlignment="1">
      <alignment horizontal="right" vertical="center"/>
    </xf>
    <xf numFmtId="3" fontId="7" fillId="0" borderId="174" xfId="4" applyNumberFormat="1" applyFont="1" applyFill="1" applyBorder="1" applyAlignment="1">
      <alignment horizontal="right" vertical="center"/>
    </xf>
    <xf numFmtId="3" fontId="7" fillId="0" borderId="173" xfId="4" applyNumberFormat="1" applyFont="1" applyFill="1" applyBorder="1" applyAlignment="1">
      <alignment horizontal="right" vertical="center"/>
    </xf>
    <xf numFmtId="3" fontId="7" fillId="0" borderId="177" xfId="4" applyNumberFormat="1" applyFont="1" applyFill="1" applyBorder="1" applyAlignment="1">
      <alignment horizontal="right" vertical="center"/>
    </xf>
    <xf numFmtId="3" fontId="29" fillId="0" borderId="177" xfId="4" applyNumberFormat="1" applyFont="1" applyFill="1" applyBorder="1" applyAlignment="1">
      <alignment horizontal="right" vertical="center"/>
    </xf>
    <xf numFmtId="3" fontId="31" fillId="0" borderId="173" xfId="4" applyNumberFormat="1" applyFont="1" applyFill="1" applyBorder="1" applyAlignment="1">
      <alignment horizontal="right" vertical="center"/>
    </xf>
    <xf numFmtId="0" fontId="7" fillId="0" borderId="77" xfId="4" applyFont="1" applyFill="1" applyBorder="1" applyAlignment="1">
      <alignment vertical="top" wrapText="1"/>
    </xf>
    <xf numFmtId="3" fontId="7" fillId="0" borderId="132" xfId="0" applyNumberFormat="1" applyFont="1" applyFill="1" applyBorder="1" applyAlignment="1">
      <alignment vertical="top"/>
    </xf>
    <xf numFmtId="3" fontId="29" fillId="0" borderId="149" xfId="4" applyNumberFormat="1" applyFont="1" applyFill="1" applyBorder="1" applyAlignment="1">
      <alignment horizontal="right" vertical="center"/>
    </xf>
    <xf numFmtId="3" fontId="29" fillId="0" borderId="132" xfId="4" applyNumberFormat="1" applyFont="1" applyFill="1" applyBorder="1" applyAlignment="1">
      <alignment horizontal="right" vertical="center"/>
    </xf>
    <xf numFmtId="3" fontId="7" fillId="0" borderId="132" xfId="4" applyNumberFormat="1" applyFont="1" applyFill="1" applyBorder="1" applyAlignment="1">
      <alignment vertical="top"/>
    </xf>
    <xf numFmtId="0" fontId="24" fillId="8" borderId="21" xfId="4" applyFont="1" applyFill="1" applyBorder="1" applyAlignment="1">
      <alignment horizontal="left" vertical="center" wrapText="1"/>
    </xf>
    <xf numFmtId="3" fontId="24" fillId="8" borderId="9" xfId="4" applyNumberFormat="1" applyFont="1" applyFill="1" applyBorder="1" applyAlignment="1">
      <alignment horizontal="center" vertical="center" wrapText="1"/>
    </xf>
    <xf numFmtId="3" fontId="7" fillId="23" borderId="35" xfId="4" applyNumberFormat="1" applyFont="1" applyFill="1" applyBorder="1" applyAlignment="1">
      <alignment horizontal="right" vertical="center"/>
    </xf>
    <xf numFmtId="43" fontId="24" fillId="6" borderId="173" xfId="1" applyFont="1" applyFill="1" applyBorder="1" applyAlignment="1">
      <alignment vertical="center"/>
    </xf>
    <xf numFmtId="43" fontId="24" fillId="6" borderId="145" xfId="1" applyFont="1" applyFill="1" applyBorder="1" applyAlignment="1">
      <alignment vertical="center"/>
    </xf>
    <xf numFmtId="43" fontId="24" fillId="22" borderId="173" xfId="1" applyFont="1" applyFill="1" applyBorder="1" applyAlignment="1">
      <alignment vertical="center"/>
    </xf>
    <xf numFmtId="43" fontId="29" fillId="0" borderId="174" xfId="1" applyFont="1" applyFill="1" applyBorder="1" applyAlignment="1">
      <alignment horizontal="right" vertical="center"/>
    </xf>
    <xf numFmtId="43" fontId="29" fillId="25" borderId="173" xfId="1" applyFont="1" applyFill="1" applyBorder="1" applyAlignment="1">
      <alignment horizontal="right" vertical="center"/>
    </xf>
    <xf numFmtId="43" fontId="7" fillId="0" borderId="173" xfId="1" applyFont="1" applyFill="1" applyBorder="1" applyAlignment="1">
      <alignment vertical="top"/>
    </xf>
    <xf numFmtId="43" fontId="7" fillId="25" borderId="173" xfId="1" applyFont="1" applyFill="1" applyBorder="1" applyAlignment="1">
      <alignment vertical="top"/>
    </xf>
    <xf numFmtId="43" fontId="7" fillId="0" borderId="174" xfId="1" applyFont="1" applyFill="1" applyBorder="1" applyAlignment="1">
      <alignment vertical="top"/>
    </xf>
    <xf numFmtId="43" fontId="29" fillId="0" borderId="173" xfId="1" applyFont="1" applyFill="1" applyBorder="1" applyAlignment="1">
      <alignment horizontal="right" vertical="center"/>
    </xf>
    <xf numFmtId="43" fontId="7" fillId="0" borderId="173" xfId="1" applyFont="1" applyFill="1" applyBorder="1" applyAlignment="1">
      <alignment horizontal="right" vertical="center"/>
    </xf>
    <xf numFmtId="43" fontId="7" fillId="0" borderId="177" xfId="1" applyFont="1" applyFill="1" applyBorder="1" applyAlignment="1">
      <alignment horizontal="right" vertical="center"/>
    </xf>
    <xf numFmtId="43" fontId="7" fillId="0" borderId="145" xfId="1" applyFont="1" applyFill="1" applyBorder="1" applyAlignment="1">
      <alignment horizontal="right" vertical="center"/>
    </xf>
    <xf numFmtId="43" fontId="29" fillId="0" borderId="177" xfId="1" applyFont="1" applyFill="1" applyBorder="1" applyAlignment="1">
      <alignment horizontal="right" vertical="center"/>
    </xf>
    <xf numFmtId="43" fontId="7" fillId="0" borderId="177" xfId="1" applyFont="1" applyFill="1" applyBorder="1" applyAlignment="1">
      <alignment vertical="top"/>
    </xf>
    <xf numFmtId="0" fontId="24" fillId="2" borderId="174" xfId="4" applyFont="1" applyFill="1" applyBorder="1" applyAlignment="1">
      <alignment horizontal="center" vertical="center" wrapText="1"/>
    </xf>
    <xf numFmtId="0" fontId="24" fillId="8" borderId="136" xfId="4" applyFont="1" applyFill="1" applyBorder="1" applyAlignment="1">
      <alignment horizontal="left" vertical="center" wrapText="1"/>
    </xf>
    <xf numFmtId="3" fontId="25" fillId="8" borderId="174" xfId="4" applyNumberFormat="1" applyFont="1" applyFill="1" applyBorder="1" applyAlignment="1">
      <alignment horizontal="center" vertical="center"/>
    </xf>
    <xf numFmtId="3" fontId="7" fillId="8" borderId="174" xfId="4" applyNumberFormat="1" applyFont="1" applyFill="1" applyBorder="1" applyAlignment="1">
      <alignment horizontal="right" vertical="center"/>
    </xf>
    <xf numFmtId="3" fontId="7" fillId="8" borderId="173" xfId="4" applyNumberFormat="1" applyFont="1" applyFill="1" applyBorder="1" applyAlignment="1">
      <alignment horizontal="right" vertical="center"/>
    </xf>
    <xf numFmtId="3" fontId="7" fillId="8" borderId="177" xfId="4" applyNumberFormat="1" applyFont="1" applyFill="1" applyBorder="1" applyAlignment="1">
      <alignment horizontal="right" vertical="center"/>
    </xf>
    <xf numFmtId="3" fontId="7" fillId="23" borderId="173" xfId="4" applyNumberFormat="1" applyFont="1" applyFill="1" applyBorder="1" applyAlignment="1">
      <alignment horizontal="right" vertical="center"/>
    </xf>
    <xf numFmtId="0" fontId="31" fillId="0" borderId="0" xfId="0" applyFont="1" applyBorder="1" applyAlignment="1">
      <alignment vertical="top"/>
    </xf>
    <xf numFmtId="3" fontId="25" fillId="6" borderId="174" xfId="4" applyNumberFormat="1" applyFont="1" applyFill="1" applyBorder="1" applyAlignment="1">
      <alignment vertical="center"/>
    </xf>
    <xf numFmtId="43" fontId="25" fillId="6" borderId="173" xfId="1" applyFont="1" applyFill="1" applyBorder="1" applyAlignment="1">
      <alignment vertical="center"/>
    </xf>
    <xf numFmtId="3" fontId="25" fillId="6" borderId="173" xfId="4" applyNumberFormat="1" applyFont="1" applyFill="1" applyBorder="1" applyAlignment="1">
      <alignment vertical="center"/>
    </xf>
    <xf numFmtId="3" fontId="25" fillId="6" borderId="145" xfId="4" applyNumberFormat="1" applyFont="1" applyFill="1" applyBorder="1" applyAlignment="1">
      <alignment vertical="center"/>
    </xf>
    <xf numFmtId="3" fontId="25" fillId="22" borderId="173" xfId="4" applyNumberFormat="1" applyFont="1" applyFill="1" applyBorder="1" applyAlignment="1">
      <alignment vertical="center"/>
    </xf>
    <xf numFmtId="0" fontId="31" fillId="0" borderId="0" xfId="0" applyFont="1" applyBorder="1" applyAlignment="1">
      <alignment vertical="center"/>
    </xf>
    <xf numFmtId="0" fontId="29" fillId="0" borderId="136" xfId="4" applyFont="1" applyFill="1" applyBorder="1" applyAlignment="1">
      <alignment vertical="center"/>
    </xf>
    <xf numFmtId="3" fontId="27" fillId="25" borderId="173" xfId="4" applyNumberFormat="1" applyFont="1" applyFill="1" applyBorder="1" applyAlignment="1">
      <alignment horizontal="right" vertical="center"/>
    </xf>
    <xf numFmtId="0" fontId="7" fillId="0" borderId="136" xfId="4" applyFont="1" applyFill="1" applyBorder="1" applyAlignment="1">
      <alignment vertical="center"/>
    </xf>
    <xf numFmtId="43" fontId="7" fillId="0" borderId="174" xfId="1" applyFont="1" applyFill="1" applyBorder="1" applyAlignment="1">
      <alignment vertical="center"/>
    </xf>
    <xf numFmtId="43" fontId="7" fillId="0" borderId="173" xfId="1" applyFont="1" applyFill="1" applyBorder="1" applyAlignment="1">
      <alignment vertical="center"/>
    </xf>
    <xf numFmtId="3" fontId="7" fillId="0" borderId="173" xfId="4" applyNumberFormat="1" applyFont="1" applyFill="1" applyBorder="1" applyAlignment="1">
      <alignment vertical="center"/>
    </xf>
    <xf numFmtId="3" fontId="7" fillId="0" borderId="177" xfId="4" applyNumberFormat="1" applyFont="1" applyFill="1" applyBorder="1" applyAlignment="1">
      <alignment vertical="center"/>
    </xf>
    <xf numFmtId="3" fontId="7" fillId="25" borderId="173" xfId="4" applyNumberFormat="1" applyFont="1" applyFill="1" applyBorder="1" applyAlignment="1">
      <alignment vertical="center"/>
    </xf>
    <xf numFmtId="0" fontId="27" fillId="0" borderId="136" xfId="4" applyFont="1" applyFill="1" applyBorder="1" applyAlignment="1">
      <alignment horizontal="left" vertical="center"/>
    </xf>
    <xf numFmtId="43" fontId="7" fillId="0" borderId="149" xfId="1" applyFont="1" applyFill="1" applyBorder="1" applyAlignment="1">
      <alignment vertical="center"/>
    </xf>
    <xf numFmtId="43" fontId="7" fillId="0" borderId="132" xfId="1" applyFont="1" applyFill="1" applyBorder="1" applyAlignment="1">
      <alignment vertical="center"/>
    </xf>
    <xf numFmtId="3" fontId="7" fillId="0" borderId="132" xfId="4" applyNumberFormat="1" applyFont="1" applyFill="1" applyBorder="1" applyAlignment="1">
      <alignment vertical="center"/>
    </xf>
    <xf numFmtId="3" fontId="7" fillId="0" borderId="150" xfId="4" applyNumberFormat="1" applyFont="1" applyFill="1" applyBorder="1" applyAlignment="1">
      <alignment vertical="center"/>
    </xf>
    <xf numFmtId="3" fontId="27" fillId="0" borderId="173" xfId="4" applyNumberFormat="1" applyFont="1" applyFill="1" applyBorder="1" applyAlignment="1">
      <alignment horizontal="right" vertical="center"/>
    </xf>
    <xf numFmtId="0" fontId="7" fillId="0" borderId="136" xfId="4" applyFont="1" applyFill="1" applyBorder="1" applyAlignment="1"/>
    <xf numFmtId="43" fontId="7" fillId="0" borderId="174" xfId="1" applyFont="1" applyFill="1" applyBorder="1" applyAlignment="1"/>
    <xf numFmtId="43" fontId="7" fillId="0" borderId="173" xfId="1" applyFont="1" applyFill="1" applyBorder="1" applyAlignment="1"/>
    <xf numFmtId="3" fontId="7" fillId="0" borderId="173" xfId="4" applyNumberFormat="1" applyFont="1" applyFill="1" applyBorder="1" applyAlignment="1"/>
    <xf numFmtId="3" fontId="7" fillId="0" borderId="177" xfId="4" applyNumberFormat="1" applyFont="1" applyFill="1" applyBorder="1" applyAlignment="1"/>
    <xf numFmtId="3" fontId="31" fillId="0" borderId="173" xfId="4" applyNumberFormat="1" applyFont="1" applyFill="1" applyBorder="1" applyAlignment="1"/>
    <xf numFmtId="0" fontId="31" fillId="0" borderId="0" xfId="0" applyFont="1" applyBorder="1" applyAlignment="1"/>
    <xf numFmtId="3" fontId="27" fillId="0" borderId="174" xfId="4" applyNumberFormat="1" applyFont="1" applyFill="1" applyBorder="1" applyAlignment="1">
      <alignment horizontal="right" vertical="center"/>
    </xf>
    <xf numFmtId="3" fontId="31" fillId="0" borderId="177" xfId="4" applyNumberFormat="1" applyFont="1" applyFill="1" applyBorder="1" applyAlignment="1">
      <alignment horizontal="right" vertical="center"/>
    </xf>
    <xf numFmtId="0" fontId="7" fillId="0" borderId="0" xfId="0" applyFont="1" applyBorder="1" applyAlignment="1">
      <alignment vertical="top"/>
    </xf>
    <xf numFmtId="3" fontId="25" fillId="8" borderId="9" xfId="4" applyNumberFormat="1" applyFont="1" applyFill="1" applyBorder="1" applyAlignment="1">
      <alignment horizontal="center" vertical="center"/>
    </xf>
    <xf numFmtId="3" fontId="31" fillId="8" borderId="9" xfId="4" applyNumberFormat="1" applyFont="1" applyFill="1" applyBorder="1" applyAlignment="1">
      <alignment horizontal="right" vertical="center"/>
    </xf>
    <xf numFmtId="3" fontId="31" fillId="8" borderId="35" xfId="4" applyNumberFormat="1" applyFont="1" applyFill="1" applyBorder="1" applyAlignment="1">
      <alignment horizontal="right" vertical="center"/>
    </xf>
    <xf numFmtId="3" fontId="31" fillId="0" borderId="174" xfId="4" applyNumberFormat="1" applyFont="1" applyFill="1" applyBorder="1" applyAlignment="1">
      <alignment vertical="top"/>
    </xf>
    <xf numFmtId="3" fontId="31" fillId="0" borderId="173" xfId="4" applyNumberFormat="1" applyFont="1" applyFill="1" applyBorder="1" applyAlignment="1">
      <alignment vertical="top"/>
    </xf>
    <xf numFmtId="43" fontId="31" fillId="0" borderId="145" xfId="1" applyFont="1" applyFill="1" applyBorder="1" applyAlignment="1">
      <alignment vertical="top"/>
    </xf>
    <xf numFmtId="0" fontId="7" fillId="0" borderId="0" xfId="4" applyFont="1" applyFill="1" applyBorder="1" applyAlignment="1">
      <alignment horizontal="center" vertical="center" wrapText="1"/>
    </xf>
    <xf numFmtId="3" fontId="25" fillId="6" borderId="178" xfId="4" applyNumberFormat="1" applyFont="1" applyFill="1" applyBorder="1" applyAlignment="1">
      <alignment vertical="center"/>
    </xf>
    <xf numFmtId="3" fontId="24" fillId="6" borderId="177" xfId="4" applyNumberFormat="1" applyFont="1" applyFill="1" applyBorder="1" applyAlignment="1">
      <alignment vertical="center"/>
    </xf>
    <xf numFmtId="3" fontId="7" fillId="2" borderId="174" xfId="4" applyNumberFormat="1" applyFont="1" applyFill="1" applyBorder="1" applyAlignment="1">
      <alignment vertical="top"/>
    </xf>
    <xf numFmtId="3" fontId="7" fillId="0" borderId="173" xfId="4" applyNumberFormat="1" applyFont="1" applyFill="1" applyBorder="1" applyAlignment="1">
      <alignment vertical="top" wrapText="1"/>
    </xf>
    <xf numFmtId="3" fontId="7" fillId="0" borderId="149" xfId="4" applyNumberFormat="1" applyFont="1" applyFill="1" applyBorder="1" applyAlignment="1">
      <alignment vertical="top"/>
    </xf>
    <xf numFmtId="0" fontId="7" fillId="0" borderId="132" xfId="4" applyFont="1" applyFill="1" applyBorder="1" applyAlignment="1">
      <alignment vertical="top" wrapText="1"/>
    </xf>
    <xf numFmtId="3" fontId="7" fillId="8" borderId="7" xfId="4" applyNumberFormat="1" applyFont="1" applyFill="1" applyBorder="1" applyAlignment="1">
      <alignment horizontal="right" vertical="center"/>
    </xf>
    <xf numFmtId="43" fontId="25" fillId="22" borderId="173" xfId="1" applyFont="1" applyFill="1" applyBorder="1" applyAlignment="1">
      <alignment vertical="center"/>
    </xf>
    <xf numFmtId="43" fontId="27" fillId="0" borderId="173" xfId="1" applyFont="1" applyFill="1" applyBorder="1" applyAlignment="1">
      <alignment horizontal="right" vertical="center"/>
    </xf>
    <xf numFmtId="43" fontId="27" fillId="25" borderId="173" xfId="1" applyFont="1" applyFill="1" applyBorder="1" applyAlignment="1">
      <alignment horizontal="right" vertical="center"/>
    </xf>
    <xf numFmtId="43" fontId="29" fillId="0" borderId="145" xfId="1" applyFont="1" applyFill="1" applyBorder="1" applyAlignment="1">
      <alignment horizontal="right" vertical="center"/>
    </xf>
    <xf numFmtId="0" fontId="24" fillId="8" borderId="11" xfId="0" applyFont="1" applyFill="1" applyBorder="1" applyAlignment="1">
      <alignment vertical="center" wrapText="1"/>
    </xf>
    <xf numFmtId="3" fontId="25" fillId="8" borderId="27" xfId="4" applyNumberFormat="1" applyFont="1" applyFill="1" applyBorder="1" applyAlignment="1">
      <alignment horizontal="center" vertical="center"/>
    </xf>
    <xf numFmtId="0" fontId="7" fillId="8" borderId="10" xfId="0" applyFont="1" applyFill="1" applyBorder="1" applyAlignment="1">
      <alignment vertical="top"/>
    </xf>
    <xf numFmtId="3" fontId="7" fillId="8" borderId="10" xfId="0" applyNumberFormat="1" applyFont="1" applyFill="1" applyBorder="1" applyAlignment="1">
      <alignment vertical="top"/>
    </xf>
    <xf numFmtId="3" fontId="7" fillId="23" borderId="13" xfId="0" applyNumberFormat="1" applyFont="1" applyFill="1" applyBorder="1" applyAlignment="1">
      <alignment vertical="top"/>
    </xf>
    <xf numFmtId="0" fontId="24" fillId="6" borderId="67" xfId="4" applyFont="1" applyFill="1" applyBorder="1" applyAlignment="1">
      <alignment horizontal="left" vertical="center"/>
    </xf>
    <xf numFmtId="0" fontId="25" fillId="6" borderId="6" xfId="4" applyFont="1" applyFill="1" applyBorder="1" applyAlignment="1">
      <alignment horizontal="left" vertical="center"/>
    </xf>
    <xf numFmtId="3" fontId="24" fillId="6" borderId="13" xfId="4" applyNumberFormat="1" applyFont="1" applyFill="1" applyBorder="1" applyAlignment="1"/>
    <xf numFmtId="3" fontId="25" fillId="22" borderId="13" xfId="4" applyNumberFormat="1" applyFont="1" applyFill="1" applyBorder="1" applyAlignment="1">
      <alignment horizontal="right" vertical="center"/>
    </xf>
    <xf numFmtId="0" fontId="29" fillId="2" borderId="67" xfId="4" applyFont="1" applyFill="1" applyBorder="1" applyAlignment="1">
      <alignment vertical="top"/>
    </xf>
    <xf numFmtId="3" fontId="33" fillId="0" borderId="27" xfId="6" applyNumberFormat="1" applyFont="1" applyFill="1" applyBorder="1" applyAlignment="1">
      <alignment vertical="center"/>
    </xf>
    <xf numFmtId="3" fontId="27" fillId="25" borderId="13" xfId="4" applyNumberFormat="1" applyFont="1" applyFill="1" applyBorder="1" applyAlignment="1">
      <alignment horizontal="right" vertical="center"/>
    </xf>
    <xf numFmtId="0" fontId="7" fillId="0" borderId="11" xfId="4" applyFont="1" applyFill="1" applyBorder="1" applyAlignment="1">
      <alignment horizontal="left" vertical="center"/>
    </xf>
    <xf numFmtId="3" fontId="7" fillId="0" borderId="13" xfId="0" applyNumberFormat="1" applyFont="1" applyFill="1" applyBorder="1" applyAlignment="1">
      <alignment vertical="top"/>
    </xf>
    <xf numFmtId="3" fontId="32" fillId="0" borderId="27" xfId="6" applyNumberFormat="1" applyFont="1" applyFill="1" applyBorder="1" applyAlignment="1">
      <alignment vertical="center"/>
    </xf>
    <xf numFmtId="3" fontId="7" fillId="0" borderId="13" xfId="4" applyNumberFormat="1" applyFont="1" applyFill="1" applyBorder="1" applyAlignment="1">
      <alignment vertical="top"/>
    </xf>
    <xf numFmtId="3" fontId="7" fillId="0" borderId="27" xfId="4" applyNumberFormat="1" applyFont="1" applyFill="1" applyBorder="1" applyAlignment="1">
      <alignment horizontal="right" vertical="center"/>
    </xf>
    <xf numFmtId="3" fontId="7" fillId="25" borderId="13" xfId="4" applyNumberFormat="1" applyFont="1" applyFill="1" applyBorder="1" applyAlignment="1">
      <alignment vertical="top"/>
    </xf>
    <xf numFmtId="0" fontId="24" fillId="6" borderId="11" xfId="4" applyFont="1" applyFill="1" applyBorder="1" applyAlignment="1">
      <alignment horizontal="left" vertical="center"/>
    </xf>
    <xf numFmtId="3" fontId="32" fillId="0" borderId="13" xfId="6" applyNumberFormat="1" applyFont="1" applyFill="1" applyBorder="1" applyAlignment="1">
      <alignment vertical="center"/>
    </xf>
    <xf numFmtId="3" fontId="7" fillId="2" borderId="13" xfId="4" applyNumberFormat="1" applyFont="1" applyFill="1" applyBorder="1" applyAlignment="1">
      <alignment horizontal="right" vertical="center"/>
    </xf>
    <xf numFmtId="3" fontId="29" fillId="25" borderId="174" xfId="4" applyNumberFormat="1" applyFont="1" applyFill="1" applyBorder="1" applyAlignment="1">
      <alignment horizontal="right" vertical="center"/>
    </xf>
    <xf numFmtId="0" fontId="24" fillId="0" borderId="43" xfId="4" applyFont="1" applyFill="1" applyBorder="1" applyAlignment="1">
      <alignment vertical="center"/>
    </xf>
    <xf numFmtId="0" fontId="7" fillId="0" borderId="11" xfId="4" applyFont="1" applyFill="1" applyBorder="1" applyAlignment="1">
      <alignment vertical="top"/>
    </xf>
    <xf numFmtId="0" fontId="0" fillId="0" borderId="6" xfId="0" applyFont="1" applyBorder="1" applyAlignment="1">
      <alignment wrapText="1" shrinkToFit="1"/>
    </xf>
    <xf numFmtId="43" fontId="21" fillId="0" borderId="13" xfId="1" applyFont="1" applyFill="1" applyBorder="1" applyAlignment="1">
      <alignment vertical="top"/>
    </xf>
    <xf numFmtId="43" fontId="21" fillId="0" borderId="13" xfId="1" applyFont="1" applyFill="1" applyBorder="1" applyAlignment="1">
      <alignment vertical="top" wrapText="1"/>
    </xf>
    <xf numFmtId="3" fontId="18" fillId="0" borderId="13" xfId="4" applyNumberFormat="1" applyFont="1" applyFill="1" applyBorder="1" applyAlignment="1">
      <alignment horizontal="right" vertical="center"/>
    </xf>
    <xf numFmtId="3" fontId="18" fillId="2" borderId="13" xfId="4" applyNumberFormat="1" applyFont="1" applyFill="1" applyBorder="1" applyAlignment="1">
      <alignment horizontal="right" vertical="center"/>
    </xf>
    <xf numFmtId="3" fontId="18" fillId="25" borderId="10" xfId="4" applyNumberFormat="1" applyFont="1" applyFill="1" applyBorder="1" applyAlignment="1">
      <alignment vertical="top"/>
    </xf>
    <xf numFmtId="0" fontId="18" fillId="0" borderId="13" xfId="4" applyFont="1" applyFill="1" applyBorder="1" applyAlignment="1">
      <alignment vertical="center" wrapText="1"/>
    </xf>
    <xf numFmtId="3" fontId="24" fillId="8" borderId="27" xfId="4" applyNumberFormat="1" applyFont="1" applyFill="1" applyBorder="1" applyAlignment="1">
      <alignment horizontal="center" vertical="center"/>
    </xf>
    <xf numFmtId="3" fontId="31" fillId="8" borderId="13" xfId="4" applyNumberFormat="1" applyFont="1" applyFill="1" applyBorder="1" applyAlignment="1">
      <alignment horizontal="right" vertical="center"/>
    </xf>
    <xf numFmtId="3" fontId="31" fillId="23" borderId="10" xfId="4" applyNumberFormat="1" applyFont="1" applyFill="1" applyBorder="1" applyAlignment="1">
      <alignment horizontal="right" vertical="center"/>
    </xf>
    <xf numFmtId="3" fontId="20" fillId="6" borderId="6" xfId="4" applyNumberFormat="1" applyFont="1" applyFill="1" applyBorder="1" applyAlignment="1">
      <alignment vertical="center"/>
    </xf>
    <xf numFmtId="3" fontId="25" fillId="6" borderId="27" xfId="4" applyNumberFormat="1" applyFont="1" applyFill="1" applyBorder="1" applyAlignment="1">
      <alignment vertical="center"/>
    </xf>
    <xf numFmtId="3" fontId="25" fillId="6" borderId="13" xfId="4" applyNumberFormat="1" applyFont="1" applyFill="1" applyBorder="1" applyAlignment="1">
      <alignment vertical="center"/>
    </xf>
    <xf numFmtId="3" fontId="25" fillId="22" borderId="13" xfId="4" applyNumberFormat="1" applyFont="1" applyFill="1" applyBorder="1" applyAlignment="1">
      <alignment vertical="center"/>
    </xf>
    <xf numFmtId="0" fontId="29" fillId="0" borderId="11" xfId="4" applyFont="1" applyFill="1" applyBorder="1" applyAlignment="1">
      <alignment vertical="top"/>
    </xf>
    <xf numFmtId="3" fontId="27" fillId="0" borderId="13" xfId="4" applyNumberFormat="1" applyFont="1" applyFill="1" applyBorder="1" applyAlignment="1">
      <alignment horizontal="right" vertical="center"/>
    </xf>
    <xf numFmtId="3" fontId="31" fillId="0" borderId="13" xfId="4" applyNumberFormat="1" applyFont="1" applyFill="1" applyBorder="1" applyAlignment="1">
      <alignment vertical="top"/>
    </xf>
    <xf numFmtId="0" fontId="7" fillId="32" borderId="11" xfId="4" applyFont="1" applyFill="1" applyBorder="1" applyAlignment="1">
      <alignment vertical="top"/>
    </xf>
    <xf numFmtId="0" fontId="29" fillId="0" borderId="11" xfId="4" applyFont="1" applyFill="1" applyBorder="1" applyAlignment="1">
      <alignment horizontal="left" vertical="center"/>
    </xf>
    <xf numFmtId="3" fontId="27" fillId="25" borderId="27" xfId="4" applyNumberFormat="1" applyFont="1" applyFill="1" applyBorder="1" applyAlignment="1">
      <alignment horizontal="right" vertical="center"/>
    </xf>
    <xf numFmtId="3" fontId="31" fillId="0" borderId="13" xfId="0" applyNumberFormat="1" applyFont="1" applyFill="1" applyBorder="1" applyAlignment="1">
      <alignment vertical="center"/>
    </xf>
    <xf numFmtId="3" fontId="31" fillId="0" borderId="13" xfId="4" applyNumberFormat="1" applyFont="1" applyFill="1" applyBorder="1" applyAlignment="1">
      <alignment vertical="center"/>
    </xf>
    <xf numFmtId="0" fontId="21" fillId="0" borderId="0" xfId="0" applyFont="1" applyBorder="1" applyAlignment="1">
      <alignment vertical="center"/>
    </xf>
    <xf numFmtId="0" fontId="17" fillId="8" borderId="11" xfId="4" applyFont="1" applyFill="1" applyBorder="1" applyAlignment="1">
      <alignment horizontal="left" vertical="center" wrapText="1"/>
    </xf>
    <xf numFmtId="3" fontId="20" fillId="8" borderId="27" xfId="4" applyNumberFormat="1" applyFont="1" applyFill="1" applyBorder="1" applyAlignment="1">
      <alignment horizontal="center" vertical="center"/>
    </xf>
    <xf numFmtId="3" fontId="18" fillId="8" borderId="27" xfId="4" applyNumberFormat="1" applyFont="1" applyFill="1" applyBorder="1" applyAlignment="1">
      <alignment horizontal="right" vertical="center"/>
    </xf>
    <xf numFmtId="3" fontId="18" fillId="8" borderId="13" xfId="4" applyNumberFormat="1" applyFont="1" applyFill="1" applyBorder="1" applyAlignment="1">
      <alignment horizontal="right" vertical="center"/>
    </xf>
    <xf numFmtId="3" fontId="18" fillId="23" borderId="10" xfId="4" applyNumberFormat="1" applyFont="1" applyFill="1" applyBorder="1" applyAlignment="1">
      <alignment horizontal="right" vertical="center"/>
    </xf>
    <xf numFmtId="0" fontId="17" fillId="6" borderId="11" xfId="4" applyFont="1" applyFill="1" applyBorder="1" applyAlignment="1">
      <alignment horizontal="left" vertical="center"/>
    </xf>
    <xf numFmtId="3" fontId="17" fillId="6" borderId="27" xfId="4" applyNumberFormat="1" applyFont="1" applyFill="1" applyBorder="1" applyAlignment="1">
      <alignment vertical="center"/>
    </xf>
    <xf numFmtId="43" fontId="17" fillId="6" borderId="13" xfId="1" applyFont="1" applyFill="1" applyBorder="1" applyAlignment="1">
      <alignment vertical="center"/>
    </xf>
    <xf numFmtId="3" fontId="17" fillId="6" borderId="13" xfId="4" applyNumberFormat="1" applyFont="1" applyFill="1" applyBorder="1" applyAlignment="1">
      <alignment vertical="center"/>
    </xf>
    <xf numFmtId="3" fontId="17" fillId="6" borderId="0" xfId="4" applyNumberFormat="1" applyFont="1" applyFill="1" applyBorder="1" applyAlignment="1">
      <alignment vertical="center"/>
    </xf>
    <xf numFmtId="4" fontId="17" fillId="6" borderId="0" xfId="4" applyNumberFormat="1" applyFont="1" applyFill="1" applyBorder="1" applyAlignment="1">
      <alignment vertical="center"/>
    </xf>
    <xf numFmtId="3" fontId="20" fillId="6" borderId="13" xfId="4" applyNumberFormat="1" applyFont="1" applyFill="1" applyBorder="1" applyAlignment="1">
      <alignment vertical="center"/>
    </xf>
    <xf numFmtId="3" fontId="20" fillId="22" borderId="10" xfId="4" applyNumberFormat="1" applyFont="1" applyFill="1" applyBorder="1" applyAlignment="1">
      <alignment vertical="center"/>
    </xf>
    <xf numFmtId="0" fontId="30" fillId="0" borderId="11" xfId="4" applyFont="1" applyFill="1" applyBorder="1" applyAlignment="1">
      <alignment vertical="top"/>
    </xf>
    <xf numFmtId="3" fontId="35" fillId="0" borderId="27" xfId="4" applyNumberFormat="1" applyFont="1" applyFill="1" applyBorder="1" applyAlignment="1">
      <alignment horizontal="right" vertical="center"/>
    </xf>
    <xf numFmtId="43" fontId="35" fillId="0" borderId="27" xfId="1" applyFont="1" applyFill="1" applyBorder="1" applyAlignment="1">
      <alignment horizontal="right" vertical="center"/>
    </xf>
    <xf numFmtId="3" fontId="30" fillId="0" borderId="13" xfId="4" applyNumberFormat="1" applyFont="1" applyFill="1" applyBorder="1" applyAlignment="1">
      <alignment horizontal="right" vertical="center"/>
    </xf>
    <xf numFmtId="4" fontId="30" fillId="0" borderId="13" xfId="4" applyNumberFormat="1" applyFont="1" applyFill="1" applyBorder="1" applyAlignment="1">
      <alignment horizontal="right" vertical="center"/>
    </xf>
    <xf numFmtId="3" fontId="35" fillId="0" borderId="13" xfId="4" applyNumberFormat="1" applyFont="1" applyFill="1" applyBorder="1" applyAlignment="1">
      <alignment horizontal="right" vertical="center"/>
    </xf>
    <xf numFmtId="3" fontId="35" fillId="25" borderId="10" xfId="4" applyNumberFormat="1" applyFont="1" applyFill="1" applyBorder="1" applyAlignment="1">
      <alignment horizontal="right" vertical="center"/>
    </xf>
    <xf numFmtId="0" fontId="18" fillId="0" borderId="11" xfId="4" applyFont="1" applyFill="1" applyBorder="1" applyAlignment="1">
      <alignment vertical="top"/>
    </xf>
    <xf numFmtId="3" fontId="21" fillId="0" borderId="27" xfId="0" applyNumberFormat="1" applyFont="1" applyFill="1" applyBorder="1" applyAlignment="1">
      <alignment vertical="top"/>
    </xf>
    <xf numFmtId="43" fontId="18" fillId="0" borderId="27" xfId="1" applyFont="1" applyFill="1" applyBorder="1" applyAlignment="1">
      <alignment vertical="top"/>
    </xf>
    <xf numFmtId="3" fontId="18" fillId="0" borderId="27" xfId="4" applyNumberFormat="1" applyFont="1" applyFill="1" applyBorder="1" applyAlignment="1">
      <alignment vertical="top"/>
    </xf>
    <xf numFmtId="3" fontId="18" fillId="0" borderId="13" xfId="4" applyNumberFormat="1" applyFont="1" applyFill="1" applyBorder="1" applyAlignment="1">
      <alignment vertical="top"/>
    </xf>
    <xf numFmtId="4" fontId="18" fillId="0" borderId="13" xfId="4" applyNumberFormat="1" applyFont="1" applyFill="1" applyBorder="1" applyAlignment="1">
      <alignment vertical="top"/>
    </xf>
    <xf numFmtId="0" fontId="18" fillId="0" borderId="11" xfId="4" applyFont="1" applyFill="1" applyBorder="1" applyAlignment="1">
      <alignment vertical="top" wrapText="1"/>
    </xf>
    <xf numFmtId="43" fontId="21" fillId="0" borderId="27" xfId="1" applyFont="1" applyFill="1" applyBorder="1" applyAlignment="1">
      <alignment vertical="top"/>
    </xf>
    <xf numFmtId="3" fontId="21" fillId="0" borderId="27" xfId="4" applyNumberFormat="1" applyFont="1" applyFill="1" applyBorder="1" applyAlignment="1">
      <alignment vertical="top"/>
    </xf>
    <xf numFmtId="3" fontId="21" fillId="0" borderId="13" xfId="4" applyNumberFormat="1" applyFont="1" applyFill="1" applyBorder="1" applyAlignment="1">
      <alignment vertical="top"/>
    </xf>
    <xf numFmtId="0" fontId="30" fillId="0" borderId="11" xfId="4" applyFont="1" applyFill="1" applyBorder="1" applyAlignment="1">
      <alignment horizontal="left" vertical="center"/>
    </xf>
    <xf numFmtId="3" fontId="30" fillId="0" borderId="27" xfId="4" applyNumberFormat="1" applyFont="1" applyFill="1" applyBorder="1" applyAlignment="1">
      <alignment horizontal="right" vertical="center"/>
    </xf>
    <xf numFmtId="4" fontId="30" fillId="0" borderId="27" xfId="4" applyNumberFormat="1" applyFont="1" applyFill="1" applyBorder="1" applyAlignment="1">
      <alignment horizontal="right" vertical="center"/>
    </xf>
    <xf numFmtId="3" fontId="35" fillId="25" borderId="0" xfId="4" applyNumberFormat="1" applyFont="1" applyFill="1" applyBorder="1" applyAlignment="1">
      <alignment horizontal="right" vertical="center"/>
    </xf>
    <xf numFmtId="43" fontId="20" fillId="6" borderId="13" xfId="1" applyFont="1" applyFill="1" applyBorder="1" applyAlignment="1">
      <alignment vertical="center"/>
    </xf>
    <xf numFmtId="3" fontId="20" fillId="22" borderId="10" xfId="4" applyNumberFormat="1" applyFont="1" applyFill="1" applyBorder="1" applyAlignment="1">
      <alignment horizontal="center" vertical="center"/>
    </xf>
    <xf numFmtId="3" fontId="18" fillId="35" borderId="13" xfId="4" applyNumberFormat="1" applyFont="1" applyFill="1" applyBorder="1" applyAlignment="1">
      <alignment vertical="top"/>
    </xf>
    <xf numFmtId="43" fontId="35" fillId="0" borderId="13" xfId="1" applyFont="1" applyFill="1" applyBorder="1" applyAlignment="1">
      <alignment horizontal="right" vertical="center"/>
    </xf>
    <xf numFmtId="3" fontId="21" fillId="0" borderId="13" xfId="4" applyNumberFormat="1" applyFont="1" applyFill="1" applyBorder="1" applyAlignment="1">
      <alignment vertical="center"/>
    </xf>
    <xf numFmtId="3" fontId="18" fillId="0" borderId="13" xfId="4" applyNumberFormat="1" applyFont="1" applyFill="1" applyBorder="1" applyAlignment="1">
      <alignment vertical="center"/>
    </xf>
    <xf numFmtId="3" fontId="25" fillId="6" borderId="145" xfId="0" applyNumberFormat="1" applyFont="1" applyFill="1" applyBorder="1" applyAlignment="1">
      <alignment vertical="center"/>
    </xf>
    <xf numFmtId="3" fontId="25" fillId="6" borderId="177" xfId="0" applyNumberFormat="1" applyFont="1" applyFill="1" applyBorder="1" applyAlignment="1">
      <alignment vertical="center"/>
    </xf>
    <xf numFmtId="0" fontId="25" fillId="6" borderId="178" xfId="4" applyFont="1" applyFill="1" applyBorder="1" applyAlignment="1">
      <alignment horizontal="left" vertical="center"/>
    </xf>
    <xf numFmtId="43" fontId="24" fillId="6" borderId="174" xfId="1" applyFont="1" applyFill="1" applyBorder="1" applyAlignment="1">
      <alignment vertical="center"/>
    </xf>
    <xf numFmtId="43" fontId="25" fillId="6" borderId="177" xfId="1" applyFont="1" applyFill="1" applyBorder="1" applyAlignment="1">
      <alignment vertical="center"/>
    </xf>
    <xf numFmtId="43" fontId="25" fillId="6" borderId="145" xfId="1" applyFont="1" applyFill="1" applyBorder="1" applyAlignment="1">
      <alignment vertical="center"/>
    </xf>
    <xf numFmtId="43" fontId="0" fillId="0" borderId="145" xfId="1" applyFont="1" applyBorder="1"/>
    <xf numFmtId="3" fontId="29" fillId="0" borderId="121" xfId="4" applyNumberFormat="1" applyFont="1" applyFill="1" applyBorder="1" applyAlignment="1">
      <alignment horizontal="right" vertical="center"/>
    </xf>
    <xf numFmtId="3" fontId="29" fillId="0" borderId="95" xfId="4" applyNumberFormat="1" applyFont="1" applyFill="1" applyBorder="1" applyAlignment="1">
      <alignment horizontal="right" vertical="center"/>
    </xf>
    <xf numFmtId="3" fontId="27" fillId="2" borderId="127" xfId="4" applyNumberFormat="1" applyFont="1" applyFill="1" applyBorder="1" applyAlignment="1">
      <alignment vertical="center" wrapText="1"/>
    </xf>
    <xf numFmtId="0" fontId="17" fillId="0" borderId="0" xfId="0" applyFont="1" applyAlignment="1">
      <alignment vertical="center"/>
    </xf>
    <xf numFmtId="0" fontId="13" fillId="0" borderId="0" xfId="0" applyFont="1" applyFill="1" applyAlignment="1">
      <alignment horizontal="left" vertical="center"/>
    </xf>
    <xf numFmtId="0" fontId="20" fillId="2" borderId="5" xfId="0" applyFont="1" applyFill="1" applyBorder="1" applyAlignment="1">
      <alignment horizontal="center" vertical="center"/>
    </xf>
    <xf numFmtId="0" fontId="20" fillId="2" borderId="11" xfId="0" applyFont="1" applyFill="1" applyBorder="1" applyAlignment="1">
      <alignment horizontal="center" vertical="center"/>
    </xf>
    <xf numFmtId="0" fontId="21" fillId="0" borderId="28" xfId="0" applyFont="1" applyBorder="1" applyAlignment="1">
      <alignment horizontal="center" vertical="center"/>
    </xf>
    <xf numFmtId="3" fontId="18" fillId="8" borderId="43" xfId="4" applyNumberFormat="1" applyFont="1" applyFill="1" applyBorder="1" applyAlignment="1">
      <alignment vertical="center" wrapText="1"/>
    </xf>
    <xf numFmtId="3" fontId="27" fillId="55" borderId="23" xfId="0" quotePrefix="1" applyNumberFormat="1" applyFont="1" applyFill="1" applyBorder="1" applyAlignment="1">
      <alignment horizontal="right" vertical="center"/>
    </xf>
    <xf numFmtId="3" fontId="18" fillId="8" borderId="43" xfId="4" applyNumberFormat="1" applyFont="1" applyFill="1" applyBorder="1" applyAlignment="1">
      <alignment horizontal="center" vertical="center"/>
    </xf>
    <xf numFmtId="3" fontId="29" fillId="8" borderId="31" xfId="4" applyNumberFormat="1" applyFont="1" applyFill="1" applyBorder="1" applyAlignment="1">
      <alignment vertical="center" wrapText="1"/>
    </xf>
    <xf numFmtId="0" fontId="18" fillId="8" borderId="43" xfId="4" applyFont="1" applyFill="1" applyBorder="1" applyAlignment="1">
      <alignment horizontal="center" vertical="center"/>
    </xf>
    <xf numFmtId="3" fontId="31" fillId="23" borderId="30" xfId="4" applyNumberFormat="1" applyFont="1" applyFill="1" applyBorder="1" applyAlignment="1">
      <alignment vertical="center"/>
    </xf>
    <xf numFmtId="0" fontId="17" fillId="8" borderId="25" xfId="4" applyFont="1" applyFill="1" applyBorder="1" applyAlignment="1">
      <alignment horizontal="center" vertical="center"/>
    </xf>
    <xf numFmtId="3" fontId="7" fillId="8" borderId="76" xfId="4" applyNumberFormat="1" applyFont="1" applyFill="1" applyBorder="1" applyAlignment="1">
      <alignment vertical="center" wrapText="1"/>
    </xf>
    <xf numFmtId="0" fontId="7" fillId="8" borderId="3" xfId="0" applyFont="1" applyFill="1" applyBorder="1" applyAlignment="1">
      <alignment vertical="center"/>
    </xf>
    <xf numFmtId="0" fontId="7" fillId="8" borderId="70" xfId="0" applyFont="1" applyFill="1" applyBorder="1" applyAlignment="1">
      <alignment vertical="center"/>
    </xf>
    <xf numFmtId="0" fontId="7" fillId="8" borderId="79" xfId="0" applyFont="1" applyFill="1" applyBorder="1" applyAlignment="1">
      <alignment vertical="center"/>
    </xf>
    <xf numFmtId="3" fontId="7" fillId="8" borderId="79" xfId="0" applyNumberFormat="1" applyFont="1" applyFill="1" applyBorder="1" applyAlignment="1">
      <alignment vertical="center"/>
    </xf>
    <xf numFmtId="3" fontId="7" fillId="23" borderId="70" xfId="0" applyNumberFormat="1" applyFont="1" applyFill="1" applyBorder="1" applyAlignment="1">
      <alignment vertical="center"/>
    </xf>
    <xf numFmtId="3" fontId="27" fillId="2" borderId="29" xfId="4" applyNumberFormat="1" applyFont="1" applyFill="1" applyBorder="1" applyAlignment="1">
      <alignment vertical="center"/>
    </xf>
    <xf numFmtId="3" fontId="27" fillId="23" borderId="30" xfId="4" applyNumberFormat="1" applyFont="1" applyFill="1" applyBorder="1" applyAlignment="1">
      <alignment vertical="center"/>
    </xf>
    <xf numFmtId="0" fontId="7" fillId="0" borderId="34" xfId="4" applyFont="1" applyFill="1" applyBorder="1" applyAlignment="1">
      <alignment vertical="center"/>
    </xf>
    <xf numFmtId="0" fontId="27" fillId="2" borderId="34" xfId="4" applyFont="1" applyFill="1" applyBorder="1" applyAlignment="1">
      <alignment vertical="center"/>
    </xf>
    <xf numFmtId="0" fontId="0" fillId="0" borderId="33" xfId="0" applyFont="1" applyBorder="1" applyAlignment="1">
      <alignment vertical="center"/>
    </xf>
    <xf numFmtId="3" fontId="27" fillId="2" borderId="30" xfId="4" applyNumberFormat="1" applyFont="1" applyFill="1" applyBorder="1" applyAlignment="1">
      <alignment vertical="center"/>
    </xf>
    <xf numFmtId="0" fontId="7" fillId="0" borderId="31" xfId="4" applyFont="1" applyFill="1" applyBorder="1" applyAlignment="1">
      <alignment vertical="center"/>
    </xf>
    <xf numFmtId="0" fontId="27" fillId="2" borderId="31" xfId="4" applyFont="1" applyFill="1" applyBorder="1" applyAlignment="1">
      <alignment vertical="center"/>
    </xf>
    <xf numFmtId="3" fontId="7" fillId="23" borderId="30" xfId="4" applyNumberFormat="1" applyFont="1" applyFill="1" applyBorder="1" applyAlignment="1">
      <alignment horizontal="center" vertical="center"/>
    </xf>
    <xf numFmtId="3" fontId="24" fillId="6" borderId="93" xfId="4" applyNumberFormat="1" applyFont="1" applyFill="1" applyBorder="1" applyAlignment="1">
      <alignment vertical="center"/>
    </xf>
    <xf numFmtId="3" fontId="7" fillId="23" borderId="91" xfId="4" applyNumberFormat="1" applyFont="1" applyFill="1" applyBorder="1" applyAlignment="1">
      <alignment vertical="center"/>
    </xf>
    <xf numFmtId="3" fontId="27" fillId="2" borderId="97" xfId="4" applyNumberFormat="1" applyFont="1" applyFill="1" applyBorder="1" applyAlignment="1">
      <alignment vertical="center" wrapText="1"/>
    </xf>
    <xf numFmtId="0" fontId="7" fillId="0" borderId="97" xfId="4" applyFont="1" applyFill="1" applyBorder="1" applyAlignment="1">
      <alignment vertical="center"/>
    </xf>
    <xf numFmtId="3" fontId="24" fillId="6" borderId="133" xfId="4" applyNumberFormat="1" applyFont="1" applyFill="1" applyBorder="1" applyAlignment="1">
      <alignment vertical="center"/>
    </xf>
    <xf numFmtId="0" fontId="7" fillId="0" borderId="127" xfId="4" applyFont="1" applyFill="1" applyBorder="1" applyAlignment="1">
      <alignment vertical="center"/>
    </xf>
    <xf numFmtId="0" fontId="18" fillId="8" borderId="3" xfId="0" applyFont="1" applyFill="1" applyBorder="1" applyAlignment="1">
      <alignment vertical="center"/>
    </xf>
    <xf numFmtId="0" fontId="18" fillId="8" borderId="70" xfId="0" applyFont="1" applyFill="1" applyBorder="1" applyAlignment="1">
      <alignment vertical="center"/>
    </xf>
    <xf numFmtId="0" fontId="18" fillId="8" borderId="79" xfId="0" applyFont="1" applyFill="1" applyBorder="1" applyAlignment="1">
      <alignment vertical="center"/>
    </xf>
    <xf numFmtId="3" fontId="18" fillId="8" borderId="79" xfId="0" applyNumberFormat="1" applyFont="1" applyFill="1" applyBorder="1" applyAlignment="1">
      <alignment vertical="center"/>
    </xf>
    <xf numFmtId="3" fontId="18" fillId="23" borderId="70" xfId="0" applyNumberFormat="1" applyFont="1" applyFill="1" applyBorder="1" applyAlignment="1">
      <alignment vertical="center"/>
    </xf>
    <xf numFmtId="3" fontId="27" fillId="23" borderId="91" xfId="4" applyNumberFormat="1" applyFont="1" applyFill="1" applyBorder="1" applyAlignment="1">
      <alignment vertical="center"/>
    </xf>
    <xf numFmtId="0" fontId="34" fillId="2" borderId="51" xfId="0" applyFont="1" applyFill="1" applyBorder="1" applyAlignment="1">
      <alignment vertical="center"/>
    </xf>
    <xf numFmtId="3" fontId="8" fillId="2" borderId="51" xfId="0" applyNumberFormat="1" applyFont="1" applyFill="1" applyBorder="1" applyAlignment="1">
      <alignment horizontal="left" vertical="center"/>
    </xf>
    <xf numFmtId="0" fontId="34" fillId="0" borderId="51" xfId="0" applyFont="1" applyFill="1" applyBorder="1" applyAlignment="1">
      <alignment vertical="center"/>
    </xf>
    <xf numFmtId="0" fontId="34" fillId="0" borderId="80" xfId="0" applyFont="1" applyFill="1" applyBorder="1" applyAlignment="1">
      <alignment vertical="center"/>
    </xf>
    <xf numFmtId="0" fontId="30" fillId="8" borderId="5" xfId="0" applyFont="1" applyFill="1" applyBorder="1" applyAlignment="1">
      <alignment vertical="center"/>
    </xf>
    <xf numFmtId="0" fontId="27" fillId="55" borderId="25" xfId="0" applyFont="1" applyFill="1" applyBorder="1" applyAlignment="1">
      <alignment horizontal="left" vertical="center"/>
    </xf>
    <xf numFmtId="0" fontId="17" fillId="28" borderId="11" xfId="0" applyFont="1" applyFill="1" applyBorder="1" applyAlignment="1">
      <alignment vertical="center"/>
    </xf>
    <xf numFmtId="0" fontId="7" fillId="8" borderId="0" xfId="0" applyFont="1" applyFill="1" applyBorder="1" applyAlignment="1">
      <alignment vertical="center"/>
    </xf>
    <xf numFmtId="0" fontId="7" fillId="8" borderId="35" xfId="0" applyFont="1" applyFill="1" applyBorder="1" applyAlignment="1">
      <alignment vertical="center"/>
    </xf>
    <xf numFmtId="0" fontId="7" fillId="8" borderId="7" xfId="0" applyFont="1" applyFill="1" applyBorder="1" applyAlignment="1">
      <alignment vertical="center"/>
    </xf>
    <xf numFmtId="3" fontId="7" fillId="8" borderId="7" xfId="0" applyNumberFormat="1" applyFont="1" applyFill="1" applyBorder="1" applyAlignment="1">
      <alignment vertical="center"/>
    </xf>
    <xf numFmtId="3" fontId="7" fillId="23" borderId="35" xfId="0" applyNumberFormat="1" applyFont="1" applyFill="1" applyBorder="1" applyAlignment="1">
      <alignment vertical="center"/>
    </xf>
    <xf numFmtId="3" fontId="24" fillId="6" borderId="27" xfId="4" applyNumberFormat="1" applyFont="1" applyFill="1" applyBorder="1" applyAlignment="1">
      <alignment vertical="center"/>
    </xf>
    <xf numFmtId="0" fontId="18" fillId="0" borderId="0" xfId="0" applyFont="1" applyBorder="1" applyAlignment="1">
      <alignment horizontal="center" vertical="center" wrapText="1"/>
    </xf>
    <xf numFmtId="0" fontId="18" fillId="0" borderId="67" xfId="0" applyFont="1" applyBorder="1" applyAlignment="1">
      <alignment vertical="center"/>
    </xf>
    <xf numFmtId="0" fontId="18" fillId="0" borderId="0" xfId="0" applyFont="1" applyAlignment="1">
      <alignment horizontal="center" vertical="center" wrapText="1"/>
    </xf>
    <xf numFmtId="0" fontId="17" fillId="0" borderId="0" xfId="112" applyFont="1" applyBorder="1" applyAlignment="1">
      <alignment vertical="center"/>
    </xf>
    <xf numFmtId="0" fontId="11" fillId="0" borderId="0" xfId="112" applyFont="1" applyFill="1" applyBorder="1" applyAlignment="1">
      <alignment vertical="center"/>
    </xf>
    <xf numFmtId="0" fontId="13" fillId="0" borderId="0" xfId="112" applyFont="1" applyFill="1" applyBorder="1" applyAlignment="1">
      <alignment horizontal="left" vertical="center"/>
    </xf>
    <xf numFmtId="0" fontId="21" fillId="0" borderId="0" xfId="112" applyFont="1" applyBorder="1" applyAlignment="1">
      <alignment vertical="center"/>
    </xf>
    <xf numFmtId="0" fontId="20" fillId="2" borderId="5" xfId="112" applyFont="1" applyFill="1" applyBorder="1" applyAlignment="1">
      <alignment horizontal="center" vertical="center"/>
    </xf>
    <xf numFmtId="0" fontId="20" fillId="2" borderId="11" xfId="112" applyFont="1" applyFill="1" applyBorder="1" applyAlignment="1">
      <alignment horizontal="center" vertical="center"/>
    </xf>
    <xf numFmtId="0" fontId="21" fillId="0" borderId="37" xfId="112" applyFont="1" applyBorder="1" applyAlignment="1">
      <alignment horizontal="center" vertical="center"/>
    </xf>
    <xf numFmtId="0" fontId="21" fillId="0" borderId="132" xfId="112" applyFont="1" applyBorder="1" applyAlignment="1">
      <alignment horizontal="center" vertical="center"/>
    </xf>
    <xf numFmtId="0" fontId="21" fillId="0" borderId="132" xfId="112" quotePrefix="1" applyFont="1" applyBorder="1" applyAlignment="1">
      <alignment horizontal="center" vertical="center"/>
    </xf>
    <xf numFmtId="0" fontId="21" fillId="2" borderId="132" xfId="112" applyFont="1" applyFill="1" applyBorder="1" applyAlignment="1">
      <alignment horizontal="center" vertical="center"/>
    </xf>
    <xf numFmtId="0" fontId="21" fillId="2" borderId="132" xfId="112" quotePrefix="1" applyFont="1" applyFill="1" applyBorder="1" applyAlignment="1">
      <alignment horizontal="center" vertical="center"/>
    </xf>
    <xf numFmtId="0" fontId="21" fillId="2" borderId="150" xfId="112" quotePrefix="1" applyFont="1" applyFill="1" applyBorder="1" applyAlignment="1">
      <alignment horizontal="center" vertical="center"/>
    </xf>
    <xf numFmtId="0" fontId="21" fillId="26" borderId="150" xfId="112" quotePrefix="1" applyFont="1" applyFill="1" applyBorder="1" applyAlignment="1">
      <alignment horizontal="center" vertical="center"/>
    </xf>
    <xf numFmtId="0" fontId="21" fillId="2" borderId="134" xfId="112" quotePrefix="1" applyFont="1" applyFill="1" applyBorder="1" applyAlignment="1">
      <alignment horizontal="center" vertical="center"/>
    </xf>
    <xf numFmtId="3" fontId="4" fillId="0" borderId="0" xfId="112" applyNumberFormat="1" applyFont="1" applyBorder="1" applyAlignment="1">
      <alignment vertical="center"/>
    </xf>
    <xf numFmtId="0" fontId="4" fillId="0" borderId="0" xfId="112" applyFont="1" applyBorder="1" applyAlignment="1">
      <alignment vertical="center"/>
    </xf>
    <xf numFmtId="0" fontId="27" fillId="55" borderId="25" xfId="112" applyFont="1" applyFill="1" applyBorder="1" applyAlignment="1">
      <alignment horizontal="left" vertical="center"/>
    </xf>
    <xf numFmtId="0" fontId="28" fillId="55" borderId="22" xfId="112" quotePrefix="1" applyFont="1" applyFill="1" applyBorder="1" applyAlignment="1">
      <alignment horizontal="center" vertical="center"/>
    </xf>
    <xf numFmtId="3" fontId="27" fillId="55" borderId="23" xfId="112" quotePrefix="1" applyNumberFormat="1" applyFont="1" applyFill="1" applyBorder="1" applyAlignment="1">
      <alignment horizontal="right" vertical="center"/>
    </xf>
    <xf numFmtId="3" fontId="29" fillId="8" borderId="143" xfId="4" applyNumberFormat="1" applyFont="1" applyFill="1" applyBorder="1" applyAlignment="1">
      <alignment vertical="center" wrapText="1"/>
    </xf>
    <xf numFmtId="3" fontId="29" fillId="8" borderId="129" xfId="4" applyNumberFormat="1" applyFont="1" applyFill="1" applyBorder="1" applyAlignment="1">
      <alignment vertical="center" wrapText="1"/>
    </xf>
    <xf numFmtId="3" fontId="27" fillId="8" borderId="138" xfId="112" applyNumberFormat="1" applyFont="1" applyFill="1" applyBorder="1" applyAlignment="1">
      <alignment vertical="center"/>
    </xf>
    <xf numFmtId="3" fontId="27" fillId="23" borderId="138" xfId="112" applyNumberFormat="1" applyFont="1" applyFill="1" applyBorder="1" applyAlignment="1">
      <alignment vertical="center"/>
    </xf>
    <xf numFmtId="3" fontId="7" fillId="8" borderId="143" xfId="4" applyNumberFormat="1" applyFont="1" applyFill="1" applyBorder="1" applyAlignment="1">
      <alignment vertical="center" wrapText="1"/>
    </xf>
    <xf numFmtId="3" fontId="7" fillId="8" borderId="129" xfId="4" applyNumberFormat="1" applyFont="1" applyFill="1" applyBorder="1" applyAlignment="1">
      <alignment vertical="center" wrapText="1"/>
    </xf>
    <xf numFmtId="3" fontId="7" fillId="8" borderId="138" xfId="112" applyNumberFormat="1" applyFont="1" applyFill="1" applyBorder="1" applyAlignment="1">
      <alignment vertical="center"/>
    </xf>
    <xf numFmtId="0" fontId="29" fillId="8" borderId="143" xfId="4" applyFont="1" applyFill="1" applyBorder="1" applyAlignment="1">
      <alignment vertical="center"/>
    </xf>
    <xf numFmtId="0" fontId="29" fillId="8" borderId="129" xfId="4" applyFont="1" applyFill="1" applyBorder="1" applyAlignment="1">
      <alignment vertical="center"/>
    </xf>
    <xf numFmtId="0" fontId="7" fillId="8" borderId="129" xfId="4" applyFont="1" applyFill="1" applyBorder="1" applyAlignment="1">
      <alignment vertical="center" wrapText="1"/>
    </xf>
    <xf numFmtId="0" fontId="27" fillId="8" borderId="6" xfId="4" applyFont="1" applyFill="1" applyBorder="1" applyAlignment="1">
      <alignment vertical="center"/>
    </xf>
    <xf numFmtId="0" fontId="18" fillId="8" borderId="41" xfId="4" applyFont="1" applyFill="1" applyBorder="1" applyAlignment="1">
      <alignment vertical="center"/>
    </xf>
    <xf numFmtId="0" fontId="7" fillId="8" borderId="3" xfId="112" applyFont="1" applyFill="1" applyBorder="1" applyAlignment="1">
      <alignment vertical="center"/>
    </xf>
    <xf numFmtId="0" fontId="7" fillId="8" borderId="70" xfId="112" applyFont="1" applyFill="1" applyBorder="1" applyAlignment="1">
      <alignment vertical="center"/>
    </xf>
    <xf numFmtId="0" fontId="7" fillId="8" borderId="79" xfId="112" applyFont="1" applyFill="1" applyBorder="1" applyAlignment="1">
      <alignment vertical="center"/>
    </xf>
    <xf numFmtId="3" fontId="7" fillId="8" borderId="79" xfId="112" applyNumberFormat="1" applyFont="1" applyFill="1" applyBorder="1" applyAlignment="1">
      <alignment vertical="center"/>
    </xf>
    <xf numFmtId="3" fontId="7" fillId="23" borderId="70" xfId="112" applyNumberFormat="1" applyFont="1" applyFill="1" applyBorder="1" applyAlignment="1">
      <alignment vertical="center"/>
    </xf>
    <xf numFmtId="3" fontId="29" fillId="2" borderId="143" xfId="4" applyNumberFormat="1" applyFont="1" applyFill="1" applyBorder="1" applyAlignment="1">
      <alignment vertical="center" wrapText="1"/>
    </xf>
    <xf numFmtId="0" fontId="7" fillId="0" borderId="143" xfId="4" applyFont="1" applyFill="1" applyBorder="1" applyAlignment="1">
      <alignment vertical="center"/>
    </xf>
    <xf numFmtId="0" fontId="29" fillId="2" borderId="143" xfId="4" applyFont="1" applyFill="1" applyBorder="1" applyAlignment="1">
      <alignment vertical="center"/>
    </xf>
    <xf numFmtId="0" fontId="31" fillId="0" borderId="144" xfId="4" applyFont="1" applyFill="1" applyBorder="1" applyAlignment="1">
      <alignment vertical="center"/>
    </xf>
    <xf numFmtId="3" fontId="24" fillId="6" borderId="140" xfId="4" applyNumberFormat="1" applyFont="1" applyFill="1" applyBorder="1" applyAlignment="1">
      <alignment vertical="center"/>
    </xf>
    <xf numFmtId="3" fontId="7" fillId="23" borderId="2" xfId="112" applyNumberFormat="1" applyFont="1" applyFill="1" applyBorder="1" applyAlignment="1">
      <alignment vertical="center"/>
    </xf>
    <xf numFmtId="3" fontId="27" fillId="2" borderId="140" xfId="4" applyNumberFormat="1" applyFont="1" applyFill="1" applyBorder="1" applyAlignment="1">
      <alignment vertical="center"/>
    </xf>
    <xf numFmtId="0" fontId="4" fillId="0" borderId="132" xfId="112" applyFont="1" applyBorder="1" applyAlignment="1">
      <alignment vertical="center"/>
    </xf>
    <xf numFmtId="0" fontId="4" fillId="0" borderId="27" xfId="112" applyFont="1" applyBorder="1" applyAlignment="1">
      <alignment vertical="center"/>
    </xf>
    <xf numFmtId="0" fontId="4" fillId="0" borderId="24" xfId="112" applyFont="1" applyBorder="1" applyAlignment="1">
      <alignment vertical="center"/>
    </xf>
    <xf numFmtId="3" fontId="24" fillId="32" borderId="9" xfId="4" applyNumberFormat="1" applyFont="1" applyFill="1" applyBorder="1" applyAlignment="1">
      <alignment vertical="center"/>
    </xf>
    <xf numFmtId="3" fontId="24" fillId="32" borderId="140" xfId="4" applyNumberFormat="1" applyFont="1" applyFill="1" applyBorder="1" applyAlignment="1">
      <alignment vertical="center"/>
    </xf>
    <xf numFmtId="3" fontId="24" fillId="32" borderId="138" xfId="4" applyNumberFormat="1" applyFont="1" applyFill="1" applyBorder="1" applyAlignment="1">
      <alignment vertical="center"/>
    </xf>
    <xf numFmtId="3" fontId="24" fillId="8" borderId="4" xfId="4" applyNumberFormat="1" applyFont="1" applyFill="1" applyBorder="1" applyAlignment="1">
      <alignment vertical="center"/>
    </xf>
    <xf numFmtId="3" fontId="4" fillId="0" borderId="0" xfId="0" applyNumberFormat="1" applyFont="1" applyBorder="1" applyAlignment="1">
      <alignment vertical="center"/>
    </xf>
    <xf numFmtId="3" fontId="42" fillId="0" borderId="0" xfId="0" applyNumberFormat="1" applyFont="1" applyBorder="1" applyAlignment="1">
      <alignment vertical="center"/>
    </xf>
    <xf numFmtId="0" fontId="42" fillId="0" borderId="0" xfId="0" applyFont="1" applyBorder="1" applyAlignment="1">
      <alignment vertical="center"/>
    </xf>
    <xf numFmtId="0" fontId="31" fillId="0" borderId="151" xfId="4" applyFont="1" applyFill="1" applyBorder="1" applyAlignment="1">
      <alignment vertical="center"/>
    </xf>
    <xf numFmtId="0" fontId="34" fillId="57" borderId="51" xfId="0" applyFont="1" applyFill="1" applyBorder="1" applyAlignment="1">
      <alignment vertical="center"/>
    </xf>
    <xf numFmtId="0" fontId="34" fillId="59" borderId="51" xfId="0" applyFont="1" applyFill="1" applyBorder="1" applyAlignment="1">
      <alignment vertical="center"/>
    </xf>
    <xf numFmtId="0" fontId="27" fillId="55" borderId="46" xfId="0" applyFont="1" applyFill="1" applyBorder="1" applyAlignment="1">
      <alignment horizontal="left" vertical="center"/>
    </xf>
    <xf numFmtId="3" fontId="31" fillId="8" borderId="17" xfId="0" applyNumberFormat="1" applyFont="1" applyFill="1" applyBorder="1" applyAlignment="1">
      <alignment vertical="center"/>
    </xf>
    <xf numFmtId="0" fontId="31" fillId="8" borderId="70" xfId="0" applyFont="1" applyFill="1" applyBorder="1" applyAlignment="1">
      <alignment vertical="center"/>
    </xf>
    <xf numFmtId="0" fontId="31" fillId="57" borderId="70" xfId="0" applyFont="1" applyFill="1" applyBorder="1" applyAlignment="1">
      <alignment vertical="center"/>
    </xf>
    <xf numFmtId="0" fontId="31" fillId="59" borderId="70" xfId="0" applyFont="1" applyFill="1" applyBorder="1" applyAlignment="1">
      <alignment vertical="center"/>
    </xf>
    <xf numFmtId="0" fontId="31" fillId="8" borderId="2" xfId="0" applyFont="1" applyFill="1" applyBorder="1" applyAlignment="1">
      <alignment vertical="center"/>
    </xf>
    <xf numFmtId="0" fontId="31" fillId="6" borderId="129" xfId="0" applyFont="1" applyFill="1" applyBorder="1" applyAlignment="1">
      <alignment vertical="center"/>
    </xf>
    <xf numFmtId="0" fontId="18" fillId="0" borderId="0" xfId="112" applyFont="1" applyBorder="1" applyAlignment="1">
      <alignment horizontal="center" vertical="center" wrapText="1"/>
    </xf>
    <xf numFmtId="0" fontId="18" fillId="0" borderId="67" xfId="112" applyFont="1" applyBorder="1" applyAlignment="1">
      <alignment vertical="center"/>
    </xf>
    <xf numFmtId="0" fontId="13" fillId="0" borderId="0" xfId="0" applyFont="1" applyFill="1" applyAlignment="1">
      <alignment vertical="center"/>
    </xf>
    <xf numFmtId="0" fontId="17" fillId="0" borderId="69" xfId="4" applyFont="1" applyBorder="1" applyAlignment="1">
      <alignment horizontal="center" vertical="center"/>
    </xf>
    <xf numFmtId="0" fontId="0" fillId="0" borderId="66" xfId="0" applyFont="1" applyBorder="1" applyAlignment="1">
      <alignment vertical="center"/>
    </xf>
    <xf numFmtId="3" fontId="18" fillId="8" borderId="67" xfId="4" applyNumberFormat="1" applyFont="1" applyFill="1" applyBorder="1" applyAlignment="1">
      <alignment vertical="center" wrapText="1"/>
    </xf>
    <xf numFmtId="0" fontId="27" fillId="55" borderId="67" xfId="0" applyFont="1" applyFill="1" applyBorder="1" applyAlignment="1">
      <alignment horizontal="left" vertical="center"/>
    </xf>
    <xf numFmtId="0" fontId="28" fillId="55" borderId="6" xfId="0" quotePrefix="1" applyFont="1" applyFill="1" applyBorder="1" applyAlignment="1">
      <alignment horizontal="center" vertical="center"/>
    </xf>
    <xf numFmtId="3" fontId="27" fillId="55" borderId="27" xfId="0" quotePrefix="1" applyNumberFormat="1" applyFont="1" applyFill="1" applyBorder="1" applyAlignment="1">
      <alignment horizontal="right" vertical="center"/>
    </xf>
    <xf numFmtId="3" fontId="24" fillId="6" borderId="70" xfId="4" applyNumberFormat="1" applyFont="1" applyFill="1" applyBorder="1" applyAlignment="1">
      <alignment vertical="center"/>
    </xf>
    <xf numFmtId="3" fontId="24" fillId="22" borderId="70" xfId="4" applyNumberFormat="1" applyFont="1" applyFill="1" applyBorder="1" applyAlignment="1">
      <alignment vertical="center"/>
    </xf>
    <xf numFmtId="3" fontId="42" fillId="0" borderId="0" xfId="0" applyNumberFormat="1" applyFont="1" applyAlignment="1">
      <alignment vertical="center"/>
    </xf>
    <xf numFmtId="3" fontId="30" fillId="8" borderId="43" xfId="4" applyNumberFormat="1" applyFont="1" applyFill="1" applyBorder="1" applyAlignment="1">
      <alignment vertical="center" wrapText="1"/>
    </xf>
    <xf numFmtId="3" fontId="63" fillId="0" borderId="0" xfId="0" applyNumberFormat="1" applyFont="1" applyAlignment="1">
      <alignment vertical="center"/>
    </xf>
    <xf numFmtId="0" fontId="42" fillId="0" borderId="0" xfId="0" applyFont="1" applyAlignment="1">
      <alignment vertical="center"/>
    </xf>
    <xf numFmtId="0" fontId="7" fillId="8" borderId="20" xfId="4" applyFont="1" applyFill="1" applyBorder="1" applyAlignment="1">
      <alignment vertical="center"/>
    </xf>
    <xf numFmtId="3" fontId="7" fillId="8" borderId="34" xfId="4" applyNumberFormat="1" applyFont="1" applyFill="1" applyBorder="1" applyAlignment="1">
      <alignment vertical="center" wrapText="1"/>
    </xf>
    <xf numFmtId="3" fontId="7" fillId="8" borderId="28" xfId="4" applyNumberFormat="1" applyFont="1" applyFill="1" applyBorder="1" applyAlignment="1">
      <alignment vertical="center" wrapText="1"/>
    </xf>
    <xf numFmtId="0" fontId="18" fillId="8" borderId="43" xfId="4" applyFont="1" applyFill="1" applyBorder="1" applyAlignment="1">
      <alignment vertical="center" wrapText="1"/>
    </xf>
    <xf numFmtId="0" fontId="29" fillId="8" borderId="20" xfId="4" applyFont="1" applyFill="1" applyBorder="1" applyAlignment="1">
      <alignment vertical="center"/>
    </xf>
    <xf numFmtId="0" fontId="30" fillId="8" borderId="43" xfId="4" applyFont="1" applyFill="1" applyBorder="1" applyAlignment="1">
      <alignment vertical="center" wrapText="1"/>
    </xf>
    <xf numFmtId="3" fontId="25" fillId="6" borderId="29" xfId="4" applyNumberFormat="1" applyFont="1" applyFill="1" applyBorder="1" applyAlignment="1">
      <alignment vertical="center"/>
    </xf>
    <xf numFmtId="3" fontId="27" fillId="8" borderId="20" xfId="4" applyNumberFormat="1" applyFont="1" applyFill="1" applyBorder="1" applyAlignment="1">
      <alignment vertical="center" wrapText="1"/>
    </xf>
    <xf numFmtId="0" fontId="27" fillId="8" borderId="28" xfId="4" applyFont="1" applyFill="1" applyBorder="1" applyAlignment="1">
      <alignment vertical="center"/>
    </xf>
    <xf numFmtId="3" fontId="7" fillId="8" borderId="12" xfId="4" applyNumberFormat="1" applyFont="1" applyFill="1" applyBorder="1" applyAlignment="1">
      <alignment vertical="center"/>
    </xf>
    <xf numFmtId="0" fontId="17" fillId="13" borderId="11" xfId="4" applyFont="1" applyFill="1" applyBorder="1" applyAlignment="1">
      <alignment horizontal="center" vertical="center"/>
    </xf>
    <xf numFmtId="0" fontId="24" fillId="13" borderId="6" xfId="4" applyFont="1" applyFill="1" applyBorder="1" applyAlignment="1">
      <alignment vertical="center" wrapText="1"/>
    </xf>
    <xf numFmtId="3" fontId="18" fillId="13" borderId="43" xfId="4" applyNumberFormat="1" applyFont="1" applyFill="1" applyBorder="1" applyAlignment="1">
      <alignment horizontal="center" vertical="center"/>
    </xf>
    <xf numFmtId="3" fontId="7" fillId="13" borderId="34" xfId="4" applyNumberFormat="1" applyFont="1" applyFill="1" applyBorder="1" applyAlignment="1">
      <alignment vertical="center" wrapText="1"/>
    </xf>
    <xf numFmtId="3" fontId="7" fillId="13" borderId="28" xfId="4" applyNumberFormat="1" applyFont="1" applyFill="1" applyBorder="1" applyAlignment="1">
      <alignment vertical="center" wrapText="1"/>
    </xf>
    <xf numFmtId="0" fontId="18" fillId="13" borderId="43" xfId="4" applyFont="1" applyFill="1" applyBorder="1" applyAlignment="1">
      <alignment horizontal="center" vertical="center"/>
    </xf>
    <xf numFmtId="0" fontId="29" fillId="13" borderId="34" xfId="4" applyFont="1" applyFill="1" applyBorder="1" applyAlignment="1">
      <alignment vertical="center"/>
    </xf>
    <xf numFmtId="3" fontId="7" fillId="13" borderId="81" xfId="4" applyNumberFormat="1" applyFont="1" applyFill="1" applyBorder="1" applyAlignment="1">
      <alignment vertical="center" wrapText="1"/>
    </xf>
    <xf numFmtId="3" fontId="27" fillId="13" borderId="20" xfId="4" applyNumberFormat="1" applyFont="1" applyFill="1" applyBorder="1" applyAlignment="1">
      <alignment vertical="center" wrapText="1"/>
    </xf>
    <xf numFmtId="0" fontId="17" fillId="13" borderId="25" xfId="4" applyFont="1" applyFill="1" applyBorder="1" applyAlignment="1">
      <alignment horizontal="center" vertical="center"/>
    </xf>
    <xf numFmtId="3" fontId="18" fillId="13" borderId="41" xfId="4" applyNumberFormat="1" applyFont="1" applyFill="1" applyBorder="1" applyAlignment="1">
      <alignment horizontal="center" vertical="center"/>
    </xf>
    <xf numFmtId="3" fontId="24" fillId="22" borderId="30" xfId="4" applyNumberFormat="1" applyFont="1" applyFill="1" applyBorder="1" applyAlignment="1">
      <alignment vertical="center"/>
    </xf>
    <xf numFmtId="3" fontId="27" fillId="0" borderId="29" xfId="4" applyNumberFormat="1" applyFont="1" applyFill="1" applyBorder="1" applyAlignment="1">
      <alignment vertical="center"/>
    </xf>
    <xf numFmtId="3" fontId="27" fillId="25" borderId="29" xfId="4" applyNumberFormat="1" applyFont="1" applyFill="1" applyBorder="1" applyAlignment="1">
      <alignment vertical="center"/>
    </xf>
    <xf numFmtId="0" fontId="31" fillId="0" borderId="34" xfId="4" applyFont="1" applyFill="1" applyBorder="1" applyAlignment="1">
      <alignment vertical="center"/>
    </xf>
    <xf numFmtId="3" fontId="31" fillId="0" borderId="30" xfId="4" applyNumberFormat="1" applyFont="1" applyFill="1" applyBorder="1" applyAlignment="1">
      <alignment vertical="center"/>
    </xf>
    <xf numFmtId="3" fontId="29" fillId="2" borderId="34" xfId="4" applyNumberFormat="1" applyFont="1" applyFill="1" applyBorder="1" applyAlignment="1">
      <alignment vertical="center" wrapText="1"/>
    </xf>
    <xf numFmtId="0" fontId="29" fillId="2" borderId="34" xfId="4" applyFont="1" applyFill="1" applyBorder="1" applyAlignment="1">
      <alignment vertical="center"/>
    </xf>
    <xf numFmtId="0" fontId="7" fillId="0" borderId="81" xfId="4" applyFont="1" applyFill="1" applyBorder="1" applyAlignment="1">
      <alignment vertical="center"/>
    </xf>
    <xf numFmtId="3" fontId="24" fillId="6" borderId="64" xfId="4" applyNumberFormat="1" applyFont="1" applyFill="1" applyBorder="1" applyAlignment="1">
      <alignment vertical="center"/>
    </xf>
    <xf numFmtId="0" fontId="29" fillId="2" borderId="32" xfId="4" applyFont="1" applyFill="1" applyBorder="1" applyAlignment="1">
      <alignment vertical="center"/>
    </xf>
    <xf numFmtId="3" fontId="29" fillId="2" borderId="29" xfId="4" applyNumberFormat="1" applyFont="1" applyFill="1" applyBorder="1" applyAlignment="1">
      <alignment vertical="center"/>
    </xf>
    <xf numFmtId="3" fontId="7" fillId="25" borderId="12" xfId="4" applyNumberFormat="1" applyFont="1" applyFill="1" applyBorder="1" applyAlignment="1">
      <alignment horizontal="right" vertical="center"/>
    </xf>
    <xf numFmtId="3" fontId="24" fillId="6" borderId="65" xfId="4" applyNumberFormat="1" applyFont="1" applyFill="1" applyBorder="1" applyAlignment="1">
      <alignment vertical="center"/>
    </xf>
    <xf numFmtId="0" fontId="7" fillId="0" borderId="25" xfId="4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7" fillId="0" borderId="33" xfId="4" applyFont="1" applyFill="1" applyBorder="1" applyAlignment="1">
      <alignment vertical="center"/>
    </xf>
    <xf numFmtId="3" fontId="31" fillId="0" borderId="74" xfId="4" applyNumberFormat="1" applyFont="1" applyFill="1" applyBorder="1" applyAlignment="1">
      <alignment horizontal="right" vertical="center"/>
    </xf>
    <xf numFmtId="3" fontId="27" fillId="0" borderId="9" xfId="4" applyNumberFormat="1" applyFont="1" applyFill="1" applyBorder="1" applyAlignment="1">
      <alignment vertical="center"/>
    </xf>
    <xf numFmtId="3" fontId="27" fillId="0" borderId="0" xfId="4" applyNumberFormat="1" applyFont="1" applyFill="1" applyBorder="1" applyAlignment="1">
      <alignment vertical="center"/>
    </xf>
    <xf numFmtId="3" fontId="24" fillId="6" borderId="0" xfId="4" applyNumberFormat="1" applyFont="1" applyFill="1" applyBorder="1" applyAlignment="1">
      <alignment vertical="center"/>
    </xf>
    <xf numFmtId="3" fontId="24" fillId="26" borderId="10" xfId="4" applyNumberFormat="1" applyFont="1" applyFill="1" applyBorder="1" applyAlignment="1">
      <alignment vertical="center"/>
    </xf>
    <xf numFmtId="3" fontId="27" fillId="2" borderId="0" xfId="4" applyNumberFormat="1" applyFont="1" applyFill="1" applyBorder="1" applyAlignment="1">
      <alignment vertical="center"/>
    </xf>
    <xf numFmtId="3" fontId="27" fillId="26" borderId="0" xfId="4" applyNumberFormat="1" applyFont="1" applyFill="1" applyBorder="1" applyAlignment="1">
      <alignment vertical="center"/>
    </xf>
    <xf numFmtId="3" fontId="7" fillId="25" borderId="74" xfId="4" applyNumberFormat="1" applyFont="1" applyFill="1" applyBorder="1" applyAlignment="1">
      <alignment horizontal="right" vertical="center"/>
    </xf>
    <xf numFmtId="3" fontId="27" fillId="2" borderId="119" xfId="4" applyNumberFormat="1" applyFont="1" applyFill="1" applyBorder="1" applyAlignment="1">
      <alignment vertical="center"/>
    </xf>
    <xf numFmtId="3" fontId="27" fillId="2" borderId="118" xfId="4" applyNumberFormat="1" applyFont="1" applyFill="1" applyBorder="1" applyAlignment="1">
      <alignment vertical="center"/>
    </xf>
    <xf numFmtId="3" fontId="25" fillId="8" borderId="4" xfId="4" applyNumberFormat="1" applyFont="1" applyFill="1" applyBorder="1" applyAlignment="1">
      <alignment vertical="center"/>
    </xf>
    <xf numFmtId="0" fontId="7" fillId="0" borderId="116" xfId="4" applyFont="1" applyFill="1" applyBorder="1" applyAlignment="1">
      <alignment vertical="center"/>
    </xf>
    <xf numFmtId="3" fontId="29" fillId="2" borderId="115" xfId="4" applyNumberFormat="1" applyFont="1" applyFill="1" applyBorder="1" applyAlignment="1">
      <alignment vertical="center" wrapText="1"/>
    </xf>
    <xf numFmtId="0" fontId="7" fillId="0" borderId="125" xfId="4" applyFont="1" applyFill="1" applyBorder="1" applyAlignment="1">
      <alignment vertical="center"/>
    </xf>
    <xf numFmtId="3" fontId="29" fillId="2" borderId="133" xfId="4" applyNumberFormat="1" applyFont="1" applyFill="1" applyBorder="1" applyAlignment="1">
      <alignment vertical="center"/>
    </xf>
    <xf numFmtId="3" fontId="27" fillId="2" borderId="133" xfId="4" applyNumberFormat="1" applyFont="1" applyFill="1" applyBorder="1" applyAlignment="1">
      <alignment vertical="center"/>
    </xf>
    <xf numFmtId="3" fontId="7" fillId="2" borderId="74" xfId="4" applyNumberFormat="1" applyFont="1" applyFill="1" applyBorder="1" applyAlignment="1">
      <alignment vertical="center"/>
    </xf>
    <xf numFmtId="3" fontId="31" fillId="0" borderId="47" xfId="4" applyNumberFormat="1" applyFont="1" applyFill="1" applyBorder="1" applyAlignment="1">
      <alignment vertical="center"/>
    </xf>
    <xf numFmtId="3" fontId="31" fillId="0" borderId="72" xfId="4" applyNumberFormat="1" applyFont="1" applyFill="1" applyBorder="1" applyAlignment="1">
      <alignment vertical="center"/>
    </xf>
    <xf numFmtId="0" fontId="27" fillId="2" borderId="25" xfId="4" applyFont="1" applyFill="1" applyBorder="1" applyAlignment="1">
      <alignment vertical="center"/>
    </xf>
    <xf numFmtId="0" fontId="31" fillId="0" borderId="69" xfId="4" applyFont="1" applyFill="1" applyBorder="1" applyAlignment="1">
      <alignment vertical="center"/>
    </xf>
    <xf numFmtId="3" fontId="31" fillId="0" borderId="23" xfId="4" applyNumberFormat="1" applyFont="1" applyFill="1" applyBorder="1" applyAlignment="1">
      <alignment vertical="center"/>
    </xf>
    <xf numFmtId="3" fontId="27" fillId="2" borderId="47" xfId="4" applyNumberFormat="1" applyFont="1" applyFill="1" applyBorder="1" applyAlignment="1">
      <alignment vertical="center"/>
    </xf>
    <xf numFmtId="3" fontId="7" fillId="0" borderId="65" xfId="4" applyNumberFormat="1" applyFont="1" applyFill="1" applyBorder="1" applyAlignment="1">
      <alignment vertical="center"/>
    </xf>
    <xf numFmtId="3" fontId="7" fillId="0" borderId="29" xfId="4" applyNumberFormat="1" applyFont="1" applyFill="1" applyBorder="1" applyAlignment="1">
      <alignment vertical="center"/>
    </xf>
    <xf numFmtId="3" fontId="7" fillId="2" borderId="72" xfId="4" applyNumberFormat="1" applyFont="1" applyFill="1" applyBorder="1" applyAlignment="1">
      <alignment vertical="center"/>
    </xf>
    <xf numFmtId="0" fontId="31" fillId="0" borderId="81" xfId="4" applyFont="1" applyFill="1" applyBorder="1" applyAlignment="1">
      <alignment vertical="center"/>
    </xf>
    <xf numFmtId="43" fontId="24" fillId="6" borderId="29" xfId="1" applyFont="1" applyFill="1" applyBorder="1" applyAlignment="1">
      <alignment vertical="center"/>
    </xf>
    <xf numFmtId="43" fontId="27" fillId="2" borderId="29" xfId="1" applyFont="1" applyFill="1" applyBorder="1" applyAlignment="1">
      <alignment vertical="center"/>
    </xf>
    <xf numFmtId="43" fontId="31" fillId="2" borderId="47" xfId="1" applyFont="1" applyFill="1" applyBorder="1" applyAlignment="1">
      <alignment vertical="center"/>
    </xf>
    <xf numFmtId="3" fontId="28" fillId="0" borderId="50" xfId="4" applyNumberFormat="1" applyFont="1" applyFill="1" applyBorder="1" applyAlignment="1">
      <alignment vertical="center"/>
    </xf>
    <xf numFmtId="3" fontId="28" fillId="2" borderId="50" xfId="4" applyNumberFormat="1" applyFont="1" applyFill="1" applyBorder="1" applyAlignment="1">
      <alignment vertical="center"/>
    </xf>
    <xf numFmtId="3" fontId="28" fillId="2" borderId="39" xfId="4" applyNumberFormat="1" applyFont="1" applyFill="1" applyBorder="1" applyAlignment="1">
      <alignment vertical="center"/>
    </xf>
    <xf numFmtId="3" fontId="28" fillId="2" borderId="78" xfId="4" applyNumberFormat="1" applyFont="1" applyFill="1" applyBorder="1" applyAlignment="1">
      <alignment vertical="center"/>
    </xf>
    <xf numFmtId="0" fontId="31" fillId="0" borderId="115" xfId="4" applyFont="1" applyFill="1" applyBorder="1" applyAlignment="1">
      <alignment vertical="center"/>
    </xf>
    <xf numFmtId="0" fontId="7" fillId="0" borderId="115" xfId="4" applyFont="1" applyFill="1" applyBorder="1" applyAlignment="1">
      <alignment vertical="center"/>
    </xf>
    <xf numFmtId="3" fontId="27" fillId="0" borderId="105" xfId="4" applyNumberFormat="1" applyFont="1" applyFill="1" applyBorder="1" applyAlignment="1">
      <alignment vertical="center"/>
    </xf>
    <xf numFmtId="3" fontId="0" fillId="2" borderId="0" xfId="0" applyNumberFormat="1" applyFont="1" applyFill="1" applyAlignment="1">
      <alignment vertical="center"/>
    </xf>
    <xf numFmtId="43" fontId="31" fillId="0" borderId="29" xfId="1" applyFont="1" applyFill="1" applyBorder="1" applyAlignment="1">
      <alignment vertical="center"/>
    </xf>
    <xf numFmtId="43" fontId="24" fillId="6" borderId="9" xfId="1" applyFont="1" applyFill="1" applyBorder="1" applyAlignment="1">
      <alignment vertical="center"/>
    </xf>
    <xf numFmtId="3" fontId="31" fillId="0" borderId="105" xfId="4" applyNumberFormat="1" applyFont="1" applyFill="1" applyBorder="1" applyAlignment="1">
      <alignment vertical="center"/>
    </xf>
    <xf numFmtId="43" fontId="31" fillId="0" borderId="105" xfId="1" applyFont="1" applyFill="1" applyBorder="1" applyAlignment="1">
      <alignment vertical="center"/>
    </xf>
    <xf numFmtId="3" fontId="24" fillId="32" borderId="105" xfId="4" applyNumberFormat="1" applyFont="1" applyFill="1" applyBorder="1" applyAlignment="1">
      <alignment vertical="center"/>
    </xf>
    <xf numFmtId="43" fontId="24" fillId="32" borderId="105" xfId="1" applyFont="1" applyFill="1" applyBorder="1" applyAlignment="1">
      <alignment vertical="center"/>
    </xf>
    <xf numFmtId="43" fontId="31" fillId="32" borderId="105" xfId="1" applyFont="1" applyFill="1" applyBorder="1" applyAlignment="1">
      <alignment vertical="center"/>
    </xf>
    <xf numFmtId="0" fontId="24" fillId="13" borderId="16" xfId="4" applyFont="1" applyFill="1" applyBorder="1" applyAlignment="1">
      <alignment vertical="center" wrapText="1"/>
    </xf>
    <xf numFmtId="3" fontId="0" fillId="0" borderId="0" xfId="0" applyNumberFormat="1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42" fillId="0" borderId="0" xfId="0" applyFont="1" applyFill="1" applyAlignment="1">
      <alignment vertical="center"/>
    </xf>
    <xf numFmtId="0" fontId="27" fillId="13" borderId="20" xfId="4" applyFont="1" applyFill="1" applyBorder="1" applyAlignment="1">
      <alignment vertical="center"/>
    </xf>
    <xf numFmtId="0" fontId="7" fillId="13" borderId="25" xfId="4" applyFont="1" applyFill="1" applyBorder="1" applyAlignment="1">
      <alignment vertical="center"/>
    </xf>
    <xf numFmtId="0" fontId="7" fillId="13" borderId="22" xfId="4" applyFont="1" applyFill="1" applyBorder="1" applyAlignment="1">
      <alignment vertical="center"/>
    </xf>
    <xf numFmtId="3" fontId="31" fillId="0" borderId="51" xfId="4" applyNumberFormat="1" applyFont="1" applyFill="1" applyBorder="1" applyAlignment="1">
      <alignment vertical="center"/>
    </xf>
    <xf numFmtId="3" fontId="31" fillId="0" borderId="39" xfId="4" applyNumberFormat="1" applyFont="1" applyFill="1" applyBorder="1" applyAlignment="1">
      <alignment horizontal="right" vertical="center"/>
    </xf>
    <xf numFmtId="3" fontId="31" fillId="0" borderId="50" xfId="4" applyNumberFormat="1" applyFont="1" applyFill="1" applyBorder="1" applyAlignment="1">
      <alignment horizontal="right" vertical="center"/>
    </xf>
    <xf numFmtId="3" fontId="7" fillId="0" borderId="78" xfId="4" applyNumberFormat="1" applyFont="1" applyFill="1" applyBorder="1" applyAlignment="1">
      <alignment horizontal="right" vertical="center"/>
    </xf>
    <xf numFmtId="3" fontId="7" fillId="0" borderId="51" xfId="4" applyNumberFormat="1" applyFont="1" applyFill="1" applyBorder="1" applyAlignment="1">
      <alignment horizontal="right" vertical="center"/>
    </xf>
    <xf numFmtId="0" fontId="31" fillId="0" borderId="116" xfId="4" applyFont="1" applyFill="1" applyBorder="1" applyAlignment="1">
      <alignment vertical="center"/>
    </xf>
    <xf numFmtId="3" fontId="27" fillId="2" borderId="9" xfId="4" applyNumberFormat="1" applyFont="1" applyFill="1" applyBorder="1" applyAlignment="1">
      <alignment vertical="center"/>
    </xf>
    <xf numFmtId="3" fontId="29" fillId="2" borderId="9" xfId="4" applyNumberFormat="1" applyFont="1" applyFill="1" applyBorder="1" applyAlignment="1">
      <alignment vertical="center"/>
    </xf>
    <xf numFmtId="43" fontId="27" fillId="2" borderId="105" xfId="1" applyFont="1" applyFill="1" applyBorder="1" applyAlignment="1">
      <alignment vertical="center"/>
    </xf>
    <xf numFmtId="3" fontId="27" fillId="2" borderId="174" xfId="4" applyNumberFormat="1" applyFont="1" applyFill="1" applyBorder="1" applyAlignment="1">
      <alignment vertical="center"/>
    </xf>
    <xf numFmtId="0" fontId="24" fillId="27" borderId="14" xfId="4" applyFont="1" applyFill="1" applyBorder="1" applyAlignment="1">
      <alignment vertical="center" wrapText="1"/>
    </xf>
    <xf numFmtId="0" fontId="7" fillId="27" borderId="4" xfId="4" applyFont="1" applyFill="1" applyBorder="1" applyAlignment="1">
      <alignment vertical="center"/>
    </xf>
    <xf numFmtId="3" fontId="7" fillId="27" borderId="70" xfId="4" applyNumberFormat="1" applyFont="1" applyFill="1" applyBorder="1" applyAlignment="1">
      <alignment vertical="center"/>
    </xf>
    <xf numFmtId="3" fontId="7" fillId="27" borderId="2" xfId="4" applyNumberFormat="1" applyFont="1" applyFill="1" applyBorder="1" applyAlignment="1">
      <alignment vertical="center"/>
    </xf>
    <xf numFmtId="3" fontId="7" fillId="24" borderId="2" xfId="4" applyNumberFormat="1" applyFont="1" applyFill="1" applyBorder="1" applyAlignment="1">
      <alignment vertical="center"/>
    </xf>
    <xf numFmtId="0" fontId="29" fillId="27" borderId="34" xfId="4" applyFont="1" applyFill="1" applyBorder="1" applyAlignment="1">
      <alignment vertical="center" wrapText="1"/>
    </xf>
    <xf numFmtId="3" fontId="29" fillId="27" borderId="28" xfId="4" applyNumberFormat="1" applyFont="1" applyFill="1" applyBorder="1" applyAlignment="1">
      <alignment vertical="center" wrapText="1"/>
    </xf>
    <xf numFmtId="0" fontId="7" fillId="27" borderId="34" xfId="4" applyFont="1" applyFill="1" applyBorder="1" applyAlignment="1">
      <alignment vertical="center" wrapText="1"/>
    </xf>
    <xf numFmtId="0" fontId="7" fillId="27" borderId="28" xfId="4" applyFont="1" applyFill="1" applyBorder="1" applyAlignment="1">
      <alignment vertical="center" wrapText="1"/>
    </xf>
    <xf numFmtId="0" fontId="7" fillId="13" borderId="36" xfId="4" applyFont="1" applyFill="1" applyBorder="1" applyAlignment="1">
      <alignment vertical="center"/>
    </xf>
    <xf numFmtId="0" fontId="7" fillId="13" borderId="20" xfId="4" applyFont="1" applyFill="1" applyBorder="1" applyAlignment="1">
      <alignment vertical="center"/>
    </xf>
    <xf numFmtId="0" fontId="29" fillId="13" borderId="20" xfId="4" applyFont="1" applyFill="1" applyBorder="1" applyAlignment="1">
      <alignment vertical="center"/>
    </xf>
    <xf numFmtId="0" fontId="63" fillId="0" borderId="0" xfId="0" applyFont="1" applyAlignment="1">
      <alignment vertical="center"/>
    </xf>
    <xf numFmtId="3" fontId="27" fillId="13" borderId="32" xfId="4" applyNumberFormat="1" applyFont="1" applyFill="1" applyBorder="1" applyAlignment="1">
      <alignment vertical="center" wrapText="1"/>
    </xf>
    <xf numFmtId="3" fontId="27" fillId="13" borderId="28" xfId="4" applyNumberFormat="1" applyFont="1" applyFill="1" applyBorder="1" applyAlignment="1">
      <alignment vertical="center" wrapText="1"/>
    </xf>
    <xf numFmtId="0" fontId="7" fillId="13" borderId="32" xfId="4" applyFont="1" applyFill="1" applyBorder="1" applyAlignment="1">
      <alignment vertical="center"/>
    </xf>
    <xf numFmtId="0" fontId="29" fillId="13" borderId="36" xfId="4" applyFont="1" applyFill="1" applyBorder="1" applyAlignment="1">
      <alignment vertical="center"/>
    </xf>
    <xf numFmtId="3" fontId="7" fillId="13" borderId="32" xfId="4" applyNumberFormat="1" applyFont="1" applyFill="1" applyBorder="1" applyAlignment="1">
      <alignment vertical="center" wrapText="1"/>
    </xf>
    <xf numFmtId="3" fontId="7" fillId="13" borderId="69" xfId="4" applyNumberFormat="1" applyFont="1" applyFill="1" applyBorder="1" applyAlignment="1">
      <alignment vertical="center" wrapText="1"/>
    </xf>
    <xf numFmtId="3" fontId="18" fillId="27" borderId="41" xfId="4" applyNumberFormat="1" applyFont="1" applyFill="1" applyBorder="1" applyAlignment="1">
      <alignment horizontal="center" vertical="center" wrapText="1"/>
    </xf>
    <xf numFmtId="0" fontId="63" fillId="2" borderId="0" xfId="0" applyFont="1" applyFill="1" applyAlignment="1">
      <alignment vertical="center"/>
    </xf>
    <xf numFmtId="3" fontId="31" fillId="2" borderId="65" xfId="4" applyNumberFormat="1" applyFont="1" applyFill="1" applyBorder="1" applyAlignment="1">
      <alignment vertical="center"/>
    </xf>
    <xf numFmtId="3" fontId="7" fillId="2" borderId="30" xfId="4" applyNumberFormat="1" applyFont="1" applyFill="1" applyBorder="1" applyAlignment="1">
      <alignment vertical="center"/>
    </xf>
    <xf numFmtId="3" fontId="7" fillId="2" borderId="29" xfId="4" applyNumberFormat="1" applyFont="1" applyFill="1" applyBorder="1" applyAlignment="1">
      <alignment vertical="center"/>
    </xf>
    <xf numFmtId="3" fontId="31" fillId="2" borderId="29" xfId="4" applyNumberFormat="1" applyFont="1" applyFill="1" applyBorder="1" applyAlignment="1">
      <alignment vertical="center"/>
    </xf>
    <xf numFmtId="3" fontId="7" fillId="2" borderId="65" xfId="4" applyNumberFormat="1" applyFont="1" applyFill="1" applyBorder="1" applyAlignment="1">
      <alignment vertical="center"/>
    </xf>
    <xf numFmtId="0" fontId="31" fillId="2" borderId="36" xfId="4" applyFont="1" applyFill="1" applyBorder="1" applyAlignment="1">
      <alignment vertical="center"/>
    </xf>
    <xf numFmtId="3" fontId="7" fillId="2" borderId="35" xfId="4" applyNumberFormat="1" applyFont="1" applyFill="1" applyBorder="1" applyAlignment="1">
      <alignment vertical="center"/>
    </xf>
    <xf numFmtId="3" fontId="7" fillId="2" borderId="9" xfId="4" applyNumberFormat="1" applyFont="1" applyFill="1" applyBorder="1" applyAlignment="1">
      <alignment vertical="center"/>
    </xf>
    <xf numFmtId="3" fontId="31" fillId="2" borderId="9" xfId="4" applyNumberFormat="1" applyFont="1" applyFill="1" applyBorder="1" applyAlignment="1">
      <alignment vertical="center"/>
    </xf>
    <xf numFmtId="3" fontId="31" fillId="2" borderId="30" xfId="4" applyNumberFormat="1" applyFont="1" applyFill="1" applyBorder="1" applyAlignment="1">
      <alignment vertical="center"/>
    </xf>
    <xf numFmtId="0" fontId="27" fillId="2" borderId="36" xfId="4" applyFont="1" applyFill="1" applyBorder="1" applyAlignment="1">
      <alignment vertical="center"/>
    </xf>
    <xf numFmtId="3" fontId="31" fillId="2" borderId="71" xfId="4" applyNumberFormat="1" applyFont="1" applyFill="1" applyBorder="1" applyAlignment="1">
      <alignment vertical="center"/>
    </xf>
    <xf numFmtId="3" fontId="29" fillId="2" borderId="71" xfId="4" applyNumberFormat="1" applyFont="1" applyFill="1" applyBorder="1" applyAlignment="1">
      <alignment vertical="center"/>
    </xf>
    <xf numFmtId="3" fontId="27" fillId="2" borderId="71" xfId="4" applyNumberFormat="1" applyFont="1" applyFill="1" applyBorder="1" applyAlignment="1">
      <alignment vertical="center"/>
    </xf>
    <xf numFmtId="3" fontId="31" fillId="2" borderId="12" xfId="4" applyNumberFormat="1" applyFont="1" applyFill="1" applyBorder="1" applyAlignment="1">
      <alignment vertical="center"/>
    </xf>
    <xf numFmtId="3" fontId="31" fillId="2" borderId="23" xfId="4" applyNumberFormat="1" applyFont="1" applyFill="1" applyBorder="1" applyAlignment="1">
      <alignment vertical="center"/>
    </xf>
    <xf numFmtId="0" fontId="7" fillId="27" borderId="14" xfId="4" applyFont="1" applyFill="1" applyBorder="1" applyAlignment="1">
      <alignment vertical="center"/>
    </xf>
    <xf numFmtId="3" fontId="29" fillId="27" borderId="32" xfId="4" applyNumberFormat="1" applyFont="1" applyFill="1" applyBorder="1" applyAlignment="1">
      <alignment vertical="center" wrapText="1"/>
    </xf>
    <xf numFmtId="3" fontId="29" fillId="13" borderId="32" xfId="4" applyNumberFormat="1" applyFont="1" applyFill="1" applyBorder="1" applyAlignment="1">
      <alignment vertical="center" wrapText="1"/>
    </xf>
    <xf numFmtId="0" fontId="27" fillId="13" borderId="21" xfId="4" applyFont="1" applyFill="1" applyBorder="1" applyAlignment="1">
      <alignment vertical="center"/>
    </xf>
    <xf numFmtId="43" fontId="31" fillId="2" borderId="74" xfId="1" applyFont="1" applyFill="1" applyBorder="1" applyAlignment="1">
      <alignment vertical="center"/>
    </xf>
    <xf numFmtId="3" fontId="7" fillId="8" borderId="43" xfId="4" applyNumberFormat="1" applyFont="1" applyFill="1" applyBorder="1" applyAlignment="1">
      <alignment vertical="center" wrapText="1"/>
    </xf>
    <xf numFmtId="3" fontId="32" fillId="0" borderId="0" xfId="0" applyNumberFormat="1" applyFont="1" applyAlignment="1">
      <alignment vertical="center"/>
    </xf>
    <xf numFmtId="0" fontId="32" fillId="0" borderId="0" xfId="0" applyFont="1" applyAlignment="1">
      <alignment vertical="center"/>
    </xf>
    <xf numFmtId="0" fontId="28" fillId="55" borderId="20" xfId="0" quotePrefix="1" applyFont="1" applyFill="1" applyBorder="1" applyAlignment="1">
      <alignment horizontal="center" vertical="center"/>
    </xf>
    <xf numFmtId="3" fontId="27" fillId="55" borderId="9" xfId="0" quotePrefix="1" applyNumberFormat="1" applyFont="1" applyFill="1" applyBorder="1" applyAlignment="1">
      <alignment horizontal="right" vertical="center"/>
    </xf>
    <xf numFmtId="3" fontId="7" fillId="8" borderId="43" xfId="4" applyNumberFormat="1" applyFont="1" applyFill="1" applyBorder="1" applyAlignment="1">
      <alignment horizontal="center" vertical="center"/>
    </xf>
    <xf numFmtId="3" fontId="29" fillId="8" borderId="34" xfId="4" applyNumberFormat="1" applyFont="1" applyFill="1" applyBorder="1" applyAlignment="1">
      <alignment vertical="center" wrapText="1"/>
    </xf>
    <xf numFmtId="3" fontId="29" fillId="8" borderId="28" xfId="4" applyNumberFormat="1" applyFont="1" applyFill="1" applyBorder="1" applyAlignment="1">
      <alignment vertical="center" wrapText="1"/>
    </xf>
    <xf numFmtId="3" fontId="66" fillId="0" borderId="0" xfId="0" applyNumberFormat="1" applyFont="1" applyAlignment="1">
      <alignment vertical="center"/>
    </xf>
    <xf numFmtId="0" fontId="66" fillId="0" borderId="0" xfId="0" applyFont="1" applyAlignment="1">
      <alignment vertical="center"/>
    </xf>
    <xf numFmtId="0" fontId="24" fillId="8" borderId="6" xfId="4" applyFont="1" applyFill="1" applyBorder="1" applyAlignment="1">
      <alignment horizontal="center" vertical="center" wrapText="1"/>
    </xf>
    <xf numFmtId="0" fontId="7" fillId="0" borderId="94" xfId="4" applyFont="1" applyFill="1" applyBorder="1" applyAlignment="1">
      <alignment vertical="center"/>
    </xf>
    <xf numFmtId="3" fontId="24" fillId="6" borderId="91" xfId="4" applyNumberFormat="1" applyFont="1" applyFill="1" applyBorder="1" applyAlignment="1">
      <alignment vertical="center"/>
    </xf>
    <xf numFmtId="43" fontId="24" fillId="6" borderId="91" xfId="1" applyFont="1" applyFill="1" applyBorder="1" applyAlignment="1">
      <alignment vertical="center"/>
    </xf>
    <xf numFmtId="0" fontId="32" fillId="0" borderId="0" xfId="0" applyFont="1" applyFill="1" applyBorder="1" applyAlignment="1">
      <alignment vertical="center"/>
    </xf>
    <xf numFmtId="0" fontId="32" fillId="0" borderId="3" xfId="0" applyFont="1" applyFill="1" applyBorder="1" applyAlignment="1">
      <alignment vertical="center"/>
    </xf>
    <xf numFmtId="3" fontId="32" fillId="0" borderId="0" xfId="0" applyNumberFormat="1" applyFont="1" applyFill="1" applyBorder="1" applyAlignment="1">
      <alignment vertical="center"/>
    </xf>
    <xf numFmtId="3" fontId="31" fillId="2" borderId="99" xfId="4" applyNumberFormat="1" applyFont="1" applyFill="1" applyBorder="1" applyAlignment="1">
      <alignment vertical="center" wrapText="1"/>
    </xf>
    <xf numFmtId="3" fontId="31" fillId="57" borderId="132" xfId="0" applyNumberFormat="1" applyFont="1" applyFill="1" applyBorder="1" applyAlignment="1">
      <alignment horizontal="right" vertical="center"/>
    </xf>
    <xf numFmtId="3" fontId="31" fillId="59" borderId="132" xfId="0" applyNumberFormat="1" applyFont="1" applyFill="1" applyBorder="1" applyAlignment="1">
      <alignment horizontal="right" vertical="center"/>
    </xf>
    <xf numFmtId="3" fontId="65" fillId="6" borderId="30" xfId="0" applyNumberFormat="1" applyFont="1" applyFill="1" applyBorder="1" applyAlignment="1">
      <alignment vertical="center" wrapText="1"/>
    </xf>
    <xf numFmtId="3" fontId="86" fillId="8" borderId="29" xfId="0" applyNumberFormat="1" applyFont="1" applyFill="1" applyBorder="1" applyAlignment="1">
      <alignment vertical="center" wrapText="1"/>
    </xf>
    <xf numFmtId="3" fontId="6" fillId="2" borderId="9" xfId="0" applyNumberFormat="1" applyFont="1" applyFill="1" applyBorder="1" applyAlignment="1">
      <alignment vertical="center" wrapText="1"/>
    </xf>
    <xf numFmtId="3" fontId="6" fillId="0" borderId="9" xfId="0" applyNumberFormat="1" applyFont="1" applyFill="1" applyBorder="1" applyAlignment="1">
      <alignment vertical="center" wrapText="1"/>
    </xf>
    <xf numFmtId="3" fontId="86" fillId="8" borderId="30" xfId="0" applyNumberFormat="1" applyFont="1" applyFill="1" applyBorder="1" applyAlignment="1">
      <alignment vertical="center" wrapText="1"/>
    </xf>
    <xf numFmtId="3" fontId="6" fillId="0" borderId="47" xfId="0" applyNumberFormat="1" applyFont="1" applyFill="1" applyBorder="1" applyAlignment="1">
      <alignment vertical="center" wrapText="1"/>
    </xf>
    <xf numFmtId="0" fontId="17" fillId="0" borderId="21" xfId="0" applyFont="1" applyFill="1" applyBorder="1" applyAlignment="1">
      <alignment horizontal="center" vertical="center"/>
    </xf>
    <xf numFmtId="3" fontId="29" fillId="0" borderId="29" xfId="4" applyNumberFormat="1" applyFont="1" applyFill="1" applyBorder="1" applyAlignment="1">
      <alignment vertical="center"/>
    </xf>
    <xf numFmtId="3" fontId="27" fillId="2" borderId="104" xfId="4" applyNumberFormat="1" applyFont="1" applyFill="1" applyBorder="1" applyAlignment="1">
      <alignment vertical="center"/>
    </xf>
    <xf numFmtId="3" fontId="31" fillId="0" borderId="173" xfId="4" applyNumberFormat="1" applyFont="1" applyFill="1" applyBorder="1" applyAlignment="1">
      <alignment vertical="center"/>
    </xf>
    <xf numFmtId="43" fontId="27" fillId="0" borderId="118" xfId="1" applyFont="1" applyFill="1" applyBorder="1" applyAlignment="1">
      <alignment horizontal="right" vertical="center"/>
    </xf>
    <xf numFmtId="43" fontId="25" fillId="6" borderId="105" xfId="1" applyFont="1" applyFill="1" applyBorder="1" applyAlignment="1">
      <alignment horizontal="right" vertical="center"/>
    </xf>
    <xf numFmtId="43" fontId="31" fillId="0" borderId="104" xfId="1" applyFont="1" applyFill="1" applyBorder="1" applyAlignment="1">
      <alignment horizontal="right" vertical="center"/>
    </xf>
    <xf numFmtId="43" fontId="7" fillId="0" borderId="104" xfId="1" applyFont="1" applyFill="1" applyBorder="1" applyAlignment="1">
      <alignment horizontal="right" vertical="center"/>
    </xf>
    <xf numFmtId="43" fontId="27" fillId="0" borderId="91" xfId="1" applyFont="1" applyFill="1" applyBorder="1" applyAlignment="1">
      <alignment horizontal="right" vertical="center"/>
    </xf>
    <xf numFmtId="3" fontId="31" fillId="0" borderId="75" xfId="4" applyNumberFormat="1" applyFont="1" applyFill="1" applyBorder="1" applyAlignment="1">
      <alignment horizontal="right" vertical="center"/>
    </xf>
    <xf numFmtId="3" fontId="31" fillId="0" borderId="65" xfId="4" applyNumberFormat="1" applyFont="1" applyFill="1" applyBorder="1" applyAlignment="1"/>
    <xf numFmtId="3" fontId="31" fillId="0" borderId="29" xfId="4" applyNumberFormat="1" applyFont="1" applyFill="1" applyBorder="1" applyAlignment="1"/>
    <xf numFmtId="3" fontId="13" fillId="0" borderId="0" xfId="0" applyNumberFormat="1" applyFont="1" applyFill="1" applyBorder="1" applyAlignment="1">
      <alignment horizontal="left"/>
    </xf>
    <xf numFmtId="0" fontId="24" fillId="32" borderId="12" xfId="4" applyFont="1" applyFill="1" applyBorder="1" applyAlignment="1">
      <alignment horizontal="center" vertical="center" wrapText="1"/>
    </xf>
    <xf numFmtId="0" fontId="17" fillId="2" borderId="2" xfId="0" applyFont="1" applyFill="1" applyBorder="1" applyAlignment="1">
      <alignment vertical="center" wrapText="1"/>
    </xf>
    <xf numFmtId="0" fontId="17" fillId="2" borderId="7" xfId="0" applyFont="1" applyFill="1" applyBorder="1" applyAlignment="1">
      <alignment vertical="center" wrapText="1"/>
    </xf>
    <xf numFmtId="0" fontId="17" fillId="2" borderId="74" xfId="0" applyFont="1" applyFill="1" applyBorder="1" applyAlignment="1">
      <alignment horizontal="center" vertical="center" wrapText="1"/>
    </xf>
    <xf numFmtId="0" fontId="17" fillId="2" borderId="24" xfId="0" applyFont="1" applyFill="1" applyBorder="1" applyAlignment="1">
      <alignment horizontal="center" vertical="center" wrapText="1"/>
    </xf>
    <xf numFmtId="0" fontId="24" fillId="32" borderId="13" xfId="4" applyFont="1" applyFill="1" applyBorder="1" applyAlignment="1">
      <alignment horizontal="center" vertical="center" wrapText="1"/>
    </xf>
    <xf numFmtId="0" fontId="21" fillId="32" borderId="39" xfId="0" applyFont="1" applyFill="1" applyBorder="1" applyAlignment="1">
      <alignment horizontal="center" vertical="top"/>
    </xf>
    <xf numFmtId="0" fontId="18" fillId="32" borderId="39" xfId="0" quotePrefix="1" applyFont="1" applyFill="1" applyBorder="1" applyAlignment="1">
      <alignment horizontal="center" vertical="top"/>
    </xf>
    <xf numFmtId="3" fontId="27" fillId="57" borderId="93" xfId="4" applyNumberFormat="1" applyFont="1" applyFill="1" applyBorder="1" applyAlignment="1">
      <alignment horizontal="right" vertical="center"/>
    </xf>
    <xf numFmtId="3" fontId="27" fillId="59" borderId="93" xfId="4" applyNumberFormat="1" applyFont="1" applyFill="1" applyBorder="1" applyAlignment="1">
      <alignment horizontal="right" vertical="center"/>
    </xf>
    <xf numFmtId="3" fontId="29" fillId="55" borderId="93" xfId="4" applyNumberFormat="1" applyFont="1" applyFill="1" applyBorder="1" applyAlignment="1">
      <alignment horizontal="right" vertical="center"/>
    </xf>
    <xf numFmtId="3" fontId="29" fillId="55" borderId="27" xfId="4" applyNumberFormat="1" applyFont="1" applyFill="1" applyBorder="1" applyAlignment="1">
      <alignment horizontal="right" vertical="center"/>
    </xf>
    <xf numFmtId="3" fontId="31" fillId="0" borderId="132" xfId="4" applyNumberFormat="1" applyFont="1" applyFill="1" applyBorder="1" applyAlignment="1">
      <alignment vertical="center"/>
    </xf>
    <xf numFmtId="3" fontId="31" fillId="0" borderId="149" xfId="4" applyNumberFormat="1" applyFont="1" applyFill="1" applyBorder="1" applyAlignment="1">
      <alignment vertical="center"/>
    </xf>
    <xf numFmtId="0" fontId="43" fillId="2" borderId="24" xfId="0" applyFont="1" applyFill="1" applyBorder="1" applyAlignment="1"/>
    <xf numFmtId="0" fontId="62" fillId="2" borderId="24" xfId="0" applyFont="1" applyFill="1" applyBorder="1" applyAlignment="1"/>
    <xf numFmtId="3" fontId="31" fillId="0" borderId="132" xfId="4" applyNumberFormat="1" applyFont="1" applyFill="1" applyBorder="1" applyAlignment="1"/>
    <xf numFmtId="3" fontId="31" fillId="0" borderId="149" xfId="4" applyNumberFormat="1" applyFont="1" applyFill="1" applyBorder="1" applyAlignment="1"/>
    <xf numFmtId="0" fontId="32" fillId="0" borderId="145" xfId="0" applyFont="1" applyBorder="1"/>
    <xf numFmtId="4" fontId="31" fillId="0" borderId="13" xfId="4" applyNumberFormat="1" applyFont="1" applyFill="1" applyBorder="1" applyAlignment="1">
      <alignment vertical="top"/>
    </xf>
    <xf numFmtId="0" fontId="28" fillId="0" borderId="0" xfId="0" applyFont="1" applyFill="1" applyAlignment="1">
      <alignment vertical="center"/>
    </xf>
    <xf numFmtId="0" fontId="28" fillId="0" borderId="0" xfId="0" applyFont="1" applyFill="1" applyAlignment="1">
      <alignment horizontal="left" vertical="center"/>
    </xf>
    <xf numFmtId="0" fontId="28" fillId="0" borderId="0" xfId="112" applyFont="1" applyFill="1" applyBorder="1" applyAlignment="1">
      <alignment vertical="center"/>
    </xf>
    <xf numFmtId="0" fontId="28" fillId="0" borderId="0" xfId="112" applyFont="1" applyFill="1" applyBorder="1" applyAlignment="1">
      <alignment horizontal="left" vertical="center"/>
    </xf>
    <xf numFmtId="0" fontId="17" fillId="32" borderId="12" xfId="4" applyFont="1" applyFill="1" applyBorder="1" applyAlignment="1">
      <alignment horizontal="center" vertical="center" wrapText="1"/>
    </xf>
    <xf numFmtId="0" fontId="18" fillId="0" borderId="132" xfId="112" quotePrefix="1" applyFont="1" applyBorder="1" applyAlignment="1">
      <alignment horizontal="center" vertical="center"/>
    </xf>
    <xf numFmtId="0" fontId="18" fillId="2" borderId="132" xfId="112" quotePrefix="1" applyFont="1" applyFill="1" applyBorder="1" applyAlignment="1">
      <alignment horizontal="center" vertical="center"/>
    </xf>
    <xf numFmtId="3" fontId="29" fillId="55" borderId="17" xfId="4" applyNumberFormat="1" applyFont="1" applyFill="1" applyBorder="1" applyAlignment="1">
      <alignment horizontal="right" vertical="center"/>
    </xf>
    <xf numFmtId="3" fontId="29" fillId="55" borderId="23" xfId="112" quotePrefix="1" applyNumberFormat="1" applyFont="1" applyFill="1" applyBorder="1" applyAlignment="1">
      <alignment horizontal="right" vertical="center"/>
    </xf>
    <xf numFmtId="3" fontId="79" fillId="38" borderId="41" xfId="0" applyNumberFormat="1" applyFont="1" applyFill="1" applyBorder="1" applyAlignment="1">
      <alignment vertical="center" wrapText="1"/>
    </xf>
    <xf numFmtId="3" fontId="82" fillId="6" borderId="173" xfId="0" applyNumberFormat="1" applyFont="1" applyFill="1" applyBorder="1" applyAlignment="1">
      <alignment vertical="center" wrapText="1"/>
    </xf>
    <xf numFmtId="3" fontId="83" fillId="40" borderId="176" xfId="0" applyNumberFormat="1" applyFont="1" applyFill="1" applyBorder="1" applyAlignment="1">
      <alignment horizontal="center" vertical="center" wrapText="1"/>
    </xf>
    <xf numFmtId="3" fontId="31" fillId="0" borderId="175" xfId="4" applyNumberFormat="1" applyFont="1" applyFill="1" applyBorder="1" applyAlignment="1">
      <alignment vertical="center"/>
    </xf>
    <xf numFmtId="3" fontId="25" fillId="6" borderId="140" xfId="0" applyNumberFormat="1" applyFont="1" applyFill="1" applyBorder="1" applyAlignment="1">
      <alignment vertical="top"/>
    </xf>
    <xf numFmtId="3" fontId="25" fillId="57" borderId="140" xfId="0" applyNumberFormat="1" applyFont="1" applyFill="1" applyBorder="1" applyAlignment="1">
      <alignment vertical="top"/>
    </xf>
    <xf numFmtId="3" fontId="25" fillId="59" borderId="140" xfId="0" applyNumberFormat="1" applyFont="1" applyFill="1" applyBorder="1" applyAlignment="1">
      <alignment vertical="top"/>
    </xf>
    <xf numFmtId="3" fontId="25" fillId="22" borderId="140" xfId="0" applyNumberFormat="1" applyFont="1" applyFill="1" applyBorder="1" applyAlignment="1">
      <alignment vertical="top"/>
    </xf>
    <xf numFmtId="3" fontId="27" fillId="2" borderId="140" xfId="0" applyNumberFormat="1" applyFont="1" applyFill="1" applyBorder="1" applyAlignment="1">
      <alignment vertical="top"/>
    </xf>
    <xf numFmtId="3" fontId="27" fillId="57" borderId="140" xfId="0" applyNumberFormat="1" applyFont="1" applyFill="1" applyBorder="1" applyAlignment="1">
      <alignment vertical="top"/>
    </xf>
    <xf numFmtId="3" fontId="27" fillId="59" borderId="140" xfId="0" applyNumberFormat="1" applyFont="1" applyFill="1" applyBorder="1" applyAlignment="1">
      <alignment vertical="top"/>
    </xf>
    <xf numFmtId="3" fontId="31" fillId="0" borderId="140" xfId="0" applyNumberFormat="1" applyFont="1" applyFill="1" applyBorder="1" applyAlignment="1">
      <alignment vertical="top"/>
    </xf>
    <xf numFmtId="3" fontId="31" fillId="57" borderId="140" xfId="0" applyNumberFormat="1" applyFont="1" applyFill="1" applyBorder="1" applyAlignment="1">
      <alignment vertical="top"/>
    </xf>
    <xf numFmtId="3" fontId="31" fillId="59" borderId="140" xfId="0" applyNumberFormat="1" applyFont="1" applyFill="1" applyBorder="1" applyAlignment="1">
      <alignment vertical="top"/>
    </xf>
    <xf numFmtId="3" fontId="31" fillId="25" borderId="173" xfId="0" applyNumberFormat="1" applyFont="1" applyFill="1" applyBorder="1" applyAlignment="1">
      <alignment vertical="top"/>
    </xf>
    <xf numFmtId="3" fontId="27" fillId="0" borderId="140" xfId="0" applyNumberFormat="1" applyFont="1" applyFill="1" applyBorder="1" applyAlignment="1">
      <alignment vertical="top"/>
    </xf>
    <xf numFmtId="3" fontId="31" fillId="57" borderId="139" xfId="0" applyNumberFormat="1" applyFont="1" applyFill="1" applyBorder="1" applyAlignment="1">
      <alignment horizontal="right" vertical="center"/>
    </xf>
    <xf numFmtId="3" fontId="31" fillId="59" borderId="139" xfId="0" applyNumberFormat="1" applyFont="1" applyFill="1" applyBorder="1" applyAlignment="1">
      <alignment horizontal="right" vertical="center"/>
    </xf>
    <xf numFmtId="3" fontId="31" fillId="57" borderId="173" xfId="0" applyNumberFormat="1" applyFont="1" applyFill="1" applyBorder="1" applyAlignment="1">
      <alignment vertical="top"/>
    </xf>
    <xf numFmtId="3" fontId="31" fillId="59" borderId="173" xfId="0" applyNumberFormat="1" applyFont="1" applyFill="1" applyBorder="1" applyAlignment="1">
      <alignment vertical="top"/>
    </xf>
    <xf numFmtId="0" fontId="7" fillId="23" borderId="35" xfId="0" applyFont="1" applyFill="1" applyBorder="1" applyAlignment="1">
      <alignment vertical="top"/>
    </xf>
    <xf numFmtId="3" fontId="40" fillId="0" borderId="173" xfId="0" applyNumberFormat="1" applyFont="1" applyFill="1" applyBorder="1" applyAlignment="1">
      <alignment vertical="center"/>
    </xf>
    <xf numFmtId="3" fontId="40" fillId="0" borderId="132" xfId="0" applyNumberFormat="1" applyFont="1" applyFill="1" applyBorder="1" applyAlignment="1">
      <alignment vertical="center"/>
    </xf>
    <xf numFmtId="3" fontId="31" fillId="0" borderId="174" xfId="4" applyNumberFormat="1" applyFont="1" applyFill="1" applyBorder="1" applyAlignment="1"/>
    <xf numFmtId="0" fontId="24" fillId="8" borderId="173" xfId="4" applyFont="1" applyFill="1" applyBorder="1" applyAlignment="1">
      <alignment vertical="center" wrapText="1"/>
    </xf>
    <xf numFmtId="0" fontId="24" fillId="8" borderId="173" xfId="4" applyFont="1" applyFill="1" applyBorder="1" applyAlignment="1">
      <alignment horizontal="center" vertical="center" wrapText="1"/>
    </xf>
    <xf numFmtId="3" fontId="24" fillId="8" borderId="173" xfId="4" applyNumberFormat="1" applyFont="1" applyFill="1" applyBorder="1" applyAlignment="1">
      <alignment horizontal="right" vertical="center"/>
    </xf>
    <xf numFmtId="3" fontId="24" fillId="22" borderId="173" xfId="4" applyNumberFormat="1" applyFont="1" applyFill="1" applyBorder="1" applyAlignment="1">
      <alignment horizontal="right" vertical="center"/>
    </xf>
    <xf numFmtId="0" fontId="24" fillId="6" borderId="173" xfId="4" applyFont="1" applyFill="1" applyBorder="1" applyAlignment="1">
      <alignment horizontal="left" vertical="center"/>
    </xf>
    <xf numFmtId="0" fontId="25" fillId="6" borderId="173" xfId="4" applyFont="1" applyFill="1" applyBorder="1" applyAlignment="1">
      <alignment horizontal="left" vertical="center"/>
    </xf>
    <xf numFmtId="3" fontId="25" fillId="22" borderId="173" xfId="4" applyNumberFormat="1" applyFont="1" applyFill="1" applyBorder="1" applyAlignment="1">
      <alignment horizontal="right" vertical="center"/>
    </xf>
    <xf numFmtId="3" fontId="29" fillId="2" borderId="173" xfId="4" applyNumberFormat="1" applyFont="1" applyFill="1" applyBorder="1" applyAlignment="1">
      <alignment vertical="top" wrapText="1"/>
    </xf>
    <xf numFmtId="0" fontId="7" fillId="0" borderId="173" xfId="4" applyFont="1" applyFill="1" applyBorder="1" applyAlignment="1">
      <alignment vertical="top"/>
    </xf>
    <xf numFmtId="3" fontId="31" fillId="0" borderId="175" xfId="4" applyNumberFormat="1" applyFont="1" applyFill="1" applyBorder="1" applyAlignment="1"/>
    <xf numFmtId="3" fontId="7" fillId="25" borderId="173" xfId="4" applyNumberFormat="1" applyFont="1" applyFill="1" applyBorder="1" applyAlignment="1">
      <alignment horizontal="right" vertical="center"/>
    </xf>
    <xf numFmtId="3" fontId="32" fillId="0" borderId="173" xfId="6" applyNumberFormat="1" applyFont="1" applyFill="1" applyBorder="1" applyAlignment="1">
      <alignment vertical="center"/>
    </xf>
    <xf numFmtId="0" fontId="29" fillId="2" borderId="173" xfId="4" applyFont="1" applyFill="1" applyBorder="1" applyAlignment="1">
      <alignment vertical="top"/>
    </xf>
    <xf numFmtId="3" fontId="33" fillId="0" borderId="173" xfId="6" applyNumberFormat="1" applyFont="1" applyFill="1" applyBorder="1" applyAlignment="1">
      <alignment vertical="center"/>
    </xf>
    <xf numFmtId="3" fontId="33" fillId="25" borderId="173" xfId="6" applyNumberFormat="1" applyFont="1" applyFill="1" applyBorder="1" applyAlignment="1">
      <alignment vertical="center"/>
    </xf>
    <xf numFmtId="3" fontId="24" fillId="6" borderId="173" xfId="4" applyNumberFormat="1" applyFont="1" applyFill="1" applyBorder="1" applyAlignment="1"/>
    <xf numFmtId="3" fontId="31" fillId="0" borderId="173" xfId="0" applyNumberFormat="1" applyFont="1" applyFill="1" applyBorder="1" applyAlignment="1">
      <alignment horizontal="right"/>
    </xf>
    <xf numFmtId="3" fontId="31" fillId="0" borderId="173" xfId="0" applyNumberFormat="1" applyFont="1" applyFill="1" applyBorder="1" applyAlignment="1">
      <alignment horizontal="right" vertical="center"/>
    </xf>
    <xf numFmtId="3" fontId="31" fillId="0" borderId="174" xfId="4" applyNumberFormat="1" applyFont="1" applyFill="1" applyBorder="1" applyAlignment="1">
      <alignment vertical="center"/>
    </xf>
    <xf numFmtId="3" fontId="24" fillId="6" borderId="174" xfId="4" applyNumberFormat="1" applyFont="1" applyFill="1" applyBorder="1" applyAlignment="1">
      <alignment horizontal="right" vertical="center"/>
    </xf>
    <xf numFmtId="3" fontId="27" fillId="13" borderId="179" xfId="4" applyNumberFormat="1" applyFont="1" applyFill="1" applyBorder="1" applyAlignment="1">
      <alignment vertical="center" wrapText="1"/>
    </xf>
    <xf numFmtId="3" fontId="32" fillId="13" borderId="174" xfId="6" applyNumberFormat="1" applyFont="1" applyFill="1" applyBorder="1" applyAlignment="1">
      <alignment vertical="center"/>
    </xf>
    <xf numFmtId="0" fontId="7" fillId="13" borderId="179" xfId="4" applyFont="1" applyFill="1" applyBorder="1" applyAlignment="1">
      <alignment vertical="center"/>
    </xf>
    <xf numFmtId="0" fontId="27" fillId="13" borderId="179" xfId="4" applyFont="1" applyFill="1" applyBorder="1" applyAlignment="1">
      <alignment vertical="center"/>
    </xf>
    <xf numFmtId="0" fontId="27" fillId="13" borderId="178" xfId="4" applyFont="1" applyFill="1" applyBorder="1" applyAlignment="1">
      <alignment vertical="center"/>
    </xf>
    <xf numFmtId="3" fontId="33" fillId="13" borderId="174" xfId="6" applyNumberFormat="1" applyFont="1" applyFill="1" applyBorder="1" applyAlignment="1">
      <alignment vertical="center"/>
    </xf>
    <xf numFmtId="0" fontId="7" fillId="13" borderId="178" xfId="4" applyFont="1" applyFill="1" applyBorder="1" applyAlignment="1">
      <alignment vertical="center"/>
    </xf>
    <xf numFmtId="3" fontId="32" fillId="13" borderId="149" xfId="6" applyNumberFormat="1" applyFont="1" applyFill="1" applyBorder="1" applyAlignment="1">
      <alignment vertical="center"/>
    </xf>
    <xf numFmtId="3" fontId="25" fillId="6" borderId="174" xfId="4" applyNumberFormat="1" applyFont="1" applyFill="1" applyBorder="1" applyAlignment="1">
      <alignment horizontal="right" vertical="center"/>
    </xf>
    <xf numFmtId="0" fontId="7" fillId="0" borderId="179" xfId="4" applyFont="1" applyFill="1" applyBorder="1" applyAlignment="1">
      <alignment vertical="center"/>
    </xf>
    <xf numFmtId="3" fontId="31" fillId="25" borderId="174" xfId="4" applyNumberFormat="1" applyFont="1" applyFill="1" applyBorder="1" applyAlignment="1">
      <alignment horizontal="right" vertical="center"/>
    </xf>
    <xf numFmtId="3" fontId="29" fillId="2" borderId="174" xfId="4" applyNumberFormat="1" applyFont="1" applyFill="1" applyBorder="1" applyAlignment="1">
      <alignment vertical="center"/>
    </xf>
    <xf numFmtId="0" fontId="25" fillId="6" borderId="178" xfId="4" applyFont="1" applyFill="1" applyBorder="1" applyAlignment="1">
      <alignment horizontal="center" vertical="center"/>
    </xf>
    <xf numFmtId="43" fontId="25" fillId="6" borderId="174" xfId="1" applyFont="1" applyFill="1" applyBorder="1" applyAlignment="1">
      <alignment horizontal="right" vertical="center"/>
    </xf>
    <xf numFmtId="43" fontId="27" fillId="0" borderId="174" xfId="1" applyFont="1" applyFill="1" applyBorder="1" applyAlignment="1">
      <alignment horizontal="right" vertical="center"/>
    </xf>
    <xf numFmtId="43" fontId="7" fillId="0" borderId="174" xfId="1" applyFont="1" applyFill="1" applyBorder="1" applyAlignment="1">
      <alignment horizontal="right" vertical="center"/>
    </xf>
    <xf numFmtId="0" fontId="27" fillId="2" borderId="136" xfId="4" applyFont="1" applyFill="1" applyBorder="1" applyAlignment="1">
      <alignment vertical="center"/>
    </xf>
    <xf numFmtId="43" fontId="33" fillId="0" borderId="174" xfId="1" applyFont="1" applyFill="1" applyBorder="1" applyAlignment="1">
      <alignment vertical="center"/>
    </xf>
    <xf numFmtId="3" fontId="27" fillId="2" borderId="179" xfId="4" applyNumberFormat="1" applyFont="1" applyFill="1" applyBorder="1" applyAlignment="1">
      <alignment vertical="center" wrapText="1"/>
    </xf>
    <xf numFmtId="0" fontId="7" fillId="0" borderId="151" xfId="4" applyFont="1" applyFill="1" applyBorder="1" applyAlignment="1">
      <alignment vertical="center"/>
    </xf>
    <xf numFmtId="3" fontId="31" fillId="2" borderId="132" xfId="4" applyNumberFormat="1" applyFont="1" applyFill="1" applyBorder="1" applyAlignment="1">
      <alignment vertical="center"/>
    </xf>
    <xf numFmtId="3" fontId="31" fillId="2" borderId="149" xfId="4" applyNumberFormat="1" applyFont="1" applyFill="1" applyBorder="1" applyAlignment="1">
      <alignment vertical="center"/>
    </xf>
    <xf numFmtId="43" fontId="31" fillId="2" borderId="132" xfId="1" applyFont="1" applyFill="1" applyBorder="1" applyAlignment="1">
      <alignment vertical="center"/>
    </xf>
    <xf numFmtId="43" fontId="25" fillId="6" borderId="173" xfId="1" applyFont="1" applyFill="1" applyBorder="1" applyAlignment="1">
      <alignment horizontal="right" vertical="center"/>
    </xf>
    <xf numFmtId="0" fontId="31" fillId="0" borderId="136" xfId="4" applyFont="1" applyFill="1" applyBorder="1" applyAlignment="1">
      <alignment vertical="center"/>
    </xf>
    <xf numFmtId="3" fontId="7" fillId="0" borderId="184" xfId="4" applyNumberFormat="1" applyFont="1" applyFill="1" applyBorder="1" applyAlignment="1">
      <alignment horizontal="right" vertical="center"/>
    </xf>
    <xf numFmtId="3" fontId="31" fillId="0" borderId="184" xfId="4" applyNumberFormat="1" applyFont="1" applyFill="1" applyBorder="1" applyAlignment="1">
      <alignment horizontal="right" vertical="center"/>
    </xf>
    <xf numFmtId="43" fontId="7" fillId="0" borderId="184" xfId="1" applyFont="1" applyFill="1" applyBorder="1" applyAlignment="1">
      <alignment horizontal="right" vertical="center"/>
    </xf>
    <xf numFmtId="43" fontId="33" fillId="0" borderId="173" xfId="1" applyFont="1" applyFill="1" applyBorder="1" applyAlignment="1">
      <alignment vertical="center"/>
    </xf>
    <xf numFmtId="43" fontId="32" fillId="0" borderId="173" xfId="1" applyFont="1" applyFill="1" applyBorder="1" applyAlignment="1">
      <alignment vertical="center"/>
    </xf>
    <xf numFmtId="0" fontId="27" fillId="2" borderId="179" xfId="4" applyFont="1" applyFill="1" applyBorder="1" applyAlignment="1">
      <alignment vertical="center"/>
    </xf>
    <xf numFmtId="43" fontId="7" fillId="0" borderId="132" xfId="1" applyFont="1" applyFill="1" applyBorder="1" applyAlignment="1">
      <alignment horizontal="right" vertical="center"/>
    </xf>
    <xf numFmtId="3" fontId="31" fillId="0" borderId="183" xfId="4" applyNumberFormat="1" applyFont="1" applyFill="1" applyBorder="1" applyAlignment="1">
      <alignment horizontal="right" vertical="center"/>
    </xf>
    <xf numFmtId="3" fontId="31" fillId="2" borderId="174" xfId="4" applyNumberFormat="1" applyFont="1" applyFill="1" applyBorder="1" applyAlignment="1">
      <alignment horizontal="right" vertical="center"/>
    </xf>
    <xf numFmtId="43" fontId="31" fillId="0" borderId="175" xfId="1" applyFont="1" applyFill="1" applyBorder="1" applyAlignment="1">
      <alignment horizontal="right" vertical="center"/>
    </xf>
    <xf numFmtId="43" fontId="33" fillId="0" borderId="174" xfId="1" applyFont="1" applyFill="1" applyBorder="1" applyAlignment="1">
      <alignment horizontal="right" vertical="center"/>
    </xf>
    <xf numFmtId="3" fontId="31" fillId="0" borderId="149" xfId="4" applyNumberFormat="1" applyFont="1" applyFill="1" applyBorder="1" applyAlignment="1">
      <alignment horizontal="right" vertical="center"/>
    </xf>
    <xf numFmtId="3" fontId="31" fillId="2" borderId="173" xfId="4" applyNumberFormat="1" applyFont="1" applyFill="1" applyBorder="1" applyAlignment="1">
      <alignment horizontal="right" vertical="center"/>
    </xf>
    <xf numFmtId="43" fontId="23" fillId="6" borderId="174" xfId="1" applyFont="1" applyFill="1" applyBorder="1" applyAlignment="1">
      <alignment horizontal="right" vertical="center"/>
    </xf>
    <xf numFmtId="3" fontId="7" fillId="0" borderId="175" xfId="4" applyNumberFormat="1" applyFont="1" applyFill="1" applyBorder="1" applyAlignment="1">
      <alignment horizontal="right" vertical="center"/>
    </xf>
    <xf numFmtId="3" fontId="24" fillId="22" borderId="174" xfId="4" applyNumberFormat="1" applyFont="1" applyFill="1" applyBorder="1" applyAlignment="1">
      <alignment horizontal="right" vertical="center"/>
    </xf>
    <xf numFmtId="3" fontId="31" fillId="0" borderId="135" xfId="4" applyNumberFormat="1" applyFont="1" applyFill="1" applyBorder="1" applyAlignment="1">
      <alignment horizontal="right" vertical="center"/>
    </xf>
    <xf numFmtId="3" fontId="31" fillId="2" borderId="149" xfId="4" applyNumberFormat="1" applyFont="1" applyFill="1" applyBorder="1" applyAlignment="1">
      <alignment horizontal="right" vertical="center"/>
    </xf>
    <xf numFmtId="43" fontId="31" fillId="0" borderId="149" xfId="1" applyFont="1" applyFill="1" applyBorder="1" applyAlignment="1">
      <alignment horizontal="right" vertical="center"/>
    </xf>
    <xf numFmtId="3" fontId="31" fillId="25" borderId="149" xfId="4" applyNumberFormat="1" applyFont="1" applyFill="1" applyBorder="1" applyAlignment="1">
      <alignment horizontal="right" vertical="center"/>
    </xf>
    <xf numFmtId="0" fontId="90" fillId="0" borderId="105" xfId="5" applyFont="1" applyBorder="1" applyAlignment="1">
      <alignment horizontal="left" vertical="center" wrapText="1"/>
    </xf>
    <xf numFmtId="0" fontId="90" fillId="0" borderId="174" xfId="5" applyFont="1" applyBorder="1" applyAlignment="1">
      <alignment horizontal="left" vertical="center" wrapText="1"/>
    </xf>
    <xf numFmtId="0" fontId="90" fillId="0" borderId="140" xfId="5" applyFont="1" applyBorder="1" applyAlignment="1">
      <alignment horizontal="left" vertical="center" wrapText="1"/>
    </xf>
    <xf numFmtId="0" fontId="25" fillId="2" borderId="42" xfId="0" applyFont="1" applyFill="1" applyBorder="1" applyAlignment="1">
      <alignment horizontal="center" vertical="top"/>
    </xf>
    <xf numFmtId="0" fontId="19" fillId="2" borderId="4" xfId="0" applyFont="1" applyFill="1" applyBorder="1" applyAlignment="1">
      <alignment vertical="center" wrapText="1"/>
    </xf>
    <xf numFmtId="3" fontId="25" fillId="6" borderId="183" xfId="4" applyNumberFormat="1" applyFont="1" applyFill="1" applyBorder="1" applyAlignment="1">
      <alignment vertical="center"/>
    </xf>
    <xf numFmtId="3" fontId="29" fillId="0" borderId="183" xfId="4" applyNumberFormat="1" applyFont="1" applyFill="1" applyBorder="1" applyAlignment="1">
      <alignment horizontal="right" vertical="center"/>
    </xf>
    <xf numFmtId="3" fontId="24" fillId="6" borderId="183" xfId="4" applyNumberFormat="1" applyFont="1" applyFill="1" applyBorder="1" applyAlignment="1">
      <alignment vertical="center"/>
    </xf>
    <xf numFmtId="3" fontId="91" fillId="0" borderId="104" xfId="5" applyNumberFormat="1" applyFont="1" applyBorder="1" applyAlignment="1">
      <alignment horizontal="center" vertical="center"/>
    </xf>
    <xf numFmtId="3" fontId="91" fillId="0" borderId="154" xfId="5" applyNumberFormat="1" applyFont="1" applyBorder="1" applyAlignment="1">
      <alignment vertical="center"/>
    </xf>
    <xf numFmtId="3" fontId="91" fillId="0" borderId="173" xfId="5" applyNumberFormat="1" applyFont="1" applyBorder="1" applyAlignment="1">
      <alignment vertical="center"/>
    </xf>
    <xf numFmtId="3" fontId="91" fillId="0" borderId="104" xfId="5" applyNumberFormat="1" applyFont="1" applyBorder="1" applyAlignment="1">
      <alignment vertical="center"/>
    </xf>
    <xf numFmtId="3" fontId="27" fillId="2" borderId="183" xfId="4" applyNumberFormat="1" applyFont="1" applyFill="1" applyBorder="1" applyAlignment="1">
      <alignment vertical="center" wrapText="1"/>
    </xf>
    <xf numFmtId="0" fontId="7" fillId="0" borderId="173" xfId="4" applyFont="1" applyFill="1" applyBorder="1" applyAlignment="1">
      <alignment vertical="center"/>
    </xf>
    <xf numFmtId="0" fontId="7" fillId="8" borderId="77" xfId="4" applyFont="1" applyFill="1" applyBorder="1" applyAlignment="1">
      <alignment vertical="top"/>
    </xf>
    <xf numFmtId="0" fontId="7" fillId="8" borderId="149" xfId="4" applyFont="1" applyFill="1" applyBorder="1" applyAlignment="1">
      <alignment vertical="top"/>
    </xf>
    <xf numFmtId="3" fontId="31" fillId="8" borderId="132" xfId="4" applyNumberFormat="1" applyFont="1" applyFill="1" applyBorder="1" applyAlignment="1">
      <alignment vertical="top"/>
    </xf>
    <xf numFmtId="3" fontId="25" fillId="8" borderId="35" xfId="4" applyNumberFormat="1" applyFont="1" applyFill="1" applyBorder="1" applyAlignment="1">
      <alignment horizontal="center" vertical="center"/>
    </xf>
    <xf numFmtId="43" fontId="69" fillId="32" borderId="29" xfId="1" applyFont="1" applyFill="1" applyBorder="1" applyAlignment="1">
      <alignment vertical="center" wrapText="1"/>
    </xf>
    <xf numFmtId="0" fontId="7" fillId="0" borderId="36" xfId="4" applyFont="1" applyFill="1" applyBorder="1" applyAlignment="1">
      <alignment vertical="center"/>
    </xf>
    <xf numFmtId="3" fontId="7" fillId="0" borderId="9" xfId="4" applyNumberFormat="1" applyFont="1" applyFill="1" applyBorder="1" applyAlignment="1">
      <alignment horizontal="right" vertical="center"/>
    </xf>
    <xf numFmtId="3" fontId="91" fillId="0" borderId="173" xfId="5" applyNumberFormat="1" applyFont="1" applyBorder="1" applyAlignment="1">
      <alignment horizontal="center" vertical="center"/>
    </xf>
    <xf numFmtId="0" fontId="24" fillId="6" borderId="178" xfId="4" applyFont="1" applyFill="1" applyBorder="1" applyAlignment="1">
      <alignment horizontal="left" vertical="center"/>
    </xf>
    <xf numFmtId="43" fontId="91" fillId="0" borderId="154" xfId="1" applyFont="1" applyBorder="1" applyAlignment="1">
      <alignment vertical="center"/>
    </xf>
    <xf numFmtId="0" fontId="25" fillId="6" borderId="179" xfId="4" applyFont="1" applyFill="1" applyBorder="1" applyAlignment="1">
      <alignment horizontal="left" vertical="center"/>
    </xf>
    <xf numFmtId="0" fontId="31" fillId="0" borderId="179" xfId="4" applyFont="1" applyFill="1" applyBorder="1" applyAlignment="1">
      <alignment vertical="center"/>
    </xf>
    <xf numFmtId="3" fontId="32" fillId="0" borderId="174" xfId="6" applyNumberFormat="1" applyFont="1" applyFill="1" applyBorder="1" applyAlignment="1">
      <alignment vertical="center"/>
    </xf>
    <xf numFmtId="3" fontId="27" fillId="2" borderId="173" xfId="4" applyNumberFormat="1" applyFont="1" applyFill="1" applyBorder="1" applyAlignment="1">
      <alignment vertical="center"/>
    </xf>
    <xf numFmtId="43" fontId="32" fillId="0" borderId="174" xfId="1" applyFont="1" applyFill="1" applyBorder="1" applyAlignment="1">
      <alignment vertical="center"/>
    </xf>
    <xf numFmtId="43" fontId="31" fillId="0" borderId="174" xfId="1" applyFont="1" applyFill="1" applyBorder="1" applyAlignment="1">
      <alignment horizontal="right" vertical="center"/>
    </xf>
    <xf numFmtId="43" fontId="29" fillId="2" borderId="174" xfId="1" applyFont="1" applyFill="1" applyBorder="1" applyAlignment="1">
      <alignment vertical="center"/>
    </xf>
    <xf numFmtId="3" fontId="29" fillId="13" borderId="174" xfId="4" applyNumberFormat="1" applyFont="1" applyFill="1" applyBorder="1" applyAlignment="1">
      <alignment horizontal="right" vertical="center"/>
    </xf>
    <xf numFmtId="3" fontId="7" fillId="13" borderId="174" xfId="4" applyNumberFormat="1" applyFont="1" applyFill="1" applyBorder="1" applyAlignment="1">
      <alignment horizontal="right" vertical="center"/>
    </xf>
    <xf numFmtId="0" fontId="29" fillId="13" borderId="179" xfId="4" applyFont="1" applyFill="1" applyBorder="1" applyAlignment="1">
      <alignment vertical="center"/>
    </xf>
    <xf numFmtId="0" fontId="29" fillId="13" borderId="178" xfId="4" applyFont="1" applyFill="1" applyBorder="1" applyAlignment="1">
      <alignment vertical="center"/>
    </xf>
    <xf numFmtId="3" fontId="27" fillId="13" borderId="174" xfId="4" applyNumberFormat="1" applyFont="1" applyFill="1" applyBorder="1" applyAlignment="1">
      <alignment horizontal="right" vertical="center"/>
    </xf>
    <xf numFmtId="0" fontId="27" fillId="13" borderId="136" xfId="4" applyFont="1" applyFill="1" applyBorder="1" applyAlignment="1">
      <alignment vertical="center"/>
    </xf>
    <xf numFmtId="3" fontId="25" fillId="57" borderId="174" xfId="0" applyNumberFormat="1" applyFont="1" applyFill="1" applyBorder="1" applyAlignment="1">
      <alignment vertical="top"/>
    </xf>
    <xf numFmtId="3" fontId="25" fillId="59" borderId="174" xfId="0" applyNumberFormat="1" applyFont="1" applyFill="1" applyBorder="1" applyAlignment="1">
      <alignment vertical="top"/>
    </xf>
    <xf numFmtId="3" fontId="25" fillId="22" borderId="174" xfId="0" applyNumberFormat="1" applyFont="1" applyFill="1" applyBorder="1" applyAlignment="1">
      <alignment vertical="top"/>
    </xf>
    <xf numFmtId="3" fontId="27" fillId="57" borderId="174" xfId="0" applyNumberFormat="1" applyFont="1" applyFill="1" applyBorder="1" applyAlignment="1">
      <alignment vertical="top"/>
    </xf>
    <xf numFmtId="3" fontId="27" fillId="59" borderId="174" xfId="0" applyNumberFormat="1" applyFont="1" applyFill="1" applyBorder="1" applyAlignment="1">
      <alignment vertical="top"/>
    </xf>
    <xf numFmtId="3" fontId="27" fillId="25" borderId="174" xfId="0" applyNumberFormat="1" applyFont="1" applyFill="1" applyBorder="1" applyAlignment="1">
      <alignment vertical="top"/>
    </xf>
    <xf numFmtId="3" fontId="31" fillId="57" borderId="132" xfId="0" applyNumberFormat="1" applyFont="1" applyFill="1" applyBorder="1" applyAlignment="1">
      <alignment vertical="top"/>
    </xf>
    <xf numFmtId="3" fontId="31" fillId="59" borderId="132" xfId="0" applyNumberFormat="1" applyFont="1" applyFill="1" applyBorder="1" applyAlignment="1">
      <alignment vertical="top"/>
    </xf>
    <xf numFmtId="3" fontId="7" fillId="23" borderId="132" xfId="0" applyNumberFormat="1" applyFont="1" applyFill="1" applyBorder="1" applyAlignment="1">
      <alignment vertical="center"/>
    </xf>
    <xf numFmtId="0" fontId="19" fillId="0" borderId="26" xfId="4" applyFont="1" applyFill="1" applyBorder="1" applyAlignment="1">
      <alignment vertical="center" wrapText="1"/>
    </xf>
    <xf numFmtId="0" fontId="19" fillId="0" borderId="68" xfId="4" applyFont="1" applyFill="1" applyBorder="1" applyAlignment="1">
      <alignment vertical="center" wrapText="1"/>
    </xf>
    <xf numFmtId="3" fontId="24" fillId="22" borderId="13" xfId="0" applyNumberFormat="1" applyFont="1" applyFill="1" applyBorder="1" applyAlignment="1">
      <alignment vertical="center"/>
    </xf>
    <xf numFmtId="3" fontId="24" fillId="22" borderId="12" xfId="0" applyNumberFormat="1" applyFont="1" applyFill="1" applyBorder="1" applyAlignment="1">
      <alignment vertical="center"/>
    </xf>
    <xf numFmtId="3" fontId="7" fillId="0" borderId="35" xfId="0" applyNumberFormat="1" applyFont="1" applyFill="1" applyBorder="1" applyAlignment="1">
      <alignment vertical="center"/>
    </xf>
    <xf numFmtId="0" fontId="31" fillId="6" borderId="174" xfId="0" applyFont="1" applyFill="1" applyBorder="1" applyAlignment="1">
      <alignment vertical="top"/>
    </xf>
    <xf numFmtId="3" fontId="24" fillId="22" borderId="174" xfId="0" applyNumberFormat="1" applyFont="1" applyFill="1" applyBorder="1" applyAlignment="1">
      <alignment vertical="top"/>
    </xf>
    <xf numFmtId="3" fontId="27" fillId="2" borderId="174" xfId="0" applyNumberFormat="1" applyFont="1" applyFill="1" applyBorder="1" applyAlignment="1">
      <alignment vertical="center"/>
    </xf>
    <xf numFmtId="3" fontId="27" fillId="57" borderId="174" xfId="0" applyNumberFormat="1" applyFont="1" applyFill="1" applyBorder="1" applyAlignment="1">
      <alignment vertical="center"/>
    </xf>
    <xf numFmtId="3" fontId="27" fillId="59" borderId="174" xfId="0" applyNumberFormat="1" applyFont="1" applyFill="1" applyBorder="1" applyAlignment="1">
      <alignment vertical="center"/>
    </xf>
    <xf numFmtId="3" fontId="29" fillId="26" borderId="174" xfId="0" applyNumberFormat="1" applyFont="1" applyFill="1" applyBorder="1" applyAlignment="1">
      <alignment vertical="center"/>
    </xf>
    <xf numFmtId="0" fontId="17" fillId="0" borderId="11" xfId="0" applyFont="1" applyFill="1" applyBorder="1" applyAlignment="1">
      <alignment vertical="center"/>
    </xf>
    <xf numFmtId="0" fontId="25" fillId="2" borderId="20" xfId="0" applyFont="1" applyFill="1" applyBorder="1" applyAlignment="1">
      <alignment vertical="center" wrapText="1"/>
    </xf>
    <xf numFmtId="3" fontId="31" fillId="0" borderId="27" xfId="4" applyNumberFormat="1" applyFont="1" applyFill="1" applyBorder="1" applyAlignment="1">
      <alignment vertical="center"/>
    </xf>
    <xf numFmtId="3" fontId="32" fillId="0" borderId="35" xfId="0" applyNumberFormat="1" applyFont="1" applyBorder="1"/>
    <xf numFmtId="3" fontId="32" fillId="57" borderId="35" xfId="0" applyNumberFormat="1" applyFont="1" applyFill="1" applyBorder="1"/>
    <xf numFmtId="3" fontId="32" fillId="59" borderId="35" xfId="0" applyNumberFormat="1" applyFont="1" applyFill="1" applyBorder="1"/>
    <xf numFmtId="3" fontId="31" fillId="0" borderId="9" xfId="4" applyNumberFormat="1" applyFont="1" applyFill="1" applyBorder="1" applyAlignment="1">
      <alignment vertical="center"/>
    </xf>
    <xf numFmtId="43" fontId="32" fillId="0" borderId="35" xfId="1" applyFont="1" applyBorder="1"/>
    <xf numFmtId="0" fontId="0" fillId="0" borderId="77" xfId="0" applyFont="1" applyBorder="1"/>
    <xf numFmtId="3" fontId="0" fillId="0" borderId="132" xfId="0" applyNumberFormat="1" applyFont="1" applyBorder="1"/>
    <xf numFmtId="3" fontId="0" fillId="57" borderId="132" xfId="0" applyNumberFormat="1" applyFont="1" applyFill="1" applyBorder="1"/>
    <xf numFmtId="3" fontId="0" fillId="59" borderId="132" xfId="0" applyNumberFormat="1" applyFont="1" applyFill="1" applyBorder="1"/>
    <xf numFmtId="43" fontId="0" fillId="0" borderId="132" xfId="1" applyFont="1" applyBorder="1"/>
    <xf numFmtId="0" fontId="17" fillId="0" borderId="5" xfId="4" applyFont="1" applyBorder="1" applyAlignment="1">
      <alignment horizontal="center" vertical="center"/>
    </xf>
    <xf numFmtId="0" fontId="17" fillId="0" borderId="66" xfId="4" applyFont="1" applyBorder="1" applyAlignment="1">
      <alignment horizontal="center" vertical="center"/>
    </xf>
    <xf numFmtId="3" fontId="27" fillId="21" borderId="184" xfId="4" applyNumberFormat="1" applyFont="1" applyFill="1" applyBorder="1" applyAlignment="1">
      <alignment horizontal="right" vertical="center"/>
    </xf>
    <xf numFmtId="0" fontId="29" fillId="8" borderId="178" xfId="4" applyFont="1" applyFill="1" applyBorder="1" applyAlignment="1">
      <alignment vertical="center"/>
    </xf>
    <xf numFmtId="3" fontId="29" fillId="8" borderId="174" xfId="4" applyNumberFormat="1" applyFont="1" applyFill="1" applyBorder="1" applyAlignment="1">
      <alignment vertical="center"/>
    </xf>
    <xf numFmtId="3" fontId="29" fillId="23" borderId="173" xfId="4" applyNumberFormat="1" applyFont="1" applyFill="1" applyBorder="1" applyAlignment="1">
      <alignment vertical="center"/>
    </xf>
    <xf numFmtId="3" fontId="7" fillId="8" borderId="174" xfId="4" applyNumberFormat="1" applyFont="1" applyFill="1" applyBorder="1" applyAlignment="1">
      <alignment vertical="center"/>
    </xf>
    <xf numFmtId="3" fontId="31" fillId="23" borderId="173" xfId="4" applyNumberFormat="1" applyFont="1" applyFill="1" applyBorder="1" applyAlignment="1">
      <alignment horizontal="right" vertical="center"/>
    </xf>
    <xf numFmtId="3" fontId="7" fillId="8" borderId="179" xfId="4" applyNumberFormat="1" applyFont="1" applyFill="1" applyBorder="1" applyAlignment="1">
      <alignment vertical="center" wrapText="1"/>
    </xf>
    <xf numFmtId="3" fontId="7" fillId="8" borderId="178" xfId="4" applyNumberFormat="1" applyFont="1" applyFill="1" applyBorder="1" applyAlignment="1">
      <alignment vertical="center" wrapText="1"/>
    </xf>
    <xf numFmtId="3" fontId="27" fillId="23" borderId="173" xfId="4" applyNumberFormat="1" applyFont="1" applyFill="1" applyBorder="1" applyAlignment="1">
      <alignment vertical="center"/>
    </xf>
    <xf numFmtId="0" fontId="7" fillId="8" borderId="179" xfId="4" applyFont="1" applyFill="1" applyBorder="1" applyAlignment="1">
      <alignment vertical="center" wrapText="1"/>
    </xf>
    <xf numFmtId="0" fontId="7" fillId="8" borderId="178" xfId="4" applyFont="1" applyFill="1" applyBorder="1" applyAlignment="1">
      <alignment vertical="center" wrapText="1"/>
    </xf>
    <xf numFmtId="0" fontId="7" fillId="8" borderId="136" xfId="4" applyFont="1" applyFill="1" applyBorder="1" applyAlignment="1">
      <alignment vertical="center" wrapText="1"/>
    </xf>
    <xf numFmtId="3" fontId="27" fillId="8" borderId="136" xfId="4" applyNumberFormat="1" applyFont="1" applyFill="1" applyBorder="1" applyAlignment="1">
      <alignment vertical="center" wrapText="1"/>
    </xf>
    <xf numFmtId="3" fontId="27" fillId="8" borderId="178" xfId="4" applyNumberFormat="1" applyFont="1" applyFill="1" applyBorder="1" applyAlignment="1">
      <alignment vertical="center" wrapText="1"/>
    </xf>
    <xf numFmtId="3" fontId="27" fillId="8" borderId="174" xfId="4" applyNumberFormat="1" applyFont="1" applyFill="1" applyBorder="1" applyAlignment="1">
      <alignment vertical="center"/>
    </xf>
    <xf numFmtId="3" fontId="31" fillId="8" borderId="174" xfId="4" applyNumberFormat="1" applyFont="1" applyFill="1" applyBorder="1" applyAlignment="1">
      <alignment vertical="center"/>
    </xf>
    <xf numFmtId="0" fontId="27" fillId="8" borderId="136" xfId="4" applyFont="1" applyFill="1" applyBorder="1" applyAlignment="1">
      <alignment vertical="center"/>
    </xf>
    <xf numFmtId="0" fontId="27" fillId="8" borderId="178" xfId="4" applyFont="1" applyFill="1" applyBorder="1" applyAlignment="1">
      <alignment vertical="center"/>
    </xf>
    <xf numFmtId="0" fontId="7" fillId="8" borderId="179" xfId="4" applyFont="1" applyFill="1" applyBorder="1" applyAlignment="1">
      <alignment vertical="center"/>
    </xf>
    <xf numFmtId="0" fontId="7" fillId="8" borderId="178" xfId="4" applyFont="1" applyFill="1" applyBorder="1" applyAlignment="1">
      <alignment vertical="center"/>
    </xf>
    <xf numFmtId="3" fontId="7" fillId="8" borderId="173" xfId="4" applyNumberFormat="1" applyFont="1" applyFill="1" applyBorder="1" applyAlignment="1">
      <alignment vertical="center"/>
    </xf>
    <xf numFmtId="3" fontId="29" fillId="13" borderId="179" xfId="4" applyNumberFormat="1" applyFont="1" applyFill="1" applyBorder="1" applyAlignment="1">
      <alignment vertical="center" wrapText="1"/>
    </xf>
    <xf numFmtId="3" fontId="29" fillId="13" borderId="178" xfId="4" applyNumberFormat="1" applyFont="1" applyFill="1" applyBorder="1" applyAlignment="1">
      <alignment vertical="center" wrapText="1"/>
    </xf>
    <xf numFmtId="3" fontId="29" fillId="24" borderId="174" xfId="4" applyNumberFormat="1" applyFont="1" applyFill="1" applyBorder="1" applyAlignment="1">
      <alignment horizontal="right" vertical="center"/>
    </xf>
    <xf numFmtId="3" fontId="7" fillId="13" borderId="179" xfId="4" applyNumberFormat="1" applyFont="1" applyFill="1" applyBorder="1" applyAlignment="1">
      <alignment vertical="center" wrapText="1"/>
    </xf>
    <xf numFmtId="3" fontId="7" fillId="13" borderId="178" xfId="4" applyNumberFormat="1" applyFont="1" applyFill="1" applyBorder="1" applyAlignment="1">
      <alignment vertical="center" wrapText="1"/>
    </xf>
    <xf numFmtId="3" fontId="29" fillId="24" borderId="173" xfId="4" applyNumberFormat="1" applyFont="1" applyFill="1" applyBorder="1" applyAlignment="1">
      <alignment horizontal="right" vertical="center"/>
    </xf>
    <xf numFmtId="3" fontId="7" fillId="13" borderId="144" xfId="4" applyNumberFormat="1" applyFont="1" applyFill="1" applyBorder="1" applyAlignment="1">
      <alignment vertical="center" wrapText="1"/>
    </xf>
    <xf numFmtId="3" fontId="7" fillId="13" borderId="142" xfId="4" applyNumberFormat="1" applyFont="1" applyFill="1" applyBorder="1" applyAlignment="1">
      <alignment vertical="center" wrapText="1"/>
    </xf>
    <xf numFmtId="3" fontId="32" fillId="13" borderId="175" xfId="6" applyNumberFormat="1" applyFont="1" applyFill="1" applyBorder="1" applyAlignment="1">
      <alignment vertical="center"/>
    </xf>
    <xf numFmtId="0" fontId="19" fillId="2" borderId="70" xfId="0" applyFont="1" applyFill="1" applyBorder="1" applyAlignment="1">
      <alignment vertical="center" wrapText="1"/>
    </xf>
    <xf numFmtId="0" fontId="19" fillId="2" borderId="173" xfId="0" applyFont="1" applyFill="1" applyBorder="1" applyAlignment="1">
      <alignment vertical="center" wrapText="1"/>
    </xf>
    <xf numFmtId="0" fontId="24" fillId="0" borderId="173" xfId="0" applyFont="1" applyBorder="1" applyAlignment="1">
      <alignment horizontal="center" vertical="center"/>
    </xf>
    <xf numFmtId="0" fontId="25" fillId="0" borderId="173" xfId="4" applyFont="1" applyBorder="1" applyAlignment="1">
      <alignment horizontal="center" vertical="center" wrapText="1"/>
    </xf>
    <xf numFmtId="0" fontId="24" fillId="32" borderId="173" xfId="4" applyFont="1" applyFill="1" applyBorder="1" applyAlignment="1">
      <alignment horizontal="center" vertical="center" wrapText="1"/>
    </xf>
    <xf numFmtId="0" fontId="21" fillId="2" borderId="178" xfId="0" applyFont="1" applyFill="1" applyBorder="1" applyAlignment="1">
      <alignment horizontal="center" vertical="top"/>
    </xf>
    <xf numFmtId="0" fontId="21" fillId="2" borderId="173" xfId="0" applyFont="1" applyFill="1" applyBorder="1" applyAlignment="1">
      <alignment horizontal="center" vertical="top"/>
    </xf>
    <xf numFmtId="0" fontId="21" fillId="2" borderId="173" xfId="0" quotePrefix="1" applyFont="1" applyFill="1" applyBorder="1" applyAlignment="1">
      <alignment horizontal="center" vertical="top"/>
    </xf>
    <xf numFmtId="0" fontId="21" fillId="26" borderId="173" xfId="0" quotePrefix="1" applyFont="1" applyFill="1" applyBorder="1" applyAlignment="1">
      <alignment horizontal="center" vertical="top"/>
    </xf>
    <xf numFmtId="0" fontId="21" fillId="2" borderId="176" xfId="0" quotePrefix="1" applyFont="1" applyFill="1" applyBorder="1" applyAlignment="1">
      <alignment horizontal="center" vertical="top"/>
    </xf>
    <xf numFmtId="0" fontId="27" fillId="55" borderId="173" xfId="4" applyFont="1" applyFill="1" applyBorder="1" applyAlignment="1">
      <alignment horizontal="left" vertical="center"/>
    </xf>
    <xf numFmtId="3" fontId="27" fillId="55" borderId="173" xfId="4" applyNumberFormat="1" applyFont="1" applyFill="1" applyBorder="1" applyAlignment="1">
      <alignment horizontal="right" vertical="center"/>
    </xf>
    <xf numFmtId="3" fontId="27" fillId="21" borderId="173" xfId="4" applyNumberFormat="1" applyFont="1" applyFill="1" applyBorder="1" applyAlignment="1">
      <alignment horizontal="right" vertical="center"/>
    </xf>
    <xf numFmtId="0" fontId="18" fillId="8" borderId="176" xfId="4" applyFont="1" applyFill="1" applyBorder="1" applyAlignment="1">
      <alignment horizontal="center" vertical="top"/>
    </xf>
    <xf numFmtId="0" fontId="27" fillId="55" borderId="173" xfId="0" applyFont="1" applyFill="1" applyBorder="1" applyAlignment="1">
      <alignment horizontal="left" vertical="top"/>
    </xf>
    <xf numFmtId="0" fontId="28" fillId="55" borderId="173" xfId="0" quotePrefix="1" applyFont="1" applyFill="1" applyBorder="1" applyAlignment="1">
      <alignment horizontal="center" vertical="top"/>
    </xf>
    <xf numFmtId="3" fontId="27" fillId="55" borderId="173" xfId="0" quotePrefix="1" applyNumberFormat="1" applyFont="1" applyFill="1" applyBorder="1" applyAlignment="1">
      <alignment horizontal="right" vertical="top"/>
    </xf>
    <xf numFmtId="3" fontId="24" fillId="6" borderId="173" xfId="4" applyNumberFormat="1" applyFont="1" applyFill="1" applyBorder="1" applyAlignment="1">
      <alignment horizontal="right" vertical="center"/>
    </xf>
    <xf numFmtId="3" fontId="18" fillId="8" borderId="176" xfId="4" applyNumberFormat="1" applyFont="1" applyFill="1" applyBorder="1" applyAlignment="1">
      <alignment horizontal="center" vertical="top"/>
    </xf>
    <xf numFmtId="3" fontId="29" fillId="8" borderId="173" xfId="4" applyNumberFormat="1" applyFont="1" applyFill="1" applyBorder="1" applyAlignment="1">
      <alignment vertical="top" wrapText="1"/>
    </xf>
    <xf numFmtId="3" fontId="29" fillId="8" borderId="173" xfId="4" applyNumberFormat="1" applyFont="1" applyFill="1" applyBorder="1" applyAlignment="1">
      <alignment horizontal="right" vertical="center"/>
    </xf>
    <xf numFmtId="3" fontId="29" fillId="23" borderId="173" xfId="4" applyNumberFormat="1" applyFont="1" applyFill="1" applyBorder="1" applyAlignment="1">
      <alignment horizontal="right" vertical="center"/>
    </xf>
    <xf numFmtId="3" fontId="7" fillId="8" borderId="173" xfId="4" applyNumberFormat="1" applyFont="1" applyFill="1" applyBorder="1" applyAlignment="1">
      <alignment vertical="top" wrapText="1"/>
    </xf>
    <xf numFmtId="3" fontId="32" fillId="8" borderId="173" xfId="0" applyNumberFormat="1" applyFont="1" applyFill="1" applyBorder="1"/>
    <xf numFmtId="3" fontId="28" fillId="23" borderId="173" xfId="4" applyNumberFormat="1" applyFont="1" applyFill="1" applyBorder="1" applyAlignment="1">
      <alignment horizontal="right" vertical="center"/>
    </xf>
    <xf numFmtId="0" fontId="7" fillId="8" borderId="173" xfId="4" applyFont="1" applyFill="1" applyBorder="1" applyAlignment="1">
      <alignment vertical="top" wrapText="1"/>
    </xf>
    <xf numFmtId="0" fontId="29" fillId="8" borderId="173" xfId="4" applyFont="1" applyFill="1" applyBorder="1" applyAlignment="1">
      <alignment vertical="top"/>
    </xf>
    <xf numFmtId="0" fontId="7" fillId="8" borderId="183" xfId="4" applyFont="1" applyFill="1" applyBorder="1" applyAlignment="1">
      <alignment vertical="top" wrapText="1"/>
    </xf>
    <xf numFmtId="3" fontId="28" fillId="8" borderId="173" xfId="4" applyNumberFormat="1" applyFont="1" applyFill="1" applyBorder="1" applyAlignment="1">
      <alignment horizontal="right" vertical="center"/>
    </xf>
    <xf numFmtId="3" fontId="7" fillId="8" borderId="177" xfId="4" applyNumberFormat="1" applyFont="1" applyFill="1" applyBorder="1" applyAlignment="1">
      <alignment vertical="top" wrapText="1"/>
    </xf>
    <xf numFmtId="3" fontId="32" fillId="8" borderId="173" xfId="6" applyNumberFormat="1" applyFont="1" applyFill="1" applyBorder="1" applyAlignment="1">
      <alignment vertical="center"/>
    </xf>
    <xf numFmtId="0" fontId="25" fillId="6" borderId="177" xfId="4" applyFont="1" applyFill="1" applyBorder="1" applyAlignment="1">
      <alignment horizontal="left" vertical="center"/>
    </xf>
    <xf numFmtId="3" fontId="29" fillId="8" borderId="177" xfId="4" applyNumberFormat="1" applyFont="1" applyFill="1" applyBorder="1" applyAlignment="1">
      <alignment vertical="top" wrapText="1"/>
    </xf>
    <xf numFmtId="3" fontId="27" fillId="8" borderId="173" xfId="4" applyNumberFormat="1" applyFont="1" applyFill="1" applyBorder="1" applyAlignment="1">
      <alignment vertical="top" wrapText="1"/>
    </xf>
    <xf numFmtId="3" fontId="33" fillId="8" borderId="173" xfId="6" applyNumberFormat="1" applyFont="1" applyFill="1" applyBorder="1" applyAlignment="1">
      <alignment vertical="center"/>
    </xf>
    <xf numFmtId="0" fontId="7" fillId="8" borderId="177" xfId="4" applyFont="1" applyFill="1" applyBorder="1" applyAlignment="1">
      <alignment vertical="top" wrapText="1"/>
    </xf>
    <xf numFmtId="0" fontId="7" fillId="8" borderId="173" xfId="4" applyFont="1" applyFill="1" applyBorder="1" applyAlignment="1">
      <alignment horizontal="left" vertical="center"/>
    </xf>
    <xf numFmtId="0" fontId="27" fillId="8" borderId="177" xfId="4" applyFont="1" applyFill="1" applyBorder="1" applyAlignment="1">
      <alignment vertical="center"/>
    </xf>
    <xf numFmtId="0" fontId="27" fillId="8" borderId="173" xfId="4" applyFont="1" applyFill="1" applyBorder="1" applyAlignment="1">
      <alignment vertical="center"/>
    </xf>
    <xf numFmtId="0" fontId="18" fillId="8" borderId="176" xfId="4" applyFont="1" applyFill="1" applyBorder="1" applyAlignment="1">
      <alignment horizontal="center" vertical="center"/>
    </xf>
    <xf numFmtId="3" fontId="66" fillId="8" borderId="184" xfId="6" applyNumberFormat="1" applyFont="1" applyFill="1" applyBorder="1" applyAlignment="1">
      <alignment vertical="center"/>
    </xf>
    <xf numFmtId="3" fontId="33" fillId="8" borderId="184" xfId="6" applyNumberFormat="1" applyFont="1" applyFill="1" applyBorder="1" applyAlignment="1">
      <alignment vertical="center"/>
    </xf>
    <xf numFmtId="3" fontId="27" fillId="23" borderId="173" xfId="4" applyNumberFormat="1" applyFont="1" applyFill="1" applyBorder="1" applyAlignment="1">
      <alignment horizontal="right" vertical="center"/>
    </xf>
    <xf numFmtId="3" fontId="7" fillId="25" borderId="173" xfId="4" applyNumberFormat="1" applyFont="1" applyFill="1" applyBorder="1" applyAlignment="1">
      <alignment horizontal="center" vertical="center"/>
    </xf>
    <xf numFmtId="3" fontId="33" fillId="23" borderId="173" xfId="6" applyNumberFormat="1" applyFont="1" applyFill="1" applyBorder="1" applyAlignment="1">
      <alignment vertical="center"/>
    </xf>
    <xf numFmtId="0" fontId="29" fillId="2" borderId="173" xfId="4" applyFont="1" applyFill="1" applyBorder="1" applyAlignment="1">
      <alignment vertical="center"/>
    </xf>
    <xf numFmtId="0" fontId="32" fillId="0" borderId="173" xfId="0" applyFont="1" applyBorder="1"/>
    <xf numFmtId="3" fontId="8" fillId="2" borderId="51" xfId="0" applyNumberFormat="1" applyFont="1" applyFill="1" applyBorder="1" applyAlignment="1">
      <alignment horizontal="left" vertical="top"/>
    </xf>
    <xf numFmtId="0" fontId="34" fillId="57" borderId="51" xfId="0" applyFont="1" applyFill="1" applyBorder="1" applyAlignment="1">
      <alignment vertical="top"/>
    </xf>
    <xf numFmtId="0" fontId="34" fillId="59" borderId="51" xfId="0" applyFont="1" applyFill="1" applyBorder="1" applyAlignment="1">
      <alignment vertical="top"/>
    </xf>
    <xf numFmtId="0" fontId="34" fillId="0" borderId="51" xfId="0" applyFont="1" applyFill="1" applyBorder="1" applyAlignment="1">
      <alignment vertical="top"/>
    </xf>
    <xf numFmtId="3" fontId="27" fillId="8" borderId="173" xfId="0" applyNumberFormat="1" applyFont="1" applyFill="1" applyBorder="1" applyAlignment="1">
      <alignment vertical="center"/>
    </xf>
    <xf numFmtId="3" fontId="27" fillId="57" borderId="173" xfId="0" applyNumberFormat="1" applyFont="1" applyFill="1" applyBorder="1" applyAlignment="1">
      <alignment vertical="center"/>
    </xf>
    <xf numFmtId="3" fontId="27" fillId="59" borderId="173" xfId="0" applyNumberFormat="1" applyFont="1" applyFill="1" applyBorder="1" applyAlignment="1">
      <alignment vertical="center"/>
    </xf>
    <xf numFmtId="3" fontId="27" fillId="23" borderId="173" xfId="0" applyNumberFormat="1" applyFont="1" applyFill="1" applyBorder="1" applyAlignment="1">
      <alignment vertical="center"/>
    </xf>
    <xf numFmtId="3" fontId="31" fillId="28" borderId="173" xfId="0" applyNumberFormat="1" applyFont="1" applyFill="1" applyBorder="1" applyAlignment="1">
      <alignment vertical="center"/>
    </xf>
    <xf numFmtId="3" fontId="31" fillId="58" borderId="173" xfId="0" applyNumberFormat="1" applyFont="1" applyFill="1" applyBorder="1" applyAlignment="1">
      <alignment vertical="center"/>
    </xf>
    <xf numFmtId="3" fontId="31" fillId="60" borderId="173" xfId="0" applyNumberFormat="1" applyFont="1" applyFill="1" applyBorder="1" applyAlignment="1">
      <alignment vertical="center"/>
    </xf>
    <xf numFmtId="3" fontId="27" fillId="32" borderId="174" xfId="0" applyNumberFormat="1" applyFont="1" applyFill="1" applyBorder="1" applyAlignment="1">
      <alignment vertical="center"/>
    </xf>
    <xf numFmtId="43" fontId="27" fillId="32" borderId="174" xfId="1" applyFont="1" applyFill="1" applyBorder="1" applyAlignment="1">
      <alignment vertical="center"/>
    </xf>
    <xf numFmtId="3" fontId="31" fillId="2" borderId="132" xfId="0" applyNumberFormat="1" applyFont="1" applyFill="1" applyBorder="1" applyAlignment="1">
      <alignment vertical="top"/>
    </xf>
    <xf numFmtId="3" fontId="31" fillId="32" borderId="132" xfId="0" applyNumberFormat="1" applyFont="1" applyFill="1" applyBorder="1" applyAlignment="1">
      <alignment vertical="top"/>
    </xf>
    <xf numFmtId="43" fontId="31" fillId="32" borderId="132" xfId="1" applyFont="1" applyFill="1" applyBorder="1" applyAlignment="1">
      <alignment vertical="top"/>
    </xf>
    <xf numFmtId="3" fontId="24" fillId="22" borderId="70" xfId="0" applyNumberFormat="1" applyFont="1" applyFill="1" applyBorder="1" applyAlignment="1">
      <alignment vertical="top"/>
    </xf>
    <xf numFmtId="0" fontId="0" fillId="0" borderId="0" xfId="0" applyFont="1" applyBorder="1"/>
    <xf numFmtId="0" fontId="93" fillId="0" borderId="0" xfId="0" applyFont="1" applyAlignment="1">
      <alignment horizontal="center" vertical="center"/>
    </xf>
    <xf numFmtId="0" fontId="8" fillId="0" borderId="0" xfId="0" applyFont="1"/>
    <xf numFmtId="0" fontId="8" fillId="0" borderId="0" xfId="0" applyFont="1" applyBorder="1"/>
    <xf numFmtId="0" fontId="13" fillId="0" borderId="0" xfId="0" applyFont="1" applyFill="1" applyAlignment="1"/>
    <xf numFmtId="0" fontId="11" fillId="0" borderId="0" xfId="0" applyFont="1" applyFill="1" applyAlignment="1"/>
    <xf numFmtId="0" fontId="0" fillId="0" borderId="0" xfId="0" applyFont="1"/>
    <xf numFmtId="0" fontId="13" fillId="0" borderId="0" xfId="0" applyFont="1" applyFill="1" applyAlignment="1">
      <alignment horizontal="left"/>
    </xf>
    <xf numFmtId="0" fontId="28" fillId="0" borderId="0" xfId="0" applyFont="1" applyFill="1" applyAlignment="1">
      <alignment horizontal="left"/>
    </xf>
    <xf numFmtId="0" fontId="60" fillId="0" borderId="0" xfId="0" applyFont="1" applyFill="1" applyAlignment="1">
      <alignment horizontal="left"/>
    </xf>
    <xf numFmtId="0" fontId="94" fillId="2" borderId="0" xfId="0" applyFont="1" applyFill="1" applyBorder="1" applyAlignment="1">
      <alignment horizontal="center" wrapText="1"/>
    </xf>
    <xf numFmtId="0" fontId="95" fillId="2" borderId="0" xfId="0" applyFont="1" applyFill="1" applyBorder="1" applyAlignment="1">
      <alignment horizontal="center" vertical="center"/>
    </xf>
    <xf numFmtId="0" fontId="96" fillId="2" borderId="0" xfId="0" applyFont="1" applyFill="1" applyBorder="1" applyAlignment="1">
      <alignment horizontal="center" vertical="center"/>
    </xf>
    <xf numFmtId="0" fontId="43" fillId="2" borderId="0" xfId="0" applyFont="1" applyFill="1" applyBorder="1" applyAlignment="1">
      <alignment horizontal="center" vertical="center" wrapText="1"/>
    </xf>
    <xf numFmtId="0" fontId="19" fillId="2" borderId="14" xfId="0" applyFont="1" applyFill="1" applyBorder="1" applyAlignment="1">
      <alignment horizontal="center"/>
    </xf>
    <xf numFmtId="3" fontId="8" fillId="0" borderId="0" xfId="0" applyNumberFormat="1" applyFont="1" applyBorder="1"/>
    <xf numFmtId="0" fontId="19" fillId="2" borderId="6" xfId="0" applyFont="1" applyFill="1" applyBorder="1" applyAlignment="1">
      <alignment horizontal="center"/>
    </xf>
    <xf numFmtId="0" fontId="37" fillId="0" borderId="12" xfId="0" applyFont="1" applyBorder="1" applyAlignment="1">
      <alignment horizontal="center" vertical="center" wrapText="1"/>
    </xf>
    <xf numFmtId="0" fontId="19" fillId="57" borderId="12" xfId="0" applyFont="1" applyFill="1" applyBorder="1" applyAlignment="1">
      <alignment horizontal="center" vertical="center"/>
    </xf>
    <xf numFmtId="0" fontId="36" fillId="0" borderId="12" xfId="4" applyFont="1" applyBorder="1" applyAlignment="1">
      <alignment horizontal="center" vertical="center" wrapText="1"/>
    </xf>
    <xf numFmtId="0" fontId="36" fillId="0" borderId="13" xfId="4" applyFont="1" applyBorder="1" applyAlignment="1">
      <alignment horizontal="center" vertical="center" wrapText="1"/>
    </xf>
    <xf numFmtId="0" fontId="19" fillId="32" borderId="13" xfId="0" applyFont="1" applyFill="1" applyBorder="1" applyAlignment="1">
      <alignment horizontal="center" vertical="center"/>
    </xf>
    <xf numFmtId="0" fontId="19" fillId="0" borderId="13" xfId="0" applyFont="1" applyBorder="1" applyAlignment="1">
      <alignment horizontal="center" vertical="center"/>
    </xf>
    <xf numFmtId="0" fontId="19" fillId="0" borderId="10" xfId="0" applyFont="1" applyBorder="1" applyAlignment="1">
      <alignment horizontal="center" vertical="center"/>
    </xf>
    <xf numFmtId="0" fontId="19" fillId="0" borderId="63" xfId="0" applyFont="1" applyBorder="1" applyAlignment="1">
      <alignment horizontal="center" vertical="center"/>
    </xf>
    <xf numFmtId="3" fontId="8" fillId="0" borderId="0" xfId="0" applyNumberFormat="1" applyFont="1"/>
    <xf numFmtId="0" fontId="7" fillId="0" borderId="14" xfId="0" applyFont="1" applyBorder="1" applyAlignment="1">
      <alignment horizontal="center"/>
    </xf>
    <xf numFmtId="0" fontId="7" fillId="0" borderId="4" xfId="0" quotePrefix="1" applyFont="1" applyBorder="1" applyAlignment="1">
      <alignment horizontal="center"/>
    </xf>
    <xf numFmtId="3" fontId="7" fillId="0" borderId="4" xfId="0" applyNumberFormat="1" applyFont="1" applyBorder="1" applyAlignment="1">
      <alignment horizontal="center"/>
    </xf>
    <xf numFmtId="3" fontId="7" fillId="0" borderId="15" xfId="0" applyNumberFormat="1" applyFont="1" applyBorder="1" applyAlignment="1">
      <alignment horizontal="center"/>
    </xf>
    <xf numFmtId="3" fontId="7" fillId="0" borderId="15" xfId="0" quotePrefix="1" applyNumberFormat="1" applyFont="1" applyBorder="1" applyAlignment="1">
      <alignment horizontal="center"/>
    </xf>
    <xf numFmtId="3" fontId="7" fillId="32" borderId="15" xfId="0" quotePrefix="1" applyNumberFormat="1" applyFont="1" applyFill="1" applyBorder="1" applyAlignment="1">
      <alignment horizontal="center"/>
    </xf>
    <xf numFmtId="3" fontId="7" fillId="0" borderId="2" xfId="0" quotePrefix="1" applyNumberFormat="1" applyFont="1" applyBorder="1" applyAlignment="1">
      <alignment horizontal="center"/>
    </xf>
    <xf numFmtId="3" fontId="7" fillId="0" borderId="39" xfId="0" quotePrefix="1" applyNumberFormat="1" applyFont="1" applyBorder="1" applyAlignment="1">
      <alignment horizontal="center"/>
    </xf>
    <xf numFmtId="3" fontId="7" fillId="0" borderId="50" xfId="0" quotePrefix="1" applyNumberFormat="1" applyFont="1" applyBorder="1" applyAlignment="1">
      <alignment horizontal="center"/>
    </xf>
    <xf numFmtId="3" fontId="7" fillId="0" borderId="4" xfId="0" quotePrefix="1" applyNumberFormat="1" applyFont="1" applyBorder="1" applyAlignment="1">
      <alignment horizontal="center"/>
    </xf>
    <xf numFmtId="0" fontId="7" fillId="0" borderId="66" xfId="0" quotePrefix="1" applyFont="1" applyBorder="1" applyAlignment="1">
      <alignment horizontal="center"/>
    </xf>
    <xf numFmtId="0" fontId="7" fillId="3" borderId="5" xfId="0" quotePrefix="1" applyFont="1" applyFill="1" applyBorder="1" applyAlignment="1">
      <alignment horizontal="center"/>
    </xf>
    <xf numFmtId="0" fontId="88" fillId="4" borderId="16" xfId="4" applyFont="1" applyFill="1" applyBorder="1" applyAlignment="1">
      <alignment horizontal="left" vertical="center"/>
    </xf>
    <xf numFmtId="3" fontId="88" fillId="4" borderId="17" xfId="0" applyNumberFormat="1" applyFont="1" applyFill="1" applyBorder="1" applyAlignment="1">
      <alignment horizontal="right" vertical="center" wrapText="1"/>
    </xf>
    <xf numFmtId="3" fontId="88" fillId="32" borderId="17" xfId="0" applyNumberFormat="1" applyFont="1" applyFill="1" applyBorder="1" applyAlignment="1">
      <alignment horizontal="right" vertical="center" wrapText="1"/>
    </xf>
    <xf numFmtId="3" fontId="88" fillId="4" borderId="45" xfId="0" applyNumberFormat="1" applyFont="1" applyFill="1" applyBorder="1" applyAlignment="1">
      <alignment horizontal="right" vertical="center" wrapText="1"/>
    </xf>
    <xf numFmtId="3" fontId="88" fillId="5" borderId="19" xfId="0" applyNumberFormat="1" applyFont="1" applyFill="1" applyBorder="1" applyAlignment="1">
      <alignment horizontal="right" vertical="center" wrapText="1"/>
    </xf>
    <xf numFmtId="3" fontId="0" fillId="0" borderId="85" xfId="0" applyNumberFormat="1" applyFont="1" applyBorder="1" applyAlignment="1">
      <alignment vertical="center"/>
    </xf>
    <xf numFmtId="3" fontId="8" fillId="0" borderId="7" xfId="0" applyNumberFormat="1" applyFont="1" applyBorder="1" applyAlignment="1">
      <alignment vertical="center"/>
    </xf>
    <xf numFmtId="3" fontId="8" fillId="0" borderId="9" xfId="0" applyNumberFormat="1" applyFont="1" applyBorder="1" applyAlignment="1">
      <alignment vertical="center"/>
    </xf>
    <xf numFmtId="0" fontId="8" fillId="0" borderId="0" xfId="0" applyFont="1" applyAlignment="1">
      <alignment vertical="center"/>
    </xf>
    <xf numFmtId="0" fontId="36" fillId="4" borderId="20" xfId="0" applyFont="1" applyFill="1" applyBorder="1" applyAlignment="1">
      <alignment horizontal="left" vertical="center"/>
    </xf>
    <xf numFmtId="3" fontId="36" fillId="4" borderId="9" xfId="0" quotePrefix="1" applyNumberFormat="1" applyFont="1" applyFill="1" applyBorder="1" applyAlignment="1">
      <alignment horizontal="right" vertical="center"/>
    </xf>
    <xf numFmtId="3" fontId="19" fillId="4" borderId="9" xfId="0" quotePrefix="1" applyNumberFormat="1" applyFont="1" applyFill="1" applyBorder="1" applyAlignment="1">
      <alignment horizontal="right" vertical="center"/>
    </xf>
    <xf numFmtId="3" fontId="19" fillId="32" borderId="9" xfId="0" quotePrefix="1" applyNumberFormat="1" applyFont="1" applyFill="1" applyBorder="1" applyAlignment="1">
      <alignment horizontal="right" vertical="center"/>
    </xf>
    <xf numFmtId="3" fontId="36" fillId="4" borderId="36" xfId="0" applyNumberFormat="1" applyFont="1" applyFill="1" applyBorder="1" applyAlignment="1">
      <alignment horizontal="right" vertical="center" wrapText="1"/>
    </xf>
    <xf numFmtId="3" fontId="6" fillId="3" borderId="21" xfId="0" applyNumberFormat="1" applyFont="1" applyFill="1" applyBorder="1" applyAlignment="1">
      <alignment vertical="center" wrapText="1"/>
    </xf>
    <xf numFmtId="0" fontId="36" fillId="4" borderId="22" xfId="0" applyFont="1" applyFill="1" applyBorder="1" applyAlignment="1">
      <alignment horizontal="left" vertical="center"/>
    </xf>
    <xf numFmtId="3" fontId="36" fillId="4" borderId="23" xfId="0" quotePrefix="1" applyNumberFormat="1" applyFont="1" applyFill="1" applyBorder="1" applyAlignment="1">
      <alignment horizontal="right" vertical="center"/>
    </xf>
    <xf numFmtId="3" fontId="19" fillId="4" borderId="23" xfId="0" quotePrefix="1" applyNumberFormat="1" applyFont="1" applyFill="1" applyBorder="1" applyAlignment="1">
      <alignment horizontal="right" vertical="center"/>
    </xf>
    <xf numFmtId="3" fontId="19" fillId="32" borderId="23" xfId="0" quotePrefix="1" applyNumberFormat="1" applyFont="1" applyFill="1" applyBorder="1" applyAlignment="1">
      <alignment horizontal="right" vertical="center"/>
    </xf>
    <xf numFmtId="3" fontId="36" fillId="4" borderId="69" xfId="0" applyNumberFormat="1" applyFont="1" applyFill="1" applyBorder="1" applyAlignment="1">
      <alignment horizontal="right" vertical="center" wrapText="1"/>
    </xf>
    <xf numFmtId="0" fontId="7" fillId="0" borderId="26" xfId="0" applyFont="1" applyFill="1" applyBorder="1" applyAlignment="1">
      <alignment vertical="center" wrapText="1"/>
    </xf>
    <xf numFmtId="3" fontId="7" fillId="0" borderId="0" xfId="0" applyNumberFormat="1" applyFont="1" applyFill="1" applyBorder="1" applyAlignment="1">
      <alignment vertical="center" wrapText="1"/>
    </xf>
    <xf numFmtId="0" fontId="88" fillId="6" borderId="28" xfId="4" applyFont="1" applyFill="1" applyBorder="1" applyAlignment="1">
      <alignment horizontal="left" vertical="center"/>
    </xf>
    <xf numFmtId="3" fontId="88" fillId="6" borderId="29" xfId="0" applyNumberFormat="1" applyFont="1" applyFill="1" applyBorder="1" applyAlignment="1">
      <alignment horizontal="right" vertical="center" wrapText="1"/>
    </xf>
    <xf numFmtId="3" fontId="88" fillId="6" borderId="30" xfId="0" applyNumberFormat="1" applyFont="1" applyFill="1" applyBorder="1" applyAlignment="1">
      <alignment horizontal="right" vertical="center" wrapText="1"/>
    </xf>
    <xf numFmtId="3" fontId="88" fillId="32" borderId="30" xfId="0" applyNumberFormat="1" applyFont="1" applyFill="1" applyBorder="1" applyAlignment="1">
      <alignment horizontal="right" vertical="center" wrapText="1"/>
    </xf>
    <xf numFmtId="3" fontId="88" fillId="6" borderId="34" xfId="0" applyNumberFormat="1" applyFont="1" applyFill="1" applyBorder="1" applyAlignment="1">
      <alignment horizontal="right" vertical="center" wrapText="1"/>
    </xf>
    <xf numFmtId="3" fontId="88" fillId="7" borderId="32" xfId="0" applyNumberFormat="1" applyFont="1" applyFill="1" applyBorder="1" applyAlignment="1">
      <alignment horizontal="right" vertical="center" wrapText="1"/>
    </xf>
    <xf numFmtId="0" fontId="97" fillId="0" borderId="0" xfId="0" applyFont="1" applyFill="1" applyBorder="1" applyAlignment="1">
      <alignment vertical="center"/>
    </xf>
    <xf numFmtId="0" fontId="69" fillId="8" borderId="20" xfId="4" applyFont="1" applyFill="1" applyBorder="1" applyAlignment="1">
      <alignment vertical="center"/>
    </xf>
    <xf numFmtId="3" fontId="69" fillId="8" borderId="9" xfId="0" applyNumberFormat="1" applyFont="1" applyFill="1" applyBorder="1" applyAlignment="1">
      <alignment horizontal="right" vertical="center" wrapText="1"/>
    </xf>
    <xf numFmtId="3" fontId="69" fillId="32" borderId="9" xfId="0" applyNumberFormat="1" applyFont="1" applyFill="1" applyBorder="1" applyAlignment="1">
      <alignment horizontal="right" vertical="center" wrapText="1"/>
    </xf>
    <xf numFmtId="3" fontId="69" fillId="8" borderId="36" xfId="0" applyNumberFormat="1" applyFont="1" applyFill="1" applyBorder="1" applyAlignment="1">
      <alignment horizontal="right" vertical="center" wrapText="1"/>
    </xf>
    <xf numFmtId="3" fontId="69" fillId="9" borderId="21" xfId="0" applyNumberFormat="1" applyFont="1" applyFill="1" applyBorder="1" applyAlignment="1">
      <alignment horizontal="right" vertical="center" wrapText="1"/>
    </xf>
    <xf numFmtId="0" fontId="8" fillId="0" borderId="0" xfId="0" applyFont="1" applyFill="1" applyBorder="1" applyAlignment="1"/>
    <xf numFmtId="0" fontId="8" fillId="0" borderId="20" xfId="0" applyFont="1" applyFill="1" applyBorder="1" applyAlignment="1">
      <alignment vertical="center" wrapText="1"/>
    </xf>
    <xf numFmtId="3" fontId="8" fillId="0" borderId="9" xfId="0" applyNumberFormat="1" applyFont="1" applyFill="1" applyBorder="1" applyAlignment="1">
      <alignment vertical="center" wrapText="1"/>
    </xf>
    <xf numFmtId="3" fontId="8" fillId="32" borderId="9" xfId="0" applyNumberFormat="1" applyFont="1" applyFill="1" applyBorder="1" applyAlignment="1">
      <alignment vertical="center" wrapText="1"/>
    </xf>
    <xf numFmtId="3" fontId="8" fillId="0" borderId="36" xfId="0" applyNumberFormat="1" applyFont="1" applyFill="1" applyBorder="1" applyAlignment="1">
      <alignment vertical="center" wrapText="1"/>
    </xf>
    <xf numFmtId="43" fontId="8" fillId="0" borderId="9" xfId="1" applyFont="1" applyFill="1" applyBorder="1" applyAlignment="1">
      <alignment vertical="center" wrapText="1"/>
    </xf>
    <xf numFmtId="3" fontId="8" fillId="32" borderId="29" xfId="0" applyNumberFormat="1" applyFont="1" applyFill="1" applyBorder="1" applyAlignment="1">
      <alignment vertical="center" wrapText="1"/>
    </xf>
    <xf numFmtId="43" fontId="8" fillId="0" borderId="29" xfId="1" applyFont="1" applyFill="1" applyBorder="1" applyAlignment="1">
      <alignment vertical="center" wrapText="1"/>
    </xf>
    <xf numFmtId="43" fontId="8" fillId="0" borderId="30" xfId="1" applyFont="1" applyFill="1" applyBorder="1" applyAlignment="1">
      <alignment vertical="center" wrapText="1"/>
    </xf>
    <xf numFmtId="3" fontId="8" fillId="0" borderId="30" xfId="0" applyNumberFormat="1" applyFont="1" applyFill="1" applyBorder="1" applyAlignment="1">
      <alignment vertical="center" wrapText="1"/>
    </xf>
    <xf numFmtId="43" fontId="8" fillId="0" borderId="27" xfId="1" applyFont="1" applyFill="1" applyBorder="1" applyAlignment="1">
      <alignment vertical="center" wrapText="1"/>
    </xf>
    <xf numFmtId="3" fontId="8" fillId="0" borderId="27" xfId="0" applyNumberFormat="1" applyFont="1" applyFill="1" applyBorder="1" applyAlignment="1">
      <alignment vertical="center" wrapText="1"/>
    </xf>
    <xf numFmtId="3" fontId="8" fillId="0" borderId="104" xfId="0" applyNumberFormat="1" applyFont="1" applyFill="1" applyBorder="1" applyAlignment="1">
      <alignment vertical="center" wrapText="1"/>
    </xf>
    <xf numFmtId="3" fontId="8" fillId="0" borderId="105" xfId="0" applyNumberFormat="1" applyFont="1" applyFill="1" applyBorder="1" applyAlignment="1">
      <alignment vertical="center" wrapText="1"/>
    </xf>
    <xf numFmtId="3" fontId="8" fillId="32" borderId="27" xfId="0" applyNumberFormat="1" applyFont="1" applyFill="1" applyBorder="1" applyAlignment="1">
      <alignment vertical="center" wrapText="1"/>
    </xf>
    <xf numFmtId="43" fontId="6" fillId="3" borderId="21" xfId="1" applyFont="1" applyFill="1" applyBorder="1" applyAlignment="1">
      <alignment vertical="center" wrapText="1"/>
    </xf>
    <xf numFmtId="3" fontId="69" fillId="32" borderId="29" xfId="0" applyNumberFormat="1" applyFont="1" applyFill="1" applyBorder="1" applyAlignment="1">
      <alignment vertical="center" wrapText="1"/>
    </xf>
    <xf numFmtId="3" fontId="69" fillId="9" borderId="32" xfId="0" applyNumberFormat="1" applyFont="1" applyFill="1" applyBorder="1" applyAlignment="1">
      <alignment vertical="center" wrapText="1"/>
    </xf>
    <xf numFmtId="0" fontId="88" fillId="6" borderId="28" xfId="4" applyFont="1" applyFill="1" applyBorder="1" applyAlignment="1">
      <alignment horizontal="left"/>
    </xf>
    <xf numFmtId="3" fontId="65" fillId="6" borderId="29" xfId="0" applyNumberFormat="1" applyFont="1" applyFill="1" applyBorder="1" applyAlignment="1">
      <alignment wrapText="1"/>
    </xf>
    <xf numFmtId="3" fontId="88" fillId="6" borderId="30" xfId="0" applyNumberFormat="1" applyFont="1" applyFill="1" applyBorder="1" applyAlignment="1">
      <alignment wrapText="1"/>
    </xf>
    <xf numFmtId="3" fontId="65" fillId="6" borderId="30" xfId="0" applyNumberFormat="1" applyFont="1" applyFill="1" applyBorder="1" applyAlignment="1">
      <alignment wrapText="1"/>
    </xf>
    <xf numFmtId="3" fontId="65" fillId="6" borderId="34" xfId="0" applyNumberFormat="1" applyFont="1" applyFill="1" applyBorder="1" applyAlignment="1">
      <alignment wrapText="1"/>
    </xf>
    <xf numFmtId="0" fontId="97" fillId="0" borderId="0" xfId="0" applyFont="1" applyFill="1" applyBorder="1" applyAlignment="1"/>
    <xf numFmtId="3" fontId="86" fillId="8" borderId="34" xfId="0" applyNumberFormat="1" applyFont="1" applyFill="1" applyBorder="1" applyAlignment="1">
      <alignment vertical="center" wrapText="1"/>
    </xf>
    <xf numFmtId="43" fontId="6" fillId="2" borderId="9" xfId="1" applyFont="1" applyFill="1" applyBorder="1" applyAlignment="1">
      <alignment vertical="center" wrapText="1"/>
    </xf>
    <xf numFmtId="3" fontId="8" fillId="0" borderId="0" xfId="0" applyNumberFormat="1" applyFont="1" applyFill="1" applyBorder="1" applyAlignment="1">
      <alignment vertical="center"/>
    </xf>
    <xf numFmtId="3" fontId="8" fillId="32" borderId="30" xfId="0" applyNumberFormat="1" applyFont="1" applyFill="1" applyBorder="1" applyAlignment="1">
      <alignment vertical="center" wrapText="1"/>
    </xf>
    <xf numFmtId="43" fontId="8" fillId="32" borderId="27" xfId="1" applyFont="1" applyFill="1" applyBorder="1" applyAlignment="1">
      <alignment vertical="center" wrapText="1"/>
    </xf>
    <xf numFmtId="3" fontId="69" fillId="32" borderId="30" xfId="0" applyNumberFormat="1" applyFont="1" applyFill="1" applyBorder="1" applyAlignment="1">
      <alignment vertical="center" wrapText="1"/>
    </xf>
    <xf numFmtId="3" fontId="69" fillId="8" borderId="30" xfId="0" applyNumberFormat="1" applyFont="1" applyFill="1" applyBorder="1" applyAlignment="1">
      <alignment vertical="center" wrapText="1"/>
    </xf>
    <xf numFmtId="0" fontId="7" fillId="0" borderId="28" xfId="0" applyFont="1" applyFill="1" applyBorder="1" applyAlignment="1">
      <alignment vertical="center" wrapText="1"/>
    </xf>
    <xf numFmtId="3" fontId="7" fillId="0" borderId="9" xfId="0" applyNumberFormat="1" applyFont="1" applyFill="1" applyBorder="1" applyAlignment="1">
      <alignment vertical="center" wrapText="1"/>
    </xf>
    <xf numFmtId="3" fontId="7" fillId="32" borderId="9" xfId="0" applyNumberFormat="1" applyFont="1" applyFill="1" applyBorder="1" applyAlignment="1">
      <alignment vertical="center" wrapText="1"/>
    </xf>
    <xf numFmtId="3" fontId="7" fillId="0" borderId="8" xfId="0" applyNumberFormat="1" applyFont="1" applyFill="1" applyBorder="1" applyAlignment="1">
      <alignment vertical="center" wrapText="1"/>
    </xf>
    <xf numFmtId="3" fontId="7" fillId="0" borderId="35" xfId="0" applyNumberFormat="1" applyFont="1" applyFill="1" applyBorder="1" applyAlignment="1">
      <alignment vertical="center" wrapText="1"/>
    </xf>
    <xf numFmtId="3" fontId="7" fillId="0" borderId="36" xfId="0" applyNumberFormat="1" applyFont="1" applyFill="1" applyBorder="1" applyAlignment="1">
      <alignment vertical="center" wrapText="1"/>
    </xf>
    <xf numFmtId="3" fontId="7" fillId="0" borderId="13" xfId="0" applyNumberFormat="1" applyFont="1" applyFill="1" applyBorder="1" applyAlignment="1">
      <alignment vertical="center" wrapText="1"/>
    </xf>
    <xf numFmtId="3" fontId="7" fillId="32" borderId="0" xfId="0" applyNumberFormat="1" applyFont="1" applyFill="1" applyBorder="1" applyAlignment="1">
      <alignment vertical="center" wrapText="1"/>
    </xf>
    <xf numFmtId="3" fontId="7" fillId="0" borderId="27" xfId="0" applyNumberFormat="1" applyFont="1" applyFill="1" applyBorder="1" applyAlignment="1">
      <alignment vertical="center" wrapText="1"/>
    </xf>
    <xf numFmtId="3" fontId="7" fillId="2" borderId="67" xfId="0" applyNumberFormat="1" applyFont="1" applyFill="1" applyBorder="1" applyAlignment="1">
      <alignment vertical="center" wrapText="1"/>
    </xf>
    <xf numFmtId="3" fontId="7" fillId="2" borderId="0" xfId="0" applyNumberFormat="1" applyFont="1" applyFill="1" applyBorder="1" applyAlignment="1">
      <alignment vertical="center" wrapText="1"/>
    </xf>
    <xf numFmtId="0" fontId="92" fillId="61" borderId="38" xfId="0" applyFont="1" applyFill="1" applyBorder="1" applyAlignment="1">
      <alignment vertical="center"/>
    </xf>
    <xf numFmtId="3" fontId="65" fillId="61" borderId="39" xfId="0" applyNumberFormat="1" applyFont="1" applyFill="1" applyBorder="1" applyAlignment="1">
      <alignment vertical="center" wrapText="1"/>
    </xf>
    <xf numFmtId="3" fontId="88" fillId="61" borderId="39" xfId="0" applyNumberFormat="1" applyFont="1" applyFill="1" applyBorder="1" applyAlignment="1">
      <alignment vertical="center" wrapText="1"/>
    </xf>
    <xf numFmtId="3" fontId="88" fillId="32" borderId="39" xfId="0" applyNumberFormat="1" applyFont="1" applyFill="1" applyBorder="1" applyAlignment="1">
      <alignment vertical="center" wrapText="1"/>
    </xf>
    <xf numFmtId="3" fontId="65" fillId="61" borderId="80" xfId="0" applyNumberFormat="1" applyFont="1" applyFill="1" applyBorder="1" applyAlignment="1">
      <alignment vertical="center" wrapText="1"/>
    </xf>
    <xf numFmtId="3" fontId="65" fillId="61" borderId="40" xfId="0" applyNumberFormat="1" applyFont="1" applyFill="1" applyBorder="1" applyAlignment="1">
      <alignment vertical="center" wrapText="1"/>
    </xf>
    <xf numFmtId="3" fontId="97" fillId="0" borderId="0" xfId="0" applyNumberFormat="1" applyFont="1" applyFill="1" applyAlignment="1">
      <alignment vertical="center"/>
    </xf>
    <xf numFmtId="3" fontId="97" fillId="0" borderId="0" xfId="0" applyNumberFormat="1" applyFont="1" applyFill="1" applyBorder="1" applyAlignment="1">
      <alignment vertical="center"/>
    </xf>
    <xf numFmtId="3" fontId="65" fillId="61" borderId="12" xfId="0" applyNumberFormat="1" applyFont="1" applyFill="1" applyBorder="1" applyAlignment="1">
      <alignment vertical="center" wrapText="1"/>
    </xf>
    <xf numFmtId="3" fontId="88" fillId="61" borderId="12" xfId="0" applyNumberFormat="1" applyFont="1" applyFill="1" applyBorder="1" applyAlignment="1">
      <alignment vertical="center" wrapText="1"/>
    </xf>
    <xf numFmtId="3" fontId="88" fillId="32" borderId="12" xfId="0" applyNumberFormat="1" applyFont="1" applyFill="1" applyBorder="1" applyAlignment="1">
      <alignment vertical="center" wrapText="1"/>
    </xf>
    <xf numFmtId="3" fontId="65" fillId="61" borderId="69" xfId="0" applyNumberFormat="1" applyFont="1" applyFill="1" applyBorder="1" applyAlignment="1">
      <alignment vertical="center" wrapText="1"/>
    </xf>
    <xf numFmtId="3" fontId="65" fillId="61" borderId="41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 wrapText="1"/>
    </xf>
    <xf numFmtId="3" fontId="7" fillId="0" borderId="0" xfId="0" applyNumberFormat="1" applyFont="1" applyFill="1" applyBorder="1" applyAlignment="1">
      <alignment horizontal="right" vertical="center" wrapText="1"/>
    </xf>
    <xf numFmtId="0" fontId="43" fillId="2" borderId="0" xfId="0" applyFont="1" applyFill="1" applyBorder="1" applyAlignment="1">
      <alignment horizontal="center" vertical="center"/>
    </xf>
    <xf numFmtId="3" fontId="88" fillId="4" borderId="44" xfId="0" applyNumberFormat="1" applyFont="1" applyFill="1" applyBorder="1" applyAlignment="1">
      <alignment horizontal="right" vertical="center" wrapText="1"/>
    </xf>
    <xf numFmtId="3" fontId="88" fillId="5" borderId="45" xfId="0" applyNumberFormat="1" applyFont="1" applyFill="1" applyBorder="1" applyAlignment="1">
      <alignment horizontal="right" vertical="center" wrapText="1"/>
    </xf>
    <xf numFmtId="3" fontId="36" fillId="4" borderId="46" xfId="0" quotePrefix="1" applyNumberFormat="1" applyFont="1" applyFill="1" applyBorder="1" applyAlignment="1">
      <alignment horizontal="right" vertical="center"/>
    </xf>
    <xf numFmtId="0" fontId="36" fillId="4" borderId="22" xfId="0" applyFont="1" applyFill="1" applyBorder="1" applyAlignment="1">
      <alignment horizontal="left"/>
    </xf>
    <xf numFmtId="3" fontId="36" fillId="4" borderId="23" xfId="0" quotePrefix="1" applyNumberFormat="1" applyFont="1" applyFill="1" applyBorder="1" applyAlignment="1">
      <alignment horizontal="right"/>
    </xf>
    <xf numFmtId="3" fontId="36" fillId="4" borderId="47" xfId="0" quotePrefix="1" applyNumberFormat="1" applyFont="1" applyFill="1" applyBorder="1" applyAlignment="1">
      <alignment horizontal="right"/>
    </xf>
    <xf numFmtId="3" fontId="19" fillId="32" borderId="47" xfId="0" quotePrefix="1" applyNumberFormat="1" applyFont="1" applyFill="1" applyBorder="1" applyAlignment="1">
      <alignment horizontal="right"/>
    </xf>
    <xf numFmtId="3" fontId="19" fillId="4" borderId="47" xfId="0" quotePrefix="1" applyNumberFormat="1" applyFont="1" applyFill="1" applyBorder="1" applyAlignment="1">
      <alignment horizontal="right"/>
    </xf>
    <xf numFmtId="3" fontId="36" fillId="4" borderId="48" xfId="0" quotePrefix="1" applyNumberFormat="1" applyFont="1" applyFill="1" applyBorder="1" applyAlignment="1">
      <alignment horizontal="right"/>
    </xf>
    <xf numFmtId="3" fontId="88" fillId="7" borderId="49" xfId="0" applyNumberFormat="1" applyFont="1" applyFill="1" applyBorder="1" applyAlignment="1">
      <alignment horizontal="right" vertical="center" wrapText="1"/>
    </xf>
    <xf numFmtId="3" fontId="86" fillId="8" borderId="9" xfId="0" applyNumberFormat="1" applyFont="1" applyFill="1" applyBorder="1" applyAlignment="1">
      <alignment horizontal="right" vertical="center" wrapText="1"/>
    </xf>
    <xf numFmtId="3" fontId="69" fillId="8" borderId="35" xfId="0" applyNumberFormat="1" applyFont="1" applyFill="1" applyBorder="1" applyAlignment="1">
      <alignment horizontal="right" vertical="center" wrapText="1"/>
    </xf>
    <xf numFmtId="3" fontId="86" fillId="8" borderId="35" xfId="0" applyNumberFormat="1" applyFont="1" applyFill="1" applyBorder="1" applyAlignment="1">
      <alignment horizontal="right" vertical="center" wrapText="1"/>
    </xf>
    <xf numFmtId="3" fontId="69" fillId="32" borderId="35" xfId="0" applyNumberFormat="1" applyFont="1" applyFill="1" applyBorder="1" applyAlignment="1">
      <alignment horizontal="right" vertical="center" wrapText="1"/>
    </xf>
    <xf numFmtId="3" fontId="86" fillId="8" borderId="36" xfId="0" applyNumberFormat="1" applyFont="1" applyFill="1" applyBorder="1" applyAlignment="1">
      <alignment horizontal="right" vertical="center" wrapText="1"/>
    </xf>
    <xf numFmtId="3" fontId="86" fillId="9" borderId="46" xfId="0" applyNumberFormat="1" applyFont="1" applyFill="1" applyBorder="1" applyAlignment="1">
      <alignment horizontal="right" vertical="center" wrapText="1"/>
    </xf>
    <xf numFmtId="3" fontId="8" fillId="2" borderId="36" xfId="0" applyNumberFormat="1" applyFont="1" applyFill="1" applyBorder="1" applyAlignment="1">
      <alignment vertical="center" wrapText="1"/>
    </xf>
    <xf numFmtId="0" fontId="8" fillId="0" borderId="28" xfId="0" applyFont="1" applyFill="1" applyBorder="1" applyAlignment="1">
      <alignment vertical="center"/>
    </xf>
    <xf numFmtId="43" fontId="8" fillId="3" borderId="21" xfId="1" applyFont="1" applyFill="1" applyBorder="1" applyAlignment="1">
      <alignment vertical="center" wrapText="1"/>
    </xf>
    <xf numFmtId="43" fontId="8" fillId="32" borderId="35" xfId="1" applyFont="1" applyFill="1" applyBorder="1" applyAlignment="1">
      <alignment vertical="center" wrapText="1"/>
    </xf>
    <xf numFmtId="3" fontId="65" fillId="6" borderId="29" xfId="0" applyNumberFormat="1" applyFont="1" applyFill="1" applyBorder="1" applyAlignment="1">
      <alignment vertical="center" wrapText="1"/>
    </xf>
    <xf numFmtId="3" fontId="88" fillId="6" borderId="30" xfId="0" applyNumberFormat="1" applyFont="1" applyFill="1" applyBorder="1" applyAlignment="1">
      <alignment vertical="center" wrapText="1"/>
    </xf>
    <xf numFmtId="3" fontId="65" fillId="6" borderId="34" xfId="0" applyNumberFormat="1" applyFont="1" applyFill="1" applyBorder="1" applyAlignment="1">
      <alignment vertical="center" wrapText="1"/>
    </xf>
    <xf numFmtId="43" fontId="8" fillId="2" borderId="9" xfId="1" applyFont="1" applyFill="1" applyBorder="1" applyAlignment="1">
      <alignment vertical="center" wrapText="1"/>
    </xf>
    <xf numFmtId="3" fontId="8" fillId="2" borderId="49" xfId="0" applyNumberFormat="1" applyFont="1" applyFill="1" applyBorder="1" applyAlignment="1">
      <alignment vertical="center" wrapText="1"/>
    </xf>
    <xf numFmtId="43" fontId="86" fillId="8" borderId="29" xfId="1" applyFont="1" applyFill="1" applyBorder="1" applyAlignment="1">
      <alignment vertical="center" wrapText="1"/>
    </xf>
    <xf numFmtId="43" fontId="86" fillId="8" borderId="30" xfId="1" applyFont="1" applyFill="1" applyBorder="1" applyAlignment="1">
      <alignment vertical="center" wrapText="1"/>
    </xf>
    <xf numFmtId="3" fontId="86" fillId="8" borderId="36" xfId="0" applyNumberFormat="1" applyFont="1" applyFill="1" applyBorder="1" applyAlignment="1">
      <alignment vertical="center" wrapText="1"/>
    </xf>
    <xf numFmtId="0" fontId="8" fillId="0" borderId="37" xfId="0" applyFont="1" applyFill="1" applyBorder="1" applyAlignment="1">
      <alignment vertical="center" wrapText="1"/>
    </xf>
    <xf numFmtId="43" fontId="8" fillId="0" borderId="47" xfId="1" applyFont="1" applyFill="1" applyBorder="1" applyAlignment="1">
      <alignment vertical="center" wrapText="1"/>
    </xf>
    <xf numFmtId="3" fontId="8" fillId="0" borderId="47" xfId="0" applyNumberFormat="1" applyFont="1" applyFill="1" applyBorder="1" applyAlignment="1">
      <alignment vertical="center" wrapText="1"/>
    </xf>
    <xf numFmtId="3" fontId="8" fillId="32" borderId="47" xfId="0" applyNumberFormat="1" applyFont="1" applyFill="1" applyBorder="1" applyAlignment="1">
      <alignment vertical="center" wrapText="1"/>
    </xf>
    <xf numFmtId="3" fontId="8" fillId="0" borderId="134" xfId="0" applyNumberFormat="1" applyFont="1" applyFill="1" applyBorder="1" applyAlignment="1">
      <alignment vertical="center" wrapText="1"/>
    </xf>
    <xf numFmtId="0" fontId="92" fillId="4" borderId="38" xfId="0" applyFont="1" applyFill="1" applyBorder="1" applyAlignment="1">
      <alignment vertical="center"/>
    </xf>
    <xf numFmtId="3" fontId="65" fillId="4" borderId="39" xfId="0" applyNumberFormat="1" applyFont="1" applyFill="1" applyBorder="1" applyAlignment="1">
      <alignment vertical="center" wrapText="1"/>
    </xf>
    <xf numFmtId="3" fontId="88" fillId="4" borderId="39" xfId="0" applyNumberFormat="1" applyFont="1" applyFill="1" applyBorder="1" applyAlignment="1">
      <alignment vertical="center" wrapText="1"/>
    </xf>
    <xf numFmtId="3" fontId="65" fillId="4" borderId="50" xfId="0" applyNumberFormat="1" applyFont="1" applyFill="1" applyBorder="1" applyAlignment="1">
      <alignment vertical="center" wrapText="1"/>
    </xf>
    <xf numFmtId="3" fontId="65" fillId="4" borderId="51" xfId="0" applyNumberFormat="1" applyFont="1" applyFill="1" applyBorder="1" applyAlignment="1">
      <alignment vertical="center" wrapText="1"/>
    </xf>
    <xf numFmtId="3" fontId="65" fillId="4" borderId="52" xfId="0" applyNumberFormat="1" applyFont="1" applyFill="1" applyBorder="1" applyAlignment="1">
      <alignment vertical="center" wrapText="1"/>
    </xf>
    <xf numFmtId="3" fontId="65" fillId="4" borderId="12" xfId="0" applyNumberFormat="1" applyFont="1" applyFill="1" applyBorder="1" applyAlignment="1">
      <alignment vertical="center" wrapText="1"/>
    </xf>
    <xf numFmtId="3" fontId="88" fillId="4" borderId="12" xfId="0" applyNumberFormat="1" applyFont="1" applyFill="1" applyBorder="1" applyAlignment="1">
      <alignment vertical="center" wrapText="1"/>
    </xf>
    <xf numFmtId="3" fontId="65" fillId="4" borderId="23" xfId="0" applyNumberFormat="1" applyFont="1" applyFill="1" applyBorder="1" applyAlignment="1">
      <alignment vertical="center" wrapText="1"/>
    </xf>
    <xf numFmtId="3" fontId="65" fillId="4" borderId="25" xfId="0" applyNumberFormat="1" applyFont="1" applyFill="1" applyBorder="1" applyAlignment="1">
      <alignment horizontal="center" vertical="center" wrapText="1"/>
    </xf>
    <xf numFmtId="0" fontId="0" fillId="2" borderId="0" xfId="0" applyFont="1" applyFill="1" applyBorder="1" applyAlignment="1">
      <alignment vertical="center"/>
    </xf>
    <xf numFmtId="3" fontId="65" fillId="2" borderId="0" xfId="0" applyNumberFormat="1" applyFont="1" applyFill="1" applyBorder="1" applyAlignment="1">
      <alignment vertical="center" wrapText="1"/>
    </xf>
    <xf numFmtId="3" fontId="88" fillId="32" borderId="0" xfId="0" applyNumberFormat="1" applyFont="1" applyFill="1" applyBorder="1" applyAlignment="1">
      <alignment vertical="center" wrapText="1"/>
    </xf>
    <xf numFmtId="3" fontId="88" fillId="2" borderId="0" xfId="0" applyNumberFormat="1" applyFont="1" applyFill="1" applyBorder="1" applyAlignment="1">
      <alignment vertical="center" wrapText="1"/>
    </xf>
    <xf numFmtId="3" fontId="97" fillId="2" borderId="0" xfId="0" applyNumberFormat="1" applyFont="1" applyFill="1" applyAlignment="1">
      <alignment vertical="center"/>
    </xf>
    <xf numFmtId="0" fontId="97" fillId="2" borderId="0" xfId="0" applyFont="1" applyFill="1" applyBorder="1" applyAlignment="1">
      <alignment vertical="center"/>
    </xf>
    <xf numFmtId="0" fontId="88" fillId="13" borderId="53" xfId="4" applyFont="1" applyFill="1" applyBorder="1" applyAlignment="1">
      <alignment horizontal="left" vertical="center"/>
    </xf>
    <xf numFmtId="3" fontId="65" fillId="13" borderId="54" xfId="0" applyNumberFormat="1" applyFont="1" applyFill="1" applyBorder="1" applyAlignment="1">
      <alignment vertical="center" wrapText="1"/>
    </xf>
    <xf numFmtId="3" fontId="88" fillId="32" borderId="54" xfId="0" applyNumberFormat="1" applyFont="1" applyFill="1" applyBorder="1" applyAlignment="1">
      <alignment vertical="center" wrapText="1"/>
    </xf>
    <xf numFmtId="3" fontId="88" fillId="13" borderId="54" xfId="0" applyNumberFormat="1" applyFont="1" applyFill="1" applyBorder="1" applyAlignment="1">
      <alignment vertical="center" wrapText="1"/>
    </xf>
    <xf numFmtId="3" fontId="65" fillId="13" borderId="55" xfId="0" applyNumberFormat="1" applyFont="1" applyFill="1" applyBorder="1" applyAlignment="1">
      <alignment vertical="center" wrapText="1"/>
    </xf>
    <xf numFmtId="3" fontId="65" fillId="13" borderId="56" xfId="0" applyNumberFormat="1" applyFont="1" applyFill="1" applyBorder="1" applyAlignment="1">
      <alignment vertical="center" wrapText="1"/>
    </xf>
    <xf numFmtId="0" fontId="63" fillId="13" borderId="20" xfId="0" applyFont="1" applyFill="1" applyBorder="1" applyAlignment="1">
      <alignment vertical="center"/>
    </xf>
    <xf numFmtId="3" fontId="98" fillId="13" borderId="35" xfId="0" applyNumberFormat="1" applyFont="1" applyFill="1" applyBorder="1" applyAlignment="1">
      <alignment vertical="center" wrapText="1"/>
    </xf>
    <xf numFmtId="3" fontId="99" fillId="32" borderId="35" xfId="0" applyNumberFormat="1" applyFont="1" applyFill="1" applyBorder="1" applyAlignment="1">
      <alignment vertical="center" wrapText="1"/>
    </xf>
    <xf numFmtId="3" fontId="99" fillId="13" borderId="35" xfId="0" applyNumberFormat="1" applyFont="1" applyFill="1" applyBorder="1" applyAlignment="1">
      <alignment vertical="center" wrapText="1"/>
    </xf>
    <xf numFmtId="3" fontId="98" fillId="13" borderId="7" xfId="0" applyNumberFormat="1" applyFont="1" applyFill="1" applyBorder="1" applyAlignment="1">
      <alignment vertical="center" wrapText="1"/>
    </xf>
    <xf numFmtId="3" fontId="98" fillId="13" borderId="21" xfId="0" applyNumberFormat="1" applyFont="1" applyFill="1" applyBorder="1" applyAlignment="1">
      <alignment vertical="center" wrapText="1"/>
    </xf>
    <xf numFmtId="0" fontId="88" fillId="13" borderId="57" xfId="4" applyFont="1" applyFill="1" applyBorder="1" applyAlignment="1">
      <alignment horizontal="left" vertical="center"/>
    </xf>
    <xf numFmtId="3" fontId="65" fillId="13" borderId="58" xfId="0" applyNumberFormat="1" applyFont="1" applyFill="1" applyBorder="1" applyAlignment="1">
      <alignment vertical="center" wrapText="1"/>
    </xf>
    <xf numFmtId="3" fontId="88" fillId="32" borderId="58" xfId="0" applyNumberFormat="1" applyFont="1" applyFill="1" applyBorder="1" applyAlignment="1">
      <alignment vertical="center" wrapText="1"/>
    </xf>
    <xf numFmtId="3" fontId="88" fillId="13" borderId="58" xfId="0" applyNumberFormat="1" applyFont="1" applyFill="1" applyBorder="1" applyAlignment="1">
      <alignment vertical="center" wrapText="1"/>
    </xf>
    <xf numFmtId="3" fontId="65" fillId="13" borderId="59" xfId="0" applyNumberFormat="1" applyFont="1" applyFill="1" applyBorder="1" applyAlignment="1">
      <alignment horizontal="center" vertical="center" wrapText="1"/>
    </xf>
    <xf numFmtId="3" fontId="65" fillId="13" borderId="60" xfId="0" applyNumberFormat="1" applyFont="1" applyFill="1" applyBorder="1" applyAlignment="1">
      <alignment horizontal="center" vertical="center" wrapText="1"/>
    </xf>
    <xf numFmtId="3" fontId="97" fillId="2" borderId="0" xfId="0" applyNumberFormat="1" applyFont="1" applyFill="1" applyBorder="1" applyAlignment="1">
      <alignment vertical="center"/>
    </xf>
    <xf numFmtId="0" fontId="63" fillId="13" borderId="37" xfId="0" applyFont="1" applyFill="1" applyBorder="1" applyAlignment="1">
      <alignment vertical="center"/>
    </xf>
    <xf numFmtId="3" fontId="98" fillId="13" borderId="47" xfId="0" applyNumberFormat="1" applyFont="1" applyFill="1" applyBorder="1" applyAlignment="1">
      <alignment vertical="center" wrapText="1"/>
    </xf>
    <xf numFmtId="3" fontId="99" fillId="32" borderId="47" xfId="0" applyNumberFormat="1" applyFont="1" applyFill="1" applyBorder="1" applyAlignment="1">
      <alignment vertical="center" wrapText="1"/>
    </xf>
    <xf numFmtId="3" fontId="99" fillId="13" borderId="47" xfId="0" applyNumberFormat="1" applyFont="1" applyFill="1" applyBorder="1" applyAlignment="1">
      <alignment vertical="center" wrapText="1"/>
    </xf>
    <xf numFmtId="3" fontId="65" fillId="13" borderId="77" xfId="0" applyNumberFormat="1" applyFont="1" applyFill="1" applyBorder="1" applyAlignment="1">
      <alignment horizontal="center" vertical="center" wrapText="1"/>
    </xf>
    <xf numFmtId="0" fontId="100" fillId="13" borderId="0" xfId="4" applyFont="1" applyFill="1" applyBorder="1" applyAlignment="1">
      <alignment horizontal="center" vertical="center"/>
    </xf>
    <xf numFmtId="3" fontId="65" fillId="13" borderId="0" xfId="0" applyNumberFormat="1" applyFont="1" applyFill="1" applyBorder="1" applyAlignment="1">
      <alignment vertical="center" wrapText="1"/>
    </xf>
    <xf numFmtId="3" fontId="88" fillId="13" borderId="0" xfId="0" applyNumberFormat="1" applyFont="1" applyFill="1" applyBorder="1" applyAlignment="1">
      <alignment vertical="center" wrapText="1"/>
    </xf>
    <xf numFmtId="0" fontId="88" fillId="13" borderId="0" xfId="4" applyFont="1" applyFill="1" applyBorder="1" applyAlignment="1">
      <alignment horizontal="left" vertical="center"/>
    </xf>
    <xf numFmtId="0" fontId="88" fillId="0" borderId="0" xfId="4" applyFont="1" applyFill="1" applyBorder="1" applyAlignment="1">
      <alignment horizontal="left" vertical="center"/>
    </xf>
    <xf numFmtId="3" fontId="65" fillId="0" borderId="0" xfId="0" applyNumberFormat="1" applyFont="1" applyFill="1" applyBorder="1" applyAlignment="1">
      <alignment vertical="center" wrapText="1"/>
    </xf>
    <xf numFmtId="3" fontId="88" fillId="0" borderId="0" xfId="0" applyNumberFormat="1" applyFont="1" applyFill="1" applyBorder="1" applyAlignment="1">
      <alignment vertical="center" wrapText="1"/>
    </xf>
    <xf numFmtId="0" fontId="88" fillId="0" borderId="53" xfId="4" applyFont="1" applyFill="1" applyBorder="1" applyAlignment="1">
      <alignment horizontal="left" vertical="center"/>
    </xf>
    <xf numFmtId="3" fontId="65" fillId="0" borderId="54" xfId="0" applyNumberFormat="1" applyFont="1" applyFill="1" applyBorder="1" applyAlignment="1">
      <alignment vertical="center" wrapText="1"/>
    </xf>
    <xf numFmtId="3" fontId="88" fillId="0" borderId="54" xfId="0" applyNumberFormat="1" applyFont="1" applyFill="1" applyBorder="1" applyAlignment="1">
      <alignment vertical="center" wrapText="1"/>
    </xf>
    <xf numFmtId="3" fontId="65" fillId="0" borderId="55" xfId="0" applyNumberFormat="1" applyFont="1" applyFill="1" applyBorder="1" applyAlignment="1">
      <alignment vertical="center" wrapText="1"/>
    </xf>
    <xf numFmtId="0" fontId="42" fillId="0" borderId="20" xfId="0" applyFont="1" applyFill="1" applyBorder="1" applyAlignment="1">
      <alignment vertical="center"/>
    </xf>
    <xf numFmtId="3" fontId="101" fillId="0" borderId="35" xfId="0" applyNumberFormat="1" applyFont="1" applyFill="1" applyBorder="1" applyAlignment="1">
      <alignment vertical="center" wrapText="1"/>
    </xf>
    <xf numFmtId="3" fontId="102" fillId="0" borderId="35" xfId="0" applyNumberFormat="1" applyFont="1" applyFill="1" applyBorder="1" applyAlignment="1">
      <alignment vertical="center" wrapText="1"/>
    </xf>
    <xf numFmtId="3" fontId="98" fillId="0" borderId="7" xfId="0" applyNumberFormat="1" applyFont="1" applyFill="1" applyBorder="1" applyAlignment="1">
      <alignment vertical="center" wrapText="1"/>
    </xf>
    <xf numFmtId="0" fontId="88" fillId="13" borderId="61" xfId="4" applyFont="1" applyFill="1" applyBorder="1" applyAlignment="1">
      <alignment horizontal="left" vertical="center"/>
    </xf>
    <xf numFmtId="3" fontId="65" fillId="13" borderId="61" xfId="0" applyNumberFormat="1" applyFont="1" applyFill="1" applyBorder="1" applyAlignment="1">
      <alignment vertical="center" wrapText="1"/>
    </xf>
    <xf numFmtId="3" fontId="88" fillId="13" borderId="61" xfId="0" applyNumberFormat="1" applyFont="1" applyFill="1" applyBorder="1" applyAlignment="1">
      <alignment vertical="center" wrapText="1"/>
    </xf>
    <xf numFmtId="0" fontId="86" fillId="0" borderId="30" xfId="0" applyFont="1" applyBorder="1" applyAlignment="1">
      <alignment horizontal="center" vertical="center"/>
    </xf>
    <xf numFmtId="0" fontId="69" fillId="0" borderId="30" xfId="0" applyFont="1" applyBorder="1" applyAlignment="1">
      <alignment horizontal="center" vertical="center"/>
    </xf>
    <xf numFmtId="0" fontId="86" fillId="0" borderId="71" xfId="0" applyFont="1" applyBorder="1" applyAlignment="1">
      <alignment horizontal="center" vertical="center"/>
    </xf>
    <xf numFmtId="0" fontId="86" fillId="0" borderId="113" xfId="0" applyFont="1" applyBorder="1" applyAlignment="1">
      <alignment horizontal="center" vertical="center"/>
    </xf>
    <xf numFmtId="0" fontId="69" fillId="0" borderId="113" xfId="0" applyFont="1" applyBorder="1" applyAlignment="1">
      <alignment horizontal="center" vertical="center"/>
    </xf>
    <xf numFmtId="0" fontId="86" fillId="0" borderId="5" xfId="0" applyFont="1" applyBorder="1" applyAlignment="1">
      <alignment horizontal="center" vertical="center"/>
    </xf>
    <xf numFmtId="0" fontId="86" fillId="0" borderId="137" xfId="0" applyFont="1" applyBorder="1" applyAlignment="1">
      <alignment horizontal="center" vertical="center"/>
    </xf>
    <xf numFmtId="0" fontId="86" fillId="0" borderId="63" xfId="0" applyFont="1" applyBorder="1" applyAlignment="1">
      <alignment horizontal="center" vertical="center"/>
    </xf>
    <xf numFmtId="0" fontId="86" fillId="0" borderId="63" xfId="0" applyFont="1" applyBorder="1" applyAlignment="1">
      <alignment horizontal="center"/>
    </xf>
    <xf numFmtId="3" fontId="88" fillId="2" borderId="10" xfId="0" applyNumberFormat="1" applyFont="1" applyFill="1" applyBorder="1" applyAlignment="1">
      <alignment vertical="center" wrapText="1"/>
    </xf>
    <xf numFmtId="3" fontId="65" fillId="2" borderId="11" xfId="0" applyNumberFormat="1" applyFont="1" applyFill="1" applyBorder="1" applyAlignment="1">
      <alignment vertical="center" wrapText="1"/>
    </xf>
    <xf numFmtId="3" fontId="65" fillId="2" borderId="0" xfId="0" applyNumberFormat="1" applyFont="1" applyFill="1" applyBorder="1" applyAlignment="1">
      <alignment horizontal="center" vertical="center" wrapText="1"/>
    </xf>
    <xf numFmtId="3" fontId="7" fillId="0" borderId="10" xfId="0" applyNumberFormat="1" applyFont="1" applyFill="1" applyBorder="1" applyAlignment="1">
      <alignment vertical="center" wrapText="1"/>
    </xf>
    <xf numFmtId="3" fontId="7" fillId="0" borderId="11" xfId="0" applyNumberFormat="1" applyFont="1" applyFill="1" applyBorder="1" applyAlignment="1">
      <alignment vertical="center" wrapText="1"/>
    </xf>
    <xf numFmtId="0" fontId="8" fillId="0" borderId="0" xfId="0" applyFont="1" applyFill="1" applyBorder="1" applyAlignment="1">
      <alignment vertical="center" wrapText="1"/>
    </xf>
    <xf numFmtId="3" fontId="8" fillId="0" borderId="0" xfId="0" applyNumberFormat="1" applyFont="1" applyFill="1" applyBorder="1" applyAlignment="1">
      <alignment vertical="center" wrapText="1"/>
    </xf>
    <xf numFmtId="3" fontId="8" fillId="0" borderId="10" xfId="0" applyNumberFormat="1" applyFont="1" applyFill="1" applyBorder="1" applyAlignment="1">
      <alignment vertical="center" wrapText="1"/>
    </xf>
    <xf numFmtId="3" fontId="8" fillId="0" borderId="11" xfId="0" applyNumberFormat="1" applyFont="1" applyFill="1" applyBorder="1" applyAlignment="1">
      <alignment vertical="center" wrapText="1"/>
    </xf>
    <xf numFmtId="3" fontId="19" fillId="2" borderId="3" xfId="0" applyNumberFormat="1" applyFont="1" applyFill="1" applyBorder="1" applyAlignment="1">
      <alignment vertical="center" wrapText="1"/>
    </xf>
    <xf numFmtId="3" fontId="19" fillId="14" borderId="2" xfId="0" applyNumberFormat="1" applyFont="1" applyFill="1" applyBorder="1" applyAlignment="1">
      <alignment vertical="center" wrapText="1"/>
    </xf>
    <xf numFmtId="3" fontId="19" fillId="14" borderId="5" xfId="0" applyNumberFormat="1" applyFont="1" applyFill="1" applyBorder="1" applyAlignment="1">
      <alignment vertical="center" wrapText="1"/>
    </xf>
    <xf numFmtId="3" fontId="19" fillId="14" borderId="3" xfId="0" applyNumberFormat="1" applyFont="1" applyFill="1" applyBorder="1" applyAlignment="1">
      <alignment vertical="center" wrapText="1"/>
    </xf>
    <xf numFmtId="3" fontId="19" fillId="2" borderId="66" xfId="0" applyNumberFormat="1" applyFont="1" applyFill="1" applyBorder="1" applyAlignment="1">
      <alignment vertical="center" wrapText="1"/>
    </xf>
    <xf numFmtId="3" fontId="24" fillId="2" borderId="0" xfId="0" applyNumberFormat="1" applyFont="1" applyFill="1" applyBorder="1" applyAlignment="1">
      <alignment vertical="center" wrapText="1"/>
    </xf>
    <xf numFmtId="3" fontId="24" fillId="14" borderId="10" xfId="0" applyNumberFormat="1" applyFont="1" applyFill="1" applyBorder="1" applyAlignment="1">
      <alignment vertical="center" wrapText="1"/>
    </xf>
    <xf numFmtId="3" fontId="24" fillId="14" borderId="11" xfId="0" applyNumberFormat="1" applyFont="1" applyFill="1" applyBorder="1" applyAlignment="1">
      <alignment vertical="center" wrapText="1"/>
    </xf>
    <xf numFmtId="3" fontId="24" fillId="14" borderId="0" xfId="0" applyNumberFormat="1" applyFont="1" applyFill="1" applyBorder="1" applyAlignment="1">
      <alignment vertical="center" wrapText="1"/>
    </xf>
    <xf numFmtId="3" fontId="24" fillId="2" borderId="67" xfId="0" applyNumberFormat="1" applyFont="1" applyFill="1" applyBorder="1" applyAlignment="1">
      <alignment vertical="center" wrapText="1"/>
    </xf>
    <xf numFmtId="3" fontId="7" fillId="2" borderId="68" xfId="0" applyNumberFormat="1" applyFont="1" applyFill="1" applyBorder="1" applyAlignment="1">
      <alignment vertical="center" wrapText="1"/>
    </xf>
    <xf numFmtId="3" fontId="7" fillId="2" borderId="24" xfId="0" applyNumberFormat="1" applyFont="1" applyFill="1" applyBorder="1" applyAlignment="1">
      <alignment vertical="center" wrapText="1"/>
    </xf>
    <xf numFmtId="3" fontId="24" fillId="2" borderId="24" xfId="0" applyNumberFormat="1" applyFont="1" applyFill="1" applyBorder="1" applyAlignment="1">
      <alignment vertical="center" wrapText="1"/>
    </xf>
    <xf numFmtId="3" fontId="24" fillId="14" borderId="74" xfId="0" applyNumberFormat="1" applyFont="1" applyFill="1" applyBorder="1" applyAlignment="1">
      <alignment vertical="center" wrapText="1"/>
    </xf>
    <xf numFmtId="3" fontId="24" fillId="14" borderId="25" xfId="0" applyNumberFormat="1" applyFont="1" applyFill="1" applyBorder="1" applyAlignment="1">
      <alignment vertical="center" wrapText="1"/>
    </xf>
    <xf numFmtId="3" fontId="24" fillId="14" borderId="24" xfId="0" applyNumberFormat="1" applyFont="1" applyFill="1" applyBorder="1" applyAlignment="1">
      <alignment vertical="center" wrapText="1"/>
    </xf>
    <xf numFmtId="3" fontId="24" fillId="2" borderId="69" xfId="0" applyNumberFormat="1" applyFont="1" applyFill="1" applyBorder="1" applyAlignment="1">
      <alignment vertical="center" wrapText="1"/>
    </xf>
    <xf numFmtId="3" fontId="25" fillId="0" borderId="0" xfId="0" applyNumberFormat="1" applyFont="1" applyFill="1" applyBorder="1" applyAlignment="1">
      <alignment vertical="center" wrapText="1"/>
    </xf>
    <xf numFmtId="3" fontId="97" fillId="0" borderId="0" xfId="0" applyNumberFormat="1" applyFont="1" applyFill="1" applyBorder="1" applyAlignment="1">
      <alignment vertical="center" wrapText="1"/>
    </xf>
    <xf numFmtId="3" fontId="97" fillId="0" borderId="10" xfId="0" applyNumberFormat="1" applyFont="1" applyFill="1" applyBorder="1" applyAlignment="1">
      <alignment vertical="center" wrapText="1"/>
    </xf>
    <xf numFmtId="3" fontId="97" fillId="0" borderId="11" xfId="0" applyNumberFormat="1" applyFont="1" applyFill="1" applyBorder="1" applyAlignment="1">
      <alignment vertical="center" wrapText="1"/>
    </xf>
    <xf numFmtId="3" fontId="97" fillId="2" borderId="0" xfId="0" applyNumberFormat="1" applyFont="1" applyFill="1" applyBorder="1" applyAlignment="1">
      <alignment vertical="center" wrapText="1"/>
    </xf>
    <xf numFmtId="0" fontId="8" fillId="15" borderId="15" xfId="0" applyFont="1" applyFill="1" applyBorder="1"/>
    <xf numFmtId="0" fontId="8" fillId="15" borderId="2" xfId="0" applyFont="1" applyFill="1" applyBorder="1"/>
    <xf numFmtId="0" fontId="8" fillId="15" borderId="5" xfId="0" applyFont="1" applyFill="1" applyBorder="1"/>
    <xf numFmtId="0" fontId="8" fillId="15" borderId="4" xfId="0" applyFont="1" applyFill="1" applyBorder="1"/>
    <xf numFmtId="0" fontId="8" fillId="15" borderId="3" xfId="0" applyFont="1" applyFill="1" applyBorder="1"/>
    <xf numFmtId="3" fontId="36" fillId="15" borderId="12" xfId="0" applyNumberFormat="1" applyFont="1" applyFill="1" applyBorder="1" applyAlignment="1">
      <alignment vertical="center"/>
    </xf>
    <xf numFmtId="3" fontId="19" fillId="15" borderId="12" xfId="0" applyNumberFormat="1" applyFont="1" applyFill="1" applyBorder="1" applyAlignment="1">
      <alignment vertical="center"/>
    </xf>
    <xf numFmtId="3" fontId="36" fillId="15" borderId="74" xfId="0" applyNumberFormat="1" applyFont="1" applyFill="1" applyBorder="1" applyAlignment="1">
      <alignment vertical="center"/>
    </xf>
    <xf numFmtId="3" fontId="19" fillId="15" borderId="74" xfId="0" applyNumberFormat="1" applyFont="1" applyFill="1" applyBorder="1" applyAlignment="1">
      <alignment vertical="center"/>
    </xf>
    <xf numFmtId="3" fontId="36" fillId="15" borderId="25" xfId="0" applyNumberFormat="1" applyFont="1" applyFill="1" applyBorder="1" applyAlignment="1">
      <alignment vertical="center"/>
    </xf>
    <xf numFmtId="3" fontId="36" fillId="15" borderId="23" xfId="0" applyNumberFormat="1" applyFont="1" applyFill="1" applyBorder="1" applyAlignment="1">
      <alignment vertical="center"/>
    </xf>
    <xf numFmtId="3" fontId="36" fillId="15" borderId="24" xfId="0" applyNumberFormat="1" applyFont="1" applyFill="1" applyBorder="1" applyAlignment="1">
      <alignment vertical="center"/>
    </xf>
    <xf numFmtId="3" fontId="6" fillId="6" borderId="70" xfId="0" applyNumberFormat="1" applyFont="1" applyFill="1" applyBorder="1"/>
    <xf numFmtId="3" fontId="6" fillId="6" borderId="35" xfId="0" applyNumberFormat="1" applyFont="1" applyFill="1" applyBorder="1"/>
    <xf numFmtId="3" fontId="6" fillId="6" borderId="71" xfId="0" applyNumberFormat="1" applyFont="1" applyFill="1" applyBorder="1"/>
    <xf numFmtId="3" fontId="6" fillId="6" borderId="71" xfId="0" applyNumberFormat="1" applyFont="1" applyFill="1" applyBorder="1" applyAlignment="1">
      <alignment vertical="center"/>
    </xf>
    <xf numFmtId="3" fontId="6" fillId="6" borderId="30" xfId="0" applyNumberFormat="1" applyFont="1" applyFill="1" applyBorder="1"/>
    <xf numFmtId="3" fontId="6" fillId="6" borderId="63" xfId="0" applyNumberFormat="1" applyFont="1" applyFill="1" applyBorder="1"/>
    <xf numFmtId="0" fontId="7" fillId="6" borderId="37" xfId="0" applyFont="1" applyFill="1" applyBorder="1" applyAlignment="1">
      <alignment vertical="center" wrapText="1"/>
    </xf>
    <xf numFmtId="3" fontId="8" fillId="6" borderId="150" xfId="0" applyNumberFormat="1" applyFont="1" applyFill="1" applyBorder="1"/>
    <xf numFmtId="3" fontId="6" fillId="6" borderId="149" xfId="0" applyNumberFormat="1" applyFont="1" applyFill="1" applyBorder="1"/>
    <xf numFmtId="3" fontId="36" fillId="12" borderId="0" xfId="0" applyNumberFormat="1" applyFont="1" applyFill="1" applyBorder="1" applyAlignment="1">
      <alignment horizontal="right" vertical="center"/>
    </xf>
    <xf numFmtId="3" fontId="103" fillId="12" borderId="0" xfId="0" applyNumberFormat="1" applyFont="1" applyFill="1" applyBorder="1" applyAlignment="1">
      <alignment vertical="center"/>
    </xf>
    <xf numFmtId="3" fontId="104" fillId="12" borderId="0" xfId="0" applyNumberFormat="1" applyFont="1" applyFill="1" applyBorder="1" applyAlignment="1">
      <alignment vertical="center"/>
    </xf>
    <xf numFmtId="3" fontId="103" fillId="12" borderId="27" xfId="0" applyNumberFormat="1" applyFont="1" applyFill="1" applyBorder="1" applyAlignment="1">
      <alignment vertical="center"/>
    </xf>
    <xf numFmtId="3" fontId="103" fillId="12" borderId="13" xfId="0" applyNumberFormat="1" applyFont="1" applyFill="1" applyBorder="1" applyAlignment="1">
      <alignment vertical="center"/>
    </xf>
    <xf numFmtId="3" fontId="104" fillId="12" borderId="10" xfId="0" applyNumberFormat="1" applyFont="1" applyFill="1" applyBorder="1" applyAlignment="1">
      <alignment vertical="center"/>
    </xf>
    <xf numFmtId="3" fontId="103" fillId="12" borderId="11" xfId="0" applyNumberFormat="1" applyFont="1" applyFill="1" applyBorder="1" applyAlignment="1">
      <alignment vertical="center"/>
    </xf>
    <xf numFmtId="0" fontId="36" fillId="8" borderId="0" xfId="0" applyFont="1" applyFill="1" applyBorder="1" applyAlignment="1">
      <alignment horizontal="right"/>
    </xf>
    <xf numFmtId="3" fontId="103" fillId="8" borderId="0" xfId="0" applyNumberFormat="1" applyFont="1" applyFill="1" applyBorder="1"/>
    <xf numFmtId="3" fontId="104" fillId="8" borderId="10" xfId="0" applyNumberFormat="1" applyFont="1" applyFill="1" applyBorder="1"/>
    <xf numFmtId="3" fontId="103" fillId="8" borderId="11" xfId="0" applyNumberFormat="1" applyFont="1" applyFill="1" applyBorder="1"/>
    <xf numFmtId="0" fontId="36" fillId="15" borderId="51" xfId="0" applyFont="1" applyFill="1" applyBorder="1" applyAlignment="1">
      <alignment horizontal="center" wrapText="1"/>
    </xf>
    <xf numFmtId="3" fontId="36" fillId="15" borderId="39" xfId="0" applyNumberFormat="1" applyFont="1" applyFill="1" applyBorder="1"/>
    <xf numFmtId="3" fontId="19" fillId="15" borderId="39" xfId="0" applyNumberFormat="1" applyFont="1" applyFill="1" applyBorder="1"/>
    <xf numFmtId="3" fontId="36" fillId="15" borderId="39" xfId="0" applyNumberFormat="1" applyFont="1" applyFill="1" applyBorder="1" applyAlignment="1">
      <alignment vertical="center"/>
    </xf>
    <xf numFmtId="3" fontId="36" fillId="15" borderId="78" xfId="0" applyNumberFormat="1" applyFont="1" applyFill="1" applyBorder="1" applyAlignment="1">
      <alignment vertical="center"/>
    </xf>
    <xf numFmtId="3" fontId="19" fillId="15" borderId="78" xfId="0" applyNumberFormat="1" applyFont="1" applyFill="1" applyBorder="1" applyAlignment="1">
      <alignment vertical="center"/>
    </xf>
    <xf numFmtId="3" fontId="36" fillId="15" borderId="52" xfId="0" applyNumberFormat="1" applyFont="1" applyFill="1" applyBorder="1" applyAlignment="1">
      <alignment vertical="center"/>
    </xf>
    <xf numFmtId="3" fontId="36" fillId="15" borderId="50" xfId="0" applyNumberFormat="1" applyFont="1" applyFill="1" applyBorder="1" applyAlignment="1">
      <alignment vertical="center"/>
    </xf>
    <xf numFmtId="3" fontId="36" fillId="15" borderId="51" xfId="0" applyNumberFormat="1" applyFont="1" applyFill="1" applyBorder="1" applyAlignment="1">
      <alignment horizontal="center"/>
    </xf>
    <xf numFmtId="3" fontId="36" fillId="6" borderId="70" xfId="0" applyNumberFormat="1" applyFont="1" applyFill="1" applyBorder="1"/>
    <xf numFmtId="3" fontId="36" fillId="6" borderId="35" xfId="0" applyNumberFormat="1" applyFont="1" applyFill="1" applyBorder="1"/>
    <xf numFmtId="0" fontId="7" fillId="6" borderId="73" xfId="0" applyFont="1" applyFill="1" applyBorder="1" applyAlignment="1">
      <alignment vertical="center" wrapText="1"/>
    </xf>
    <xf numFmtId="3" fontId="8" fillId="6" borderId="47" xfId="0" applyNumberFormat="1" applyFont="1" applyFill="1" applyBorder="1"/>
    <xf numFmtId="3" fontId="8" fillId="6" borderId="72" xfId="0" applyNumberFormat="1" applyFont="1" applyFill="1" applyBorder="1"/>
    <xf numFmtId="3" fontId="8" fillId="6" borderId="77" xfId="0" applyNumberFormat="1" applyFont="1" applyFill="1" applyBorder="1"/>
    <xf numFmtId="3" fontId="8" fillId="6" borderId="149" xfId="0" applyNumberFormat="1" applyFont="1" applyFill="1" applyBorder="1"/>
    <xf numFmtId="3" fontId="36" fillId="6" borderId="12" xfId="0" applyNumberFormat="1" applyFont="1" applyFill="1" applyBorder="1"/>
    <xf numFmtId="3" fontId="8" fillId="12" borderId="0" xfId="0" applyNumberFormat="1" applyFont="1" applyFill="1" applyBorder="1" applyAlignment="1">
      <alignment horizontal="right"/>
    </xf>
    <xf numFmtId="3" fontId="103" fillId="12" borderId="0" xfId="0" applyNumberFormat="1" applyFont="1" applyFill="1" applyBorder="1"/>
    <xf numFmtId="3" fontId="104" fillId="12" borderId="0" xfId="0" applyNumberFormat="1" applyFont="1" applyFill="1" applyBorder="1"/>
    <xf numFmtId="3" fontId="103" fillId="12" borderId="27" xfId="0" applyNumberFormat="1" applyFont="1" applyFill="1" applyBorder="1"/>
    <xf numFmtId="3" fontId="103" fillId="12" borderId="13" xfId="0" applyNumberFormat="1" applyFont="1" applyFill="1" applyBorder="1"/>
    <xf numFmtId="3" fontId="104" fillId="12" borderId="10" xfId="0" applyNumberFormat="1" applyFont="1" applyFill="1" applyBorder="1"/>
    <xf numFmtId="3" fontId="103" fillId="12" borderId="11" xfId="0" applyNumberFormat="1" applyFont="1" applyFill="1" applyBorder="1"/>
    <xf numFmtId="0" fontId="8" fillId="12" borderId="8" xfId="0" applyFont="1" applyFill="1" applyBorder="1" applyAlignment="1">
      <alignment horizontal="right"/>
    </xf>
    <xf numFmtId="3" fontId="103" fillId="12" borderId="8" xfId="0" applyNumberFormat="1" applyFont="1" applyFill="1" applyBorder="1"/>
    <xf numFmtId="3" fontId="104" fillId="12" borderId="46" xfId="0" applyNumberFormat="1" applyFont="1" applyFill="1" applyBorder="1"/>
    <xf numFmtId="3" fontId="103" fillId="12" borderId="21" xfId="0" applyNumberFormat="1" applyFont="1" applyFill="1" applyBorder="1"/>
    <xf numFmtId="0" fontId="86" fillId="0" borderId="13" xfId="0" applyFont="1" applyBorder="1" applyAlignment="1">
      <alignment horizontal="center" vertical="center"/>
    </xf>
    <xf numFmtId="0" fontId="69" fillId="0" borderId="13" xfId="0" applyFont="1" applyBorder="1" applyAlignment="1">
      <alignment horizontal="center" vertical="center"/>
    </xf>
    <xf numFmtId="0" fontId="86" fillId="0" borderId="62" xfId="0" applyFont="1" applyBorder="1" applyAlignment="1">
      <alignment horizontal="center" vertical="center"/>
    </xf>
    <xf numFmtId="0" fontId="86" fillId="0" borderId="47" xfId="0" applyFont="1" applyBorder="1" applyAlignment="1">
      <alignment horizontal="center" vertical="center"/>
    </xf>
    <xf numFmtId="0" fontId="86" fillId="0" borderId="0" xfId="0" applyFont="1" applyBorder="1" applyAlignment="1">
      <alignment horizontal="center" vertical="center"/>
    </xf>
    <xf numFmtId="0" fontId="86" fillId="0" borderId="150" xfId="0" applyFont="1" applyBorder="1" applyAlignment="1">
      <alignment horizontal="center" vertical="center"/>
    </xf>
    <xf numFmtId="0" fontId="69" fillId="0" borderId="10" xfId="0" applyFont="1" applyBorder="1" applyAlignment="1">
      <alignment horizontal="center" vertical="center"/>
    </xf>
    <xf numFmtId="0" fontId="86" fillId="0" borderId="146" xfId="0" applyFont="1" applyBorder="1" applyAlignment="1">
      <alignment horizontal="center" vertical="center"/>
    </xf>
    <xf numFmtId="0" fontId="86" fillId="0" borderId="132" xfId="0" applyFont="1" applyBorder="1" applyAlignment="1">
      <alignment horizontal="center"/>
    </xf>
    <xf numFmtId="0" fontId="8" fillId="16" borderId="15" xfId="0" applyFont="1" applyFill="1" applyBorder="1"/>
    <xf numFmtId="0" fontId="8" fillId="16" borderId="2" xfId="0" applyFont="1" applyFill="1" applyBorder="1"/>
    <xf numFmtId="0" fontId="8" fillId="16" borderId="3" xfId="0" applyFont="1" applyFill="1" applyBorder="1"/>
    <xf numFmtId="0" fontId="8" fillId="16" borderId="5" xfId="0" applyFont="1" applyFill="1" applyBorder="1"/>
    <xf numFmtId="0" fontId="8" fillId="16" borderId="4" xfId="0" applyFont="1" applyFill="1" applyBorder="1"/>
    <xf numFmtId="0" fontId="8" fillId="16" borderId="0" xfId="0" applyFont="1" applyFill="1" applyBorder="1"/>
    <xf numFmtId="3" fontId="36" fillId="16" borderId="12" xfId="5" applyNumberFormat="1" applyFont="1" applyFill="1" applyBorder="1"/>
    <xf numFmtId="3" fontId="19" fillId="16" borderId="12" xfId="5" applyNumberFormat="1" applyFont="1" applyFill="1" applyBorder="1"/>
    <xf numFmtId="3" fontId="36" fillId="16" borderId="74" xfId="5" applyNumberFormat="1" applyFont="1" applyFill="1" applyBorder="1"/>
    <xf numFmtId="3" fontId="36" fillId="16" borderId="12" xfId="5" applyNumberFormat="1" applyFont="1" applyFill="1" applyBorder="1" applyAlignment="1">
      <alignment vertical="center"/>
    </xf>
    <xf numFmtId="3" fontId="36" fillId="16" borderId="74" xfId="5" applyNumberFormat="1" applyFont="1" applyFill="1" applyBorder="1" applyAlignment="1">
      <alignment vertical="center"/>
    </xf>
    <xf numFmtId="3" fontId="19" fillId="16" borderId="74" xfId="5" applyNumberFormat="1" applyFont="1" applyFill="1" applyBorder="1" applyAlignment="1">
      <alignment vertical="center"/>
    </xf>
    <xf numFmtId="3" fontId="36" fillId="16" borderId="25" xfId="5" applyNumberFormat="1" applyFont="1" applyFill="1" applyBorder="1" applyAlignment="1">
      <alignment vertical="center"/>
    </xf>
    <xf numFmtId="3" fontId="36" fillId="16" borderId="23" xfId="5" applyNumberFormat="1" applyFont="1" applyFill="1" applyBorder="1" applyAlignment="1">
      <alignment vertical="center"/>
    </xf>
    <xf numFmtId="3" fontId="36" fillId="16" borderId="24" xfId="5" applyNumberFormat="1" applyFont="1" applyFill="1" applyBorder="1" applyAlignment="1">
      <alignment vertical="center"/>
    </xf>
    <xf numFmtId="0" fontId="7" fillId="8" borderId="20" xfId="0" applyFont="1" applyFill="1" applyBorder="1" applyAlignment="1">
      <alignment vertical="center" wrapText="1"/>
    </xf>
    <xf numFmtId="3" fontId="8" fillId="8" borderId="30" xfId="0" applyNumberFormat="1" applyFont="1" applyFill="1" applyBorder="1"/>
    <xf numFmtId="3" fontId="8" fillId="8" borderId="71" xfId="0" applyNumberFormat="1" applyFont="1" applyFill="1" applyBorder="1"/>
    <xf numFmtId="3" fontId="8" fillId="8" borderId="31" xfId="0" applyNumberFormat="1" applyFont="1" applyFill="1" applyBorder="1"/>
    <xf numFmtId="3" fontId="8" fillId="8" borderId="147" xfId="0" applyNumberFormat="1" applyFont="1" applyFill="1" applyBorder="1"/>
    <xf numFmtId="3" fontId="8" fillId="8" borderId="136" xfId="0" applyNumberFormat="1" applyFont="1" applyFill="1" applyBorder="1"/>
    <xf numFmtId="3" fontId="8" fillId="8" borderId="140" xfId="0" applyNumberFormat="1" applyFont="1" applyFill="1" applyBorder="1"/>
    <xf numFmtId="0" fontId="7" fillId="8" borderId="28" xfId="0" applyFont="1" applyFill="1" applyBorder="1" applyAlignment="1">
      <alignment vertical="center"/>
    </xf>
    <xf numFmtId="0" fontId="7" fillId="8" borderId="73" xfId="0" applyFont="1" applyFill="1" applyBorder="1" applyAlignment="1">
      <alignment vertical="center"/>
    </xf>
    <xf numFmtId="3" fontId="8" fillId="8" borderId="63" xfId="0" applyNumberFormat="1" applyFont="1" applyFill="1" applyBorder="1"/>
    <xf numFmtId="3" fontId="8" fillId="8" borderId="62" xfId="0" applyNumberFormat="1" applyFont="1" applyFill="1" applyBorder="1"/>
    <xf numFmtId="3" fontId="8" fillId="8" borderId="113" xfId="0" applyNumberFormat="1" applyFont="1" applyFill="1" applyBorder="1"/>
    <xf numFmtId="3" fontId="8" fillId="8" borderId="146" xfId="0" applyNumberFormat="1" applyFont="1" applyFill="1" applyBorder="1"/>
    <xf numFmtId="3" fontId="8" fillId="8" borderId="137" xfId="0" applyNumberFormat="1" applyFont="1" applyFill="1" applyBorder="1"/>
    <xf numFmtId="3" fontId="8" fillId="8" borderId="47" xfId="0" applyNumberFormat="1" applyFont="1" applyFill="1" applyBorder="1"/>
    <xf numFmtId="3" fontId="8" fillId="8" borderId="75" xfId="0" applyNumberFormat="1" applyFont="1" applyFill="1" applyBorder="1"/>
    <xf numFmtId="3" fontId="8" fillId="8" borderId="150" xfId="0" applyNumberFormat="1" applyFont="1" applyFill="1" applyBorder="1"/>
    <xf numFmtId="3" fontId="8" fillId="8" borderId="77" xfId="0" applyNumberFormat="1" applyFont="1" applyFill="1" applyBorder="1"/>
    <xf numFmtId="3" fontId="8" fillId="8" borderId="149" xfId="0" applyNumberFormat="1" applyFont="1" applyFill="1" applyBorder="1"/>
    <xf numFmtId="0" fontId="7" fillId="17" borderId="0" xfId="0" applyFont="1" applyFill="1" applyBorder="1" applyAlignment="1">
      <alignment vertical="center" wrapText="1"/>
    </xf>
    <xf numFmtId="3" fontId="104" fillId="17" borderId="0" xfId="0" applyNumberFormat="1" applyFont="1" applyFill="1" applyBorder="1"/>
    <xf numFmtId="3" fontId="104" fillId="17" borderId="13" xfId="0" applyNumberFormat="1" applyFont="1" applyFill="1" applyBorder="1"/>
    <xf numFmtId="3" fontId="104" fillId="17" borderId="10" xfId="0" applyNumberFormat="1" applyFont="1" applyFill="1" applyBorder="1"/>
    <xf numFmtId="3" fontId="104" fillId="17" borderId="11" xfId="0" applyNumberFormat="1" applyFont="1" applyFill="1" applyBorder="1"/>
    <xf numFmtId="0" fontId="28" fillId="8" borderId="0" xfId="0" applyFont="1" applyFill="1" applyBorder="1" applyAlignment="1">
      <alignment horizontal="right" vertical="center" wrapText="1"/>
    </xf>
    <xf numFmtId="3" fontId="104" fillId="8" borderId="0" xfId="0" applyNumberFormat="1" applyFont="1" applyFill="1" applyBorder="1"/>
    <xf numFmtId="3" fontId="104" fillId="8" borderId="13" xfId="0" applyNumberFormat="1" applyFont="1" applyFill="1" applyBorder="1"/>
    <xf numFmtId="3" fontId="104" fillId="8" borderId="11" xfId="0" applyNumberFormat="1" applyFont="1" applyFill="1" applyBorder="1"/>
    <xf numFmtId="3" fontId="19" fillId="8" borderId="0" xfId="0" applyNumberFormat="1" applyFont="1" applyFill="1" applyBorder="1"/>
    <xf numFmtId="3" fontId="19" fillId="8" borderId="13" xfId="0" applyNumberFormat="1" applyFont="1" applyFill="1" applyBorder="1"/>
    <xf numFmtId="3" fontId="19" fillId="8" borderId="10" xfId="0" applyNumberFormat="1" applyFont="1" applyFill="1" applyBorder="1"/>
    <xf numFmtId="3" fontId="19" fillId="8" borderId="11" xfId="0" applyNumberFormat="1" applyFont="1" applyFill="1" applyBorder="1"/>
    <xf numFmtId="0" fontId="36" fillId="16" borderId="51" xfId="0" applyFont="1" applyFill="1" applyBorder="1" applyAlignment="1">
      <alignment horizontal="center" wrapText="1"/>
    </xf>
    <xf numFmtId="3" fontId="19" fillId="16" borderId="39" xfId="5" applyNumberFormat="1" applyFont="1" applyFill="1" applyBorder="1"/>
    <xf numFmtId="3" fontId="19" fillId="16" borderId="78" xfId="5" applyNumberFormat="1" applyFont="1" applyFill="1" applyBorder="1"/>
    <xf numFmtId="3" fontId="19" fillId="16" borderId="52" xfId="5" applyNumberFormat="1" applyFont="1" applyFill="1" applyBorder="1"/>
    <xf numFmtId="3" fontId="19" fillId="16" borderId="50" xfId="5" applyNumberFormat="1" applyFont="1" applyFill="1" applyBorder="1"/>
    <xf numFmtId="3" fontId="19" fillId="16" borderId="0" xfId="0" applyNumberFormat="1" applyFont="1" applyFill="1" applyBorder="1" applyAlignment="1">
      <alignment horizontal="center"/>
    </xf>
    <xf numFmtId="3" fontId="8" fillId="8" borderId="70" xfId="0" applyNumberFormat="1" applyFont="1" applyFill="1" applyBorder="1"/>
    <xf numFmtId="3" fontId="8" fillId="8" borderId="79" xfId="0" applyNumberFormat="1" applyFont="1" applyFill="1" applyBorder="1"/>
    <xf numFmtId="3" fontId="8" fillId="8" borderId="19" xfId="0" applyNumberFormat="1" applyFont="1" applyFill="1" applyBorder="1"/>
    <xf numFmtId="3" fontId="8" fillId="8" borderId="17" xfId="0" applyNumberFormat="1" applyFont="1" applyFill="1" applyBorder="1"/>
    <xf numFmtId="3" fontId="8" fillId="8" borderId="35" xfId="0" applyNumberFormat="1" applyFont="1" applyFill="1" applyBorder="1"/>
    <xf numFmtId="3" fontId="8" fillId="8" borderId="0" xfId="0" applyNumberFormat="1" applyFont="1" applyFill="1" applyBorder="1"/>
    <xf numFmtId="3" fontId="8" fillId="8" borderId="30" xfId="0" applyNumberFormat="1" applyFont="1" applyFill="1" applyBorder="1" applyAlignment="1">
      <alignment vertical="center"/>
    </xf>
    <xf numFmtId="3" fontId="8" fillId="8" borderId="147" xfId="0" applyNumberFormat="1" applyFont="1" applyFill="1" applyBorder="1" applyAlignment="1">
      <alignment vertical="center"/>
    </xf>
    <xf numFmtId="3" fontId="8" fillId="8" borderId="136" xfId="0" applyNumberFormat="1" applyFont="1" applyFill="1" applyBorder="1" applyAlignment="1">
      <alignment vertical="center"/>
    </xf>
    <xf numFmtId="3" fontId="8" fillId="8" borderId="140" xfId="0" applyNumberFormat="1" applyFont="1" applyFill="1" applyBorder="1" applyAlignment="1">
      <alignment vertical="center"/>
    </xf>
    <xf numFmtId="3" fontId="8" fillId="8" borderId="0" xfId="0" applyNumberFormat="1" applyFont="1" applyFill="1" applyBorder="1" applyAlignment="1">
      <alignment vertical="center"/>
    </xf>
    <xf numFmtId="0" fontId="7" fillId="8" borderId="73" xfId="0" applyFont="1" applyFill="1" applyBorder="1" applyAlignment="1">
      <alignment vertical="center" wrapText="1"/>
    </xf>
    <xf numFmtId="3" fontId="8" fillId="8" borderId="134" xfId="0" applyNumberFormat="1" applyFont="1" applyFill="1" applyBorder="1"/>
    <xf numFmtId="0" fontId="8" fillId="17" borderId="0" xfId="0" applyFont="1" applyFill="1" applyBorder="1" applyAlignment="1">
      <alignment horizontal="right"/>
    </xf>
    <xf numFmtId="3" fontId="86" fillId="17" borderId="0" xfId="0" applyNumberFormat="1" applyFont="1" applyFill="1" applyBorder="1"/>
    <xf numFmtId="3" fontId="86" fillId="17" borderId="13" xfId="0" applyNumberFormat="1" applyFont="1" applyFill="1" applyBorder="1"/>
    <xf numFmtId="3" fontId="86" fillId="17" borderId="10" xfId="0" applyNumberFormat="1" applyFont="1" applyFill="1" applyBorder="1"/>
    <xf numFmtId="3" fontId="69" fillId="17" borderId="10" xfId="0" applyNumberFormat="1" applyFont="1" applyFill="1" applyBorder="1"/>
    <xf numFmtId="3" fontId="86" fillId="17" borderId="11" xfId="0" applyNumberFormat="1" applyFont="1" applyFill="1" applyBorder="1"/>
    <xf numFmtId="3" fontId="8" fillId="17" borderId="0" xfId="0" applyNumberFormat="1" applyFont="1" applyFill="1" applyBorder="1"/>
    <xf numFmtId="0" fontId="36" fillId="0" borderId="27" xfId="0" applyFont="1" applyBorder="1" applyAlignment="1">
      <alignment horizontal="center" vertical="center"/>
    </xf>
    <xf numFmtId="0" fontId="69" fillId="0" borderId="63" xfId="0" applyFont="1" applyBorder="1" applyAlignment="1">
      <alignment horizontal="center" vertical="center"/>
    </xf>
    <xf numFmtId="0" fontId="36" fillId="18" borderId="3" xfId="0" applyFont="1" applyFill="1" applyBorder="1" applyAlignment="1">
      <alignment horizontal="center" vertical="center"/>
    </xf>
    <xf numFmtId="0" fontId="8" fillId="18" borderId="15" xfId="0" applyFont="1" applyFill="1" applyBorder="1" applyAlignment="1">
      <alignment vertical="center"/>
    </xf>
    <xf numFmtId="0" fontId="8" fillId="18" borderId="2" xfId="0" applyFont="1" applyFill="1" applyBorder="1" applyAlignment="1">
      <alignment vertical="center"/>
    </xf>
    <xf numFmtId="0" fontId="8" fillId="18" borderId="3" xfId="0" applyFont="1" applyFill="1" applyBorder="1" applyAlignment="1">
      <alignment vertical="center"/>
    </xf>
    <xf numFmtId="0" fontId="8" fillId="18" borderId="5" xfId="0" applyFont="1" applyFill="1" applyBorder="1" applyAlignment="1">
      <alignment vertical="center"/>
    </xf>
    <xf numFmtId="0" fontId="8" fillId="18" borderId="4" xfId="0" applyFont="1" applyFill="1" applyBorder="1" applyAlignment="1">
      <alignment vertical="center"/>
    </xf>
    <xf numFmtId="0" fontId="8" fillId="18" borderId="0" xfId="0" applyFont="1" applyFill="1" applyBorder="1" applyAlignment="1">
      <alignment vertical="center"/>
    </xf>
    <xf numFmtId="0" fontId="36" fillId="18" borderId="24" xfId="0" applyFont="1" applyFill="1" applyBorder="1" applyAlignment="1">
      <alignment horizontal="center" vertical="center"/>
    </xf>
    <xf numFmtId="3" fontId="36" fillId="18" borderId="12" xfId="0" applyNumberFormat="1" applyFont="1" applyFill="1" applyBorder="1" applyAlignment="1">
      <alignment vertical="center"/>
    </xf>
    <xf numFmtId="3" fontId="36" fillId="18" borderId="74" xfId="0" applyNumberFormat="1" applyFont="1" applyFill="1" applyBorder="1" applyAlignment="1">
      <alignment vertical="center"/>
    </xf>
    <xf numFmtId="3" fontId="19" fillId="18" borderId="74" xfId="0" applyNumberFormat="1" applyFont="1" applyFill="1" applyBorder="1" applyAlignment="1">
      <alignment vertical="center"/>
    </xf>
    <xf numFmtId="3" fontId="36" fillId="18" borderId="25" xfId="0" applyNumberFormat="1" applyFont="1" applyFill="1" applyBorder="1" applyAlignment="1">
      <alignment vertical="center"/>
    </xf>
    <xf numFmtId="3" fontId="36" fillId="18" borderId="23" xfId="0" applyNumberFormat="1" applyFont="1" applyFill="1" applyBorder="1" applyAlignment="1">
      <alignment vertical="center"/>
    </xf>
    <xf numFmtId="3" fontId="36" fillId="18" borderId="0" xfId="0" applyNumberFormat="1" applyFont="1" applyFill="1" applyBorder="1" applyAlignment="1">
      <alignment vertical="center"/>
    </xf>
    <xf numFmtId="0" fontId="7" fillId="11" borderId="20" xfId="0" applyFont="1" applyFill="1" applyBorder="1" applyAlignment="1">
      <alignment vertical="center" wrapText="1"/>
    </xf>
    <xf numFmtId="3" fontId="6" fillId="11" borderId="70" xfId="0" applyNumberFormat="1" applyFont="1" applyFill="1" applyBorder="1"/>
    <xf numFmtId="3" fontId="6" fillId="11" borderId="79" xfId="0" applyNumberFormat="1" applyFont="1" applyFill="1" applyBorder="1"/>
    <xf numFmtId="3" fontId="8" fillId="11" borderId="79" xfId="0" applyNumberFormat="1" applyFont="1" applyFill="1" applyBorder="1"/>
    <xf numFmtId="3" fontId="6" fillId="11" borderId="19" xfId="0" applyNumberFormat="1" applyFont="1" applyFill="1" applyBorder="1"/>
    <xf numFmtId="3" fontId="6" fillId="11" borderId="17" xfId="0" applyNumberFormat="1" applyFont="1" applyFill="1" applyBorder="1"/>
    <xf numFmtId="3" fontId="6" fillId="11" borderId="30" xfId="0" applyNumberFormat="1" applyFont="1" applyFill="1" applyBorder="1"/>
    <xf numFmtId="3" fontId="6" fillId="11" borderId="0" xfId="0" applyNumberFormat="1" applyFont="1" applyFill="1" applyBorder="1"/>
    <xf numFmtId="0" fontId="7" fillId="11" borderId="28" xfId="0" applyFont="1" applyFill="1" applyBorder="1" applyAlignment="1">
      <alignment vertical="center" wrapText="1"/>
    </xf>
    <xf numFmtId="3" fontId="6" fillId="11" borderId="71" xfId="0" applyNumberFormat="1" applyFont="1" applyFill="1" applyBorder="1"/>
    <xf numFmtId="3" fontId="6" fillId="11" borderId="147" xfId="0" applyNumberFormat="1" applyFont="1" applyFill="1" applyBorder="1"/>
    <xf numFmtId="3" fontId="8" fillId="11" borderId="147" xfId="0" applyNumberFormat="1" applyFont="1" applyFill="1" applyBorder="1"/>
    <xf numFmtId="3" fontId="6" fillId="11" borderId="136" xfId="0" applyNumberFormat="1" applyFont="1" applyFill="1" applyBorder="1"/>
    <xf numFmtId="3" fontId="6" fillId="11" borderId="140" xfId="0" applyNumberFormat="1" applyFont="1" applyFill="1" applyBorder="1"/>
    <xf numFmtId="0" fontId="7" fillId="11" borderId="73" xfId="0" applyFont="1" applyFill="1" applyBorder="1" applyAlignment="1">
      <alignment vertical="center" wrapText="1"/>
    </xf>
    <xf numFmtId="0" fontId="7" fillId="11" borderId="37" xfId="0" applyFont="1" applyFill="1" applyBorder="1" applyAlignment="1">
      <alignment vertical="center" wrapText="1"/>
    </xf>
    <xf numFmtId="3" fontId="6" fillId="11" borderId="47" xfId="0" applyNumberFormat="1" applyFont="1" applyFill="1" applyBorder="1"/>
    <xf numFmtId="3" fontId="6" fillId="11" borderId="75" xfId="0" applyNumberFormat="1" applyFont="1" applyFill="1" applyBorder="1"/>
    <xf numFmtId="3" fontId="6" fillId="11" borderId="150" xfId="0" applyNumberFormat="1" applyFont="1" applyFill="1" applyBorder="1"/>
    <xf numFmtId="3" fontId="8" fillId="11" borderId="150" xfId="0" applyNumberFormat="1" applyFont="1" applyFill="1" applyBorder="1"/>
    <xf numFmtId="3" fontId="6" fillId="11" borderId="77" xfId="0" applyNumberFormat="1" applyFont="1" applyFill="1" applyBorder="1"/>
    <xf numFmtId="3" fontId="6" fillId="11" borderId="149" xfId="0" applyNumberFormat="1" applyFont="1" applyFill="1" applyBorder="1"/>
    <xf numFmtId="0" fontId="36" fillId="18" borderId="51" xfId="0" applyFont="1" applyFill="1" applyBorder="1" applyAlignment="1">
      <alignment horizontal="right"/>
    </xf>
    <xf numFmtId="3" fontId="103" fillId="18" borderId="51" xfId="0" applyNumberFormat="1" applyFont="1" applyFill="1" applyBorder="1" applyAlignment="1">
      <alignment vertical="top"/>
    </xf>
    <xf numFmtId="3" fontId="104" fillId="18" borderId="51" xfId="0" applyNumberFormat="1" applyFont="1" applyFill="1" applyBorder="1" applyAlignment="1">
      <alignment vertical="top"/>
    </xf>
    <xf numFmtId="3" fontId="103" fillId="18" borderId="39" xfId="0" applyNumberFormat="1" applyFont="1" applyFill="1" applyBorder="1" applyAlignment="1">
      <alignment vertical="top"/>
    </xf>
    <xf numFmtId="3" fontId="103" fillId="18" borderId="78" xfId="0" applyNumberFormat="1" applyFont="1" applyFill="1" applyBorder="1" applyAlignment="1">
      <alignment vertical="top"/>
    </xf>
    <xf numFmtId="3" fontId="104" fillId="18" borderId="78" xfId="0" applyNumberFormat="1" applyFont="1" applyFill="1" applyBorder="1" applyAlignment="1">
      <alignment vertical="top"/>
    </xf>
    <xf numFmtId="3" fontId="103" fillId="18" borderId="52" xfId="0" applyNumberFormat="1" applyFont="1" applyFill="1" applyBorder="1" applyAlignment="1">
      <alignment vertical="top"/>
    </xf>
    <xf numFmtId="3" fontId="103" fillId="18" borderId="50" xfId="0" applyNumberFormat="1" applyFont="1" applyFill="1" applyBorder="1" applyAlignment="1">
      <alignment vertical="top"/>
    </xf>
    <xf numFmtId="3" fontId="103" fillId="18" borderId="0" xfId="0" applyNumberFormat="1" applyFont="1" applyFill="1" applyBorder="1" applyAlignment="1">
      <alignment vertical="top"/>
    </xf>
    <xf numFmtId="0" fontId="103" fillId="0" borderId="0" xfId="0" applyFont="1" applyBorder="1" applyAlignment="1">
      <alignment horizontal="right"/>
    </xf>
    <xf numFmtId="3" fontId="103" fillId="2" borderId="0" xfId="0" applyNumberFormat="1" applyFont="1" applyFill="1" applyBorder="1" applyAlignment="1">
      <alignment vertical="top"/>
    </xf>
    <xf numFmtId="3" fontId="104" fillId="2" borderId="0" xfId="0" applyNumberFormat="1" applyFont="1" applyFill="1" applyBorder="1" applyAlignment="1">
      <alignment vertical="top"/>
    </xf>
    <xf numFmtId="3" fontId="103" fillId="2" borderId="13" xfId="0" applyNumberFormat="1" applyFont="1" applyFill="1" applyBorder="1" applyAlignment="1">
      <alignment vertical="top"/>
    </xf>
    <xf numFmtId="3" fontId="103" fillId="2" borderId="10" xfId="0" applyNumberFormat="1" applyFont="1" applyFill="1" applyBorder="1" applyAlignment="1">
      <alignment vertical="top"/>
    </xf>
    <xf numFmtId="3" fontId="104" fillId="2" borderId="10" xfId="0" applyNumberFormat="1" applyFont="1" applyFill="1" applyBorder="1" applyAlignment="1">
      <alignment vertical="top"/>
    </xf>
    <xf numFmtId="3" fontId="103" fillId="2" borderId="11" xfId="0" applyNumberFormat="1" applyFont="1" applyFill="1" applyBorder="1" applyAlignment="1">
      <alignment vertical="top"/>
    </xf>
    <xf numFmtId="0" fontId="36" fillId="18" borderId="51" xfId="0" applyFont="1" applyFill="1" applyBorder="1" applyAlignment="1">
      <alignment horizontal="center"/>
    </xf>
    <xf numFmtId="3" fontId="36" fillId="18" borderId="39" xfId="0" applyNumberFormat="1" applyFont="1" applyFill="1" applyBorder="1"/>
    <xf numFmtId="3" fontId="36" fillId="18" borderId="78" xfId="0" applyNumberFormat="1" applyFont="1" applyFill="1" applyBorder="1"/>
    <xf numFmtId="3" fontId="19" fillId="18" borderId="78" xfId="0" applyNumberFormat="1" applyFont="1" applyFill="1" applyBorder="1"/>
    <xf numFmtId="3" fontId="36" fillId="18" borderId="52" xfId="0" applyNumberFormat="1" applyFont="1" applyFill="1" applyBorder="1"/>
    <xf numFmtId="3" fontId="36" fillId="18" borderId="50" xfId="0" applyNumberFormat="1" applyFont="1" applyFill="1" applyBorder="1"/>
    <xf numFmtId="3" fontId="36" fillId="18" borderId="0" xfId="0" applyNumberFormat="1" applyFont="1" applyFill="1" applyBorder="1" applyAlignment="1">
      <alignment horizontal="center"/>
    </xf>
    <xf numFmtId="3" fontId="8" fillId="11" borderId="70" xfId="0" applyNumberFormat="1" applyFont="1" applyFill="1" applyBorder="1"/>
    <xf numFmtId="43" fontId="8" fillId="11" borderId="0" xfId="1" applyFont="1" applyFill="1" applyBorder="1"/>
    <xf numFmtId="3" fontId="8" fillId="11" borderId="30" xfId="0" applyNumberFormat="1" applyFont="1" applyFill="1" applyBorder="1"/>
    <xf numFmtId="3" fontId="6" fillId="11" borderId="30" xfId="0" applyNumberFormat="1" applyFont="1" applyFill="1" applyBorder="1" applyAlignment="1">
      <alignment vertical="center"/>
    </xf>
    <xf numFmtId="3" fontId="6" fillId="11" borderId="71" xfId="0" applyNumberFormat="1" applyFont="1" applyFill="1" applyBorder="1" applyAlignment="1">
      <alignment vertical="center"/>
    </xf>
    <xf numFmtId="3" fontId="6" fillId="11" borderId="147" xfId="0" applyNumberFormat="1" applyFont="1" applyFill="1" applyBorder="1" applyAlignment="1">
      <alignment vertical="center"/>
    </xf>
    <xf numFmtId="3" fontId="8" fillId="11" borderId="147" xfId="0" applyNumberFormat="1" applyFont="1" applyFill="1" applyBorder="1" applyAlignment="1">
      <alignment vertical="center"/>
    </xf>
    <xf numFmtId="3" fontId="6" fillId="11" borderId="136" xfId="0" applyNumberFormat="1" applyFont="1" applyFill="1" applyBorder="1" applyAlignment="1">
      <alignment vertical="center"/>
    </xf>
    <xf numFmtId="3" fontId="6" fillId="11" borderId="140" xfId="0" applyNumberFormat="1" applyFont="1" applyFill="1" applyBorder="1" applyAlignment="1">
      <alignment vertical="center"/>
    </xf>
    <xf numFmtId="43" fontId="8" fillId="11" borderId="0" xfId="1" applyFont="1" applyFill="1" applyBorder="1" applyAlignment="1">
      <alignment vertical="center"/>
    </xf>
    <xf numFmtId="0" fontId="8" fillId="18" borderId="24" xfId="0" applyFont="1" applyFill="1" applyBorder="1" applyAlignment="1">
      <alignment horizontal="right"/>
    </xf>
    <xf numFmtId="3" fontId="8" fillId="18" borderId="24" xfId="0" applyNumberFormat="1" applyFont="1" applyFill="1" applyBorder="1"/>
    <xf numFmtId="3" fontId="8" fillId="18" borderId="12" xfId="0" applyNumberFormat="1" applyFont="1" applyFill="1" applyBorder="1"/>
    <xf numFmtId="3" fontId="8" fillId="18" borderId="74" xfId="0" applyNumberFormat="1" applyFont="1" applyFill="1" applyBorder="1"/>
    <xf numFmtId="3" fontId="8" fillId="18" borderId="25" xfId="0" applyNumberFormat="1" applyFont="1" applyFill="1" applyBorder="1"/>
    <xf numFmtId="3" fontId="8" fillId="18" borderId="0" xfId="0" applyNumberFormat="1" applyFont="1" applyFill="1" applyBorder="1"/>
    <xf numFmtId="0" fontId="8" fillId="0" borderId="13" xfId="0" applyFont="1" applyBorder="1"/>
    <xf numFmtId="0" fontId="8" fillId="0" borderId="10" xfId="0" applyFont="1" applyBorder="1"/>
    <xf numFmtId="3" fontId="103" fillId="0" borderId="0" xfId="0" applyNumberFormat="1" applyFont="1" applyBorder="1"/>
    <xf numFmtId="3" fontId="104" fillId="0" borderId="0" xfId="0" applyNumberFormat="1" applyFont="1" applyBorder="1"/>
    <xf numFmtId="3" fontId="103" fillId="0" borderId="13" xfId="0" applyNumberFormat="1" applyFont="1" applyBorder="1"/>
    <xf numFmtId="3" fontId="103" fillId="0" borderId="10" xfId="0" applyNumberFormat="1" applyFont="1" applyBorder="1"/>
    <xf numFmtId="3" fontId="8" fillId="0" borderId="13" xfId="0" applyNumberFormat="1" applyFont="1" applyBorder="1"/>
    <xf numFmtId="3" fontId="8" fillId="0" borderId="74" xfId="0" applyNumberFormat="1" applyFont="1" applyBorder="1"/>
    <xf numFmtId="3" fontId="105" fillId="0" borderId="104" xfId="5" applyNumberFormat="1" applyFont="1" applyBorder="1" applyAlignment="1">
      <alignment horizontal="center" vertical="center"/>
    </xf>
    <xf numFmtId="0" fontId="105" fillId="0" borderId="104" xfId="0" applyFont="1" applyBorder="1" applyAlignment="1">
      <alignment horizontal="center" vertical="center"/>
    </xf>
    <xf numFmtId="0" fontId="106" fillId="0" borderId="105" xfId="5" applyFont="1" applyBorder="1" applyAlignment="1">
      <alignment horizontal="center" vertical="center" wrapText="1"/>
    </xf>
    <xf numFmtId="3" fontId="107" fillId="20" borderId="177" xfId="5" applyNumberFormat="1" applyFont="1" applyFill="1" applyBorder="1"/>
    <xf numFmtId="3" fontId="107" fillId="20" borderId="104" xfId="5" applyNumberFormat="1" applyFont="1" applyFill="1" applyBorder="1" applyAlignment="1">
      <alignment vertical="center"/>
    </xf>
    <xf numFmtId="0" fontId="108" fillId="20" borderId="105" xfId="5" applyFont="1" applyFill="1" applyBorder="1" applyAlignment="1">
      <alignment horizontal="center" vertical="center"/>
    </xf>
    <xf numFmtId="0" fontId="90" fillId="0" borderId="0" xfId="5" applyFont="1" applyBorder="1" applyAlignment="1">
      <alignment horizontal="left" vertical="center" wrapText="1"/>
    </xf>
    <xf numFmtId="0" fontId="20" fillId="0" borderId="3" xfId="0" applyFont="1" applyBorder="1" applyAlignment="1">
      <alignment wrapText="1"/>
    </xf>
    <xf numFmtId="0" fontId="8" fillId="0" borderId="3" xfId="0" applyFont="1" applyBorder="1"/>
    <xf numFmtId="0" fontId="0" fillId="0" borderId="3" xfId="0" applyFont="1" applyBorder="1"/>
    <xf numFmtId="0" fontId="8" fillId="0" borderId="24" xfId="0" applyFont="1" applyBorder="1"/>
    <xf numFmtId="0" fontId="8" fillId="0" borderId="27" xfId="0" applyFont="1" applyBorder="1"/>
    <xf numFmtId="43" fontId="7" fillId="0" borderId="9" xfId="1" applyFont="1" applyFill="1" applyBorder="1" applyAlignment="1">
      <alignment horizontal="right" vertical="center"/>
    </xf>
    <xf numFmtId="3" fontId="29" fillId="2" borderId="183" xfId="4" applyNumberFormat="1" applyFont="1" applyFill="1" applyBorder="1" applyAlignment="1">
      <alignment vertical="center" wrapText="1"/>
    </xf>
    <xf numFmtId="0" fontId="7" fillId="0" borderId="183" xfId="4" applyFont="1" applyFill="1" applyBorder="1" applyAlignment="1">
      <alignment vertical="center"/>
    </xf>
    <xf numFmtId="43" fontId="7" fillId="0" borderId="10" xfId="1" applyFont="1" applyFill="1" applyBorder="1" applyAlignment="1">
      <alignment horizontal="right" vertical="center"/>
    </xf>
    <xf numFmtId="43" fontId="31" fillId="25" borderId="174" xfId="1" applyFont="1" applyFill="1" applyBorder="1" applyAlignment="1">
      <alignment horizontal="right" vertical="center"/>
    </xf>
    <xf numFmtId="43" fontId="31" fillId="0" borderId="10" xfId="1" applyFont="1" applyFill="1" applyBorder="1" applyAlignment="1">
      <alignment horizontal="right" vertical="center"/>
    </xf>
    <xf numFmtId="0" fontId="29" fillId="2" borderId="183" xfId="4" applyFont="1" applyFill="1" applyBorder="1" applyAlignment="1">
      <alignment vertical="center"/>
    </xf>
    <xf numFmtId="0" fontId="7" fillId="0" borderId="180" xfId="4" applyFont="1" applyFill="1" applyBorder="1" applyAlignment="1">
      <alignment vertical="center"/>
    </xf>
    <xf numFmtId="0" fontId="24" fillId="6" borderId="36" xfId="4" applyFont="1" applyFill="1" applyBorder="1" applyAlignment="1">
      <alignment horizontal="left" vertical="center"/>
    </xf>
    <xf numFmtId="43" fontId="24" fillId="32" borderId="9" xfId="1" applyFont="1" applyFill="1" applyBorder="1" applyAlignment="1">
      <alignment vertical="center"/>
    </xf>
    <xf numFmtId="3" fontId="31" fillId="32" borderId="9" xfId="4" applyNumberFormat="1" applyFont="1" applyFill="1" applyBorder="1" applyAlignment="1">
      <alignment vertical="center"/>
    </xf>
    <xf numFmtId="3" fontId="25" fillId="8" borderId="17" xfId="4" applyNumberFormat="1" applyFont="1" applyFill="1" applyBorder="1" applyAlignment="1">
      <alignment vertical="center"/>
    </xf>
    <xf numFmtId="0" fontId="25" fillId="6" borderId="143" xfId="4" applyFont="1" applyFill="1" applyBorder="1" applyAlignment="1">
      <alignment horizontal="left" vertical="center"/>
    </xf>
    <xf numFmtId="3" fontId="25" fillId="6" borderId="140" xfId="4" applyNumberFormat="1" applyFont="1" applyFill="1" applyBorder="1" applyAlignment="1">
      <alignment vertical="center"/>
    </xf>
    <xf numFmtId="3" fontId="25" fillId="6" borderId="138" xfId="4" applyNumberFormat="1" applyFont="1" applyFill="1" applyBorder="1" applyAlignment="1">
      <alignment vertical="center"/>
    </xf>
    <xf numFmtId="3" fontId="25" fillId="6" borderId="9" xfId="4" applyNumberFormat="1" applyFont="1" applyFill="1" applyBorder="1" applyAlignment="1">
      <alignment vertical="center"/>
    </xf>
    <xf numFmtId="43" fontId="25" fillId="6" borderId="9" xfId="1" applyFont="1" applyFill="1" applyBorder="1" applyAlignment="1">
      <alignment vertical="center"/>
    </xf>
    <xf numFmtId="43" fontId="25" fillId="6" borderId="138" xfId="1" applyFont="1" applyFill="1" applyBorder="1" applyAlignment="1">
      <alignment vertical="center"/>
    </xf>
    <xf numFmtId="3" fontId="27" fillId="2" borderId="143" xfId="4" applyNumberFormat="1" applyFont="1" applyFill="1" applyBorder="1" applyAlignment="1">
      <alignment vertical="center" wrapText="1"/>
    </xf>
    <xf numFmtId="3" fontId="27" fillId="0" borderId="27" xfId="4" applyNumberFormat="1" applyFont="1" applyFill="1" applyBorder="1" applyAlignment="1">
      <alignment vertical="center"/>
    </xf>
    <xf numFmtId="43" fontId="27" fillId="0" borderId="27" xfId="1" applyFont="1" applyFill="1" applyBorder="1" applyAlignment="1">
      <alignment vertical="center"/>
    </xf>
    <xf numFmtId="3" fontId="31" fillId="0" borderId="137" xfId="4" applyNumberFormat="1" applyFont="1" applyFill="1" applyBorder="1" applyAlignment="1">
      <alignment vertical="center"/>
    </xf>
    <xf numFmtId="3" fontId="31" fillId="0" borderId="138" xfId="4" applyNumberFormat="1" applyFont="1" applyFill="1" applyBorder="1" applyAlignment="1">
      <alignment horizontal="right" vertical="center"/>
    </xf>
    <xf numFmtId="43" fontId="31" fillId="0" borderId="140" xfId="1" applyFont="1" applyFill="1" applyBorder="1" applyAlignment="1">
      <alignment vertical="center"/>
    </xf>
    <xf numFmtId="43" fontId="31" fillId="0" borderId="140" xfId="1" applyFont="1" applyFill="1" applyBorder="1" applyAlignment="1">
      <alignment horizontal="right" vertical="center"/>
    </xf>
    <xf numFmtId="43" fontId="7" fillId="0" borderId="140" xfId="1" applyFont="1" applyFill="1" applyBorder="1" applyAlignment="1">
      <alignment horizontal="right" vertical="center"/>
    </xf>
    <xf numFmtId="3" fontId="31" fillId="0" borderId="140" xfId="4" applyNumberFormat="1" applyFont="1" applyFill="1" applyBorder="1" applyAlignment="1">
      <alignment horizontal="right" vertical="center"/>
    </xf>
    <xf numFmtId="3" fontId="31" fillId="0" borderId="139" xfId="4" applyNumberFormat="1" applyFont="1" applyFill="1" applyBorder="1" applyAlignment="1">
      <alignment horizontal="right" vertical="center"/>
    </xf>
    <xf numFmtId="43" fontId="31" fillId="0" borderId="137" xfId="1" applyFont="1" applyFill="1" applyBorder="1" applyAlignment="1">
      <alignment horizontal="right" vertical="center"/>
    </xf>
    <xf numFmtId="43" fontId="7" fillId="0" borderId="137" xfId="1" applyFont="1" applyFill="1" applyBorder="1" applyAlignment="1">
      <alignment horizontal="right" vertical="center"/>
    </xf>
    <xf numFmtId="3" fontId="31" fillId="0" borderId="137" xfId="4" applyNumberFormat="1" applyFont="1" applyFill="1" applyBorder="1" applyAlignment="1">
      <alignment horizontal="right" vertical="center"/>
    </xf>
    <xf numFmtId="0" fontId="27" fillId="2" borderId="143" xfId="4" applyFont="1" applyFill="1" applyBorder="1" applyAlignment="1">
      <alignment vertical="center"/>
    </xf>
    <xf numFmtId="3" fontId="33" fillId="0" borderId="140" xfId="6" applyNumberFormat="1" applyFont="1" applyFill="1" applyBorder="1" applyAlignment="1">
      <alignment vertical="center"/>
    </xf>
    <xf numFmtId="3" fontId="33" fillId="0" borderId="138" xfId="6" applyNumberFormat="1" applyFont="1" applyFill="1" applyBorder="1" applyAlignment="1">
      <alignment vertical="center"/>
    </xf>
    <xf numFmtId="43" fontId="33" fillId="0" borderId="138" xfId="1" applyFont="1" applyFill="1" applyBorder="1" applyAlignment="1">
      <alignment vertical="center"/>
    </xf>
    <xf numFmtId="43" fontId="24" fillId="6" borderId="138" xfId="1" applyFont="1" applyFill="1" applyBorder="1" applyAlignment="1">
      <alignment vertical="center"/>
    </xf>
    <xf numFmtId="3" fontId="24" fillId="26" borderId="113" xfId="4" applyNumberFormat="1" applyFont="1" applyFill="1" applyBorder="1" applyAlignment="1">
      <alignment horizontal="center" vertical="center"/>
    </xf>
    <xf numFmtId="3" fontId="32" fillId="0" borderId="9" xfId="6" applyNumberFormat="1" applyFont="1" applyFill="1" applyBorder="1" applyAlignment="1">
      <alignment vertical="center"/>
    </xf>
    <xf numFmtId="3" fontId="31" fillId="0" borderId="140" xfId="4" applyNumberFormat="1" applyFont="1" applyFill="1" applyBorder="1" applyAlignment="1">
      <alignment vertical="center"/>
    </xf>
    <xf numFmtId="43" fontId="32" fillId="0" borderId="9" xfId="1" applyFont="1" applyFill="1" applyBorder="1" applyAlignment="1">
      <alignment vertical="center"/>
    </xf>
    <xf numFmtId="3" fontId="32" fillId="0" borderId="138" xfId="6" applyNumberFormat="1" applyFont="1" applyFill="1" applyBorder="1" applyAlignment="1">
      <alignment vertical="center"/>
    </xf>
    <xf numFmtId="43" fontId="32" fillId="0" borderId="138" xfId="1" applyFont="1" applyFill="1" applyBorder="1" applyAlignment="1">
      <alignment vertical="center"/>
    </xf>
    <xf numFmtId="43" fontId="32" fillId="0" borderId="10" xfId="1" applyFont="1" applyFill="1" applyBorder="1" applyAlignment="1">
      <alignment vertical="center"/>
    </xf>
    <xf numFmtId="0" fontId="17" fillId="2" borderId="5" xfId="0" applyFont="1" applyFill="1" applyBorder="1" applyAlignment="1">
      <alignment horizontal="center" vertical="top"/>
    </xf>
    <xf numFmtId="0" fontId="17" fillId="2" borderId="0" xfId="0" applyFont="1" applyFill="1" applyBorder="1" applyAlignment="1">
      <alignment horizontal="center" vertical="center" wrapText="1"/>
    </xf>
    <xf numFmtId="0" fontId="17" fillId="2" borderId="25" xfId="0" applyFont="1" applyFill="1" applyBorder="1" applyAlignment="1">
      <alignment horizontal="center" vertical="top"/>
    </xf>
    <xf numFmtId="0" fontId="17" fillId="2" borderId="24" xfId="0" applyFont="1" applyFill="1" applyBorder="1" applyAlignment="1">
      <alignment horizontal="center" vertical="top"/>
    </xf>
    <xf numFmtId="0" fontId="23" fillId="0" borderId="74" xfId="6" applyFont="1" applyBorder="1" applyAlignment="1">
      <alignment horizontal="center" vertical="center"/>
    </xf>
    <xf numFmtId="0" fontId="21" fillId="2" borderId="14" xfId="0" applyFont="1" applyFill="1" applyBorder="1" applyAlignment="1">
      <alignment horizontal="center" vertical="top"/>
    </xf>
    <xf numFmtId="0" fontId="21" fillId="2" borderId="42" xfId="0" applyFont="1" applyFill="1" applyBorder="1" applyAlignment="1">
      <alignment horizontal="center" vertical="top"/>
    </xf>
    <xf numFmtId="0" fontId="21" fillId="2" borderId="15" xfId="0" quotePrefix="1" applyFont="1" applyFill="1" applyBorder="1" applyAlignment="1">
      <alignment horizontal="center" vertical="top"/>
    </xf>
    <xf numFmtId="0" fontId="21" fillId="2" borderId="4" xfId="0" quotePrefix="1" applyFont="1" applyFill="1" applyBorder="1" applyAlignment="1">
      <alignment horizontal="center" vertical="top"/>
    </xf>
    <xf numFmtId="0" fontId="22" fillId="0" borderId="51" xfId="6" applyFont="1" applyBorder="1" applyAlignment="1">
      <alignment horizontal="center" vertical="center"/>
    </xf>
    <xf numFmtId="0" fontId="22" fillId="19" borderId="78" xfId="0" applyFont="1" applyFill="1" applyBorder="1" applyAlignment="1">
      <alignment horizontal="center" vertical="center" wrapText="1"/>
    </xf>
    <xf numFmtId="0" fontId="30" fillId="8" borderId="5" xfId="0" applyFont="1" applyFill="1" applyBorder="1" applyAlignment="1">
      <alignment vertical="top"/>
    </xf>
    <xf numFmtId="3" fontId="27" fillId="55" borderId="18" xfId="4" applyNumberFormat="1" applyFont="1" applyFill="1" applyBorder="1" applyAlignment="1">
      <alignment horizontal="right" vertical="center"/>
    </xf>
    <xf numFmtId="3" fontId="27" fillId="21" borderId="44" xfId="4" applyNumberFormat="1" applyFont="1" applyFill="1" applyBorder="1" applyAlignment="1">
      <alignment horizontal="right" vertical="center"/>
    </xf>
    <xf numFmtId="3" fontId="18" fillId="8" borderId="66" xfId="4" applyNumberFormat="1" applyFont="1" applyFill="1" applyBorder="1" applyAlignment="1">
      <alignment vertical="top" wrapText="1"/>
    </xf>
    <xf numFmtId="3" fontId="27" fillId="55" borderId="0" xfId="4" applyNumberFormat="1" applyFont="1" applyFill="1" applyBorder="1" applyAlignment="1">
      <alignment horizontal="right" vertical="center"/>
    </xf>
    <xf numFmtId="3" fontId="27" fillId="21" borderId="43" xfId="4" applyNumberFormat="1" applyFont="1" applyFill="1" applyBorder="1" applyAlignment="1">
      <alignment horizontal="right" vertical="center"/>
    </xf>
    <xf numFmtId="3" fontId="18" fillId="8" borderId="67" xfId="4" applyNumberFormat="1" applyFont="1" applyFill="1" applyBorder="1" applyAlignment="1">
      <alignment vertical="top" wrapText="1"/>
    </xf>
    <xf numFmtId="3" fontId="27" fillId="55" borderId="24" xfId="0" quotePrefix="1" applyNumberFormat="1" applyFont="1" applyFill="1" applyBorder="1" applyAlignment="1">
      <alignment horizontal="right" vertical="top"/>
    </xf>
    <xf numFmtId="3" fontId="27" fillId="21" borderId="41" xfId="4" applyNumberFormat="1" applyFont="1" applyFill="1" applyBorder="1" applyAlignment="1">
      <alignment horizontal="right" vertical="center"/>
    </xf>
    <xf numFmtId="0" fontId="25" fillId="6" borderId="21" xfId="4" applyFont="1" applyFill="1" applyBorder="1" applyAlignment="1">
      <alignment horizontal="left"/>
    </xf>
    <xf numFmtId="0" fontId="25" fillId="6" borderId="9" xfId="4" applyFont="1" applyFill="1" applyBorder="1" applyAlignment="1">
      <alignment horizontal="left"/>
    </xf>
    <xf numFmtId="3" fontId="25" fillId="6" borderId="8" xfId="0" applyNumberFormat="1" applyFont="1" applyFill="1" applyBorder="1" applyAlignment="1"/>
    <xf numFmtId="3" fontId="25" fillId="6" borderId="7" xfId="0" applyNumberFormat="1" applyFont="1" applyFill="1" applyBorder="1" applyAlignment="1"/>
    <xf numFmtId="3" fontId="25" fillId="22" borderId="46" xfId="0" applyNumberFormat="1" applyFont="1" applyFill="1" applyBorder="1" applyAlignment="1"/>
    <xf numFmtId="0" fontId="27" fillId="8" borderId="36" xfId="4" applyFont="1" applyFill="1" applyBorder="1" applyAlignment="1"/>
    <xf numFmtId="0" fontId="25" fillId="8" borderId="9" xfId="0" applyFont="1" applyFill="1" applyBorder="1" applyAlignment="1">
      <alignment wrapText="1"/>
    </xf>
    <xf numFmtId="3" fontId="25" fillId="8" borderId="35" xfId="0" applyNumberFormat="1" applyFont="1" applyFill="1" applyBorder="1" applyAlignment="1"/>
    <xf numFmtId="3" fontId="25" fillId="8" borderId="7" xfId="0" applyNumberFormat="1" applyFont="1" applyFill="1" applyBorder="1" applyAlignment="1"/>
    <xf numFmtId="3" fontId="25" fillId="23" borderId="46" xfId="0" applyNumberFormat="1" applyFont="1" applyFill="1" applyBorder="1" applyAlignment="1"/>
    <xf numFmtId="0" fontId="31" fillId="8" borderId="21" xfId="0" applyFont="1" applyFill="1" applyBorder="1" applyAlignment="1">
      <alignment vertical="center"/>
    </xf>
    <xf numFmtId="3" fontId="31" fillId="8" borderId="35" xfId="0" applyNumberFormat="1" applyFont="1" applyFill="1" applyBorder="1" applyAlignment="1"/>
    <xf numFmtId="3" fontId="31" fillId="8" borderId="7" xfId="0" applyNumberFormat="1" applyFont="1" applyFill="1" applyBorder="1" applyAlignment="1"/>
    <xf numFmtId="0" fontId="31" fillId="8" borderId="9" xfId="0" applyFont="1" applyFill="1" applyBorder="1" applyAlignment="1">
      <alignment vertical="center"/>
    </xf>
    <xf numFmtId="3" fontId="31" fillId="8" borderId="173" xfId="0" applyNumberFormat="1" applyFont="1" applyFill="1" applyBorder="1" applyAlignment="1">
      <alignment vertical="center"/>
    </xf>
    <xf numFmtId="43" fontId="31" fillId="8" borderId="7" xfId="1" applyFont="1" applyFill="1" applyBorder="1" applyAlignment="1"/>
    <xf numFmtId="3" fontId="31" fillId="8" borderId="35" xfId="0" applyNumberFormat="1" applyFont="1" applyFill="1" applyBorder="1" applyAlignment="1">
      <alignment vertical="center"/>
    </xf>
    <xf numFmtId="43" fontId="31" fillId="8" borderId="173" xfId="1" applyFont="1" applyFill="1" applyBorder="1" applyAlignment="1">
      <alignment vertical="center"/>
    </xf>
    <xf numFmtId="43" fontId="31" fillId="8" borderId="177" xfId="1" applyFont="1" applyFill="1" applyBorder="1" applyAlignment="1">
      <alignment vertical="center"/>
    </xf>
    <xf numFmtId="3" fontId="31" fillId="23" borderId="176" xfId="0" applyNumberFormat="1" applyFont="1" applyFill="1" applyBorder="1" applyAlignment="1">
      <alignment vertical="top"/>
    </xf>
    <xf numFmtId="0" fontId="60" fillId="8" borderId="67" xfId="0" applyFont="1" applyFill="1" applyBorder="1" applyAlignment="1">
      <alignment horizontal="center" vertical="top" wrapText="1"/>
    </xf>
    <xf numFmtId="0" fontId="31" fillId="8" borderId="136" xfId="0" applyFont="1" applyFill="1" applyBorder="1" applyAlignment="1">
      <alignment vertical="center" wrapText="1"/>
    </xf>
    <xf numFmtId="43" fontId="31" fillId="8" borderId="35" xfId="1" applyFont="1" applyFill="1" applyBorder="1" applyAlignment="1">
      <alignment vertical="center"/>
    </xf>
    <xf numFmtId="43" fontId="31" fillId="8" borderId="7" xfId="1" applyFont="1" applyFill="1" applyBorder="1" applyAlignment="1">
      <alignment vertical="center"/>
    </xf>
    <xf numFmtId="3" fontId="31" fillId="23" borderId="176" xfId="0" applyNumberFormat="1" applyFont="1" applyFill="1" applyBorder="1" applyAlignment="1">
      <alignment vertical="center"/>
    </xf>
    <xf numFmtId="0" fontId="60" fillId="8" borderId="67" xfId="0" applyFont="1" applyFill="1" applyBorder="1" applyAlignment="1">
      <alignment horizontal="center" vertical="center" wrapText="1"/>
    </xf>
    <xf numFmtId="3" fontId="7" fillId="23" borderId="176" xfId="0" applyNumberFormat="1" applyFont="1" applyFill="1" applyBorder="1" applyAlignment="1">
      <alignment vertical="center"/>
    </xf>
    <xf numFmtId="0" fontId="25" fillId="8" borderId="9" xfId="0" applyFont="1" applyFill="1" applyBorder="1" applyAlignment="1">
      <alignment vertical="center" wrapText="1"/>
    </xf>
    <xf numFmtId="3" fontId="25" fillId="8" borderId="35" xfId="0" applyNumberFormat="1" applyFont="1" applyFill="1" applyBorder="1" applyAlignment="1">
      <alignment vertical="center"/>
    </xf>
    <xf numFmtId="43" fontId="25" fillId="8" borderId="35" xfId="1" applyFont="1" applyFill="1" applyBorder="1" applyAlignment="1">
      <alignment vertical="center"/>
    </xf>
    <xf numFmtId="43" fontId="25" fillId="8" borderId="7" xfId="1" applyFont="1" applyFill="1" applyBorder="1" applyAlignment="1">
      <alignment vertical="center"/>
    </xf>
    <xf numFmtId="0" fontId="31" fillId="8" borderId="146" xfId="4" applyFont="1" applyFill="1" applyBorder="1" applyAlignment="1">
      <alignment vertical="top" wrapText="1"/>
    </xf>
    <xf numFmtId="0" fontId="31" fillId="8" borderId="178" xfId="0" applyFont="1" applyFill="1" applyBorder="1" applyAlignment="1">
      <alignment vertical="top" wrapText="1"/>
    </xf>
    <xf numFmtId="3" fontId="31" fillId="8" borderId="139" xfId="0" applyNumberFormat="1" applyFont="1" applyFill="1" applyBorder="1" applyAlignment="1">
      <alignment vertical="top"/>
    </xf>
    <xf numFmtId="43" fontId="31" fillId="8" borderId="139" xfId="1" applyFont="1" applyFill="1" applyBorder="1" applyAlignment="1">
      <alignment vertical="top"/>
    </xf>
    <xf numFmtId="43" fontId="31" fillId="8" borderId="113" xfId="1" applyFont="1" applyFill="1" applyBorder="1" applyAlignment="1">
      <alignment vertical="top"/>
    </xf>
    <xf numFmtId="0" fontId="18" fillId="8" borderId="67" xfId="0" applyFont="1" applyFill="1" applyBorder="1" applyAlignment="1">
      <alignment horizontal="center" vertical="top" wrapText="1"/>
    </xf>
    <xf numFmtId="0" fontId="18" fillId="8" borderId="67" xfId="0" applyFont="1" applyFill="1" applyBorder="1" applyAlignment="1">
      <alignment horizontal="center" vertical="center" wrapText="1"/>
    </xf>
    <xf numFmtId="43" fontId="31" fillId="8" borderId="8" xfId="1" applyFont="1" applyFill="1" applyBorder="1" applyAlignment="1">
      <alignment vertical="center"/>
    </xf>
    <xf numFmtId="43" fontId="25" fillId="8" borderId="8" xfId="1" applyFont="1" applyFill="1" applyBorder="1" applyAlignment="1">
      <alignment vertical="center"/>
    </xf>
    <xf numFmtId="0" fontId="31" fillId="8" borderId="27" xfId="0" applyFont="1" applyFill="1" applyBorder="1" applyAlignment="1">
      <alignment vertical="top" wrapText="1"/>
    </xf>
    <xf numFmtId="43" fontId="31" fillId="8" borderId="132" xfId="1" applyFont="1" applyFill="1" applyBorder="1" applyAlignment="1">
      <alignment vertical="top"/>
    </xf>
    <xf numFmtId="43" fontId="31" fillId="8" borderId="135" xfId="1" applyFont="1" applyFill="1" applyBorder="1" applyAlignment="1">
      <alignment vertical="top"/>
    </xf>
    <xf numFmtId="0" fontId="7" fillId="6" borderId="140" xfId="0" applyFont="1" applyFill="1" applyBorder="1" applyAlignment="1">
      <alignment vertical="top"/>
    </xf>
    <xf numFmtId="43" fontId="25" fillId="6" borderId="140" xfId="1" applyFont="1" applyFill="1" applyBorder="1" applyAlignment="1"/>
    <xf numFmtId="43" fontId="27" fillId="2" borderId="140" xfId="1" applyFont="1" applyFill="1" applyBorder="1" applyAlignment="1"/>
    <xf numFmtId="3" fontId="31" fillId="0" borderId="140" xfId="4" applyNumberFormat="1" applyFont="1" applyFill="1" applyBorder="1" applyAlignment="1"/>
    <xf numFmtId="43" fontId="31" fillId="0" borderId="140" xfId="1" applyFont="1" applyFill="1" applyBorder="1" applyAlignment="1">
      <alignment vertical="top"/>
    </xf>
    <xf numFmtId="0" fontId="0" fillId="0" borderId="8" xfId="0" applyFont="1" applyBorder="1"/>
    <xf numFmtId="43" fontId="0" fillId="0" borderId="8" xfId="1" applyFont="1" applyBorder="1"/>
    <xf numFmtId="43" fontId="0" fillId="0" borderId="9" xfId="1" applyFont="1" applyBorder="1"/>
    <xf numFmtId="43" fontId="0" fillId="0" borderId="35" xfId="1" applyFont="1" applyBorder="1"/>
    <xf numFmtId="43" fontId="25" fillId="22" borderId="46" xfId="1" applyFont="1" applyFill="1" applyBorder="1" applyAlignment="1">
      <alignment horizontal="center" vertical="center"/>
    </xf>
    <xf numFmtId="0" fontId="24" fillId="8" borderId="67" xfId="0" applyFont="1" applyFill="1" applyBorder="1" applyAlignment="1">
      <alignment vertical="center" wrapText="1"/>
    </xf>
    <xf numFmtId="0" fontId="7" fillId="2" borderId="77" xfId="0" applyFont="1" applyFill="1" applyBorder="1" applyAlignment="1">
      <alignment vertical="top" wrapText="1"/>
    </xf>
    <xf numFmtId="3" fontId="7" fillId="0" borderId="12" xfId="0" applyNumberFormat="1" applyFont="1" applyFill="1" applyBorder="1" applyAlignment="1">
      <alignment vertical="top"/>
    </xf>
    <xf numFmtId="43" fontId="7" fillId="0" borderId="132" xfId="1" applyFont="1" applyFill="1" applyBorder="1" applyAlignment="1">
      <alignment vertical="top"/>
    </xf>
    <xf numFmtId="43" fontId="7" fillId="0" borderId="149" xfId="1" applyFont="1" applyFill="1" applyBorder="1" applyAlignment="1">
      <alignment vertical="top"/>
    </xf>
    <xf numFmtId="43" fontId="31" fillId="25" borderId="176" xfId="1" applyFont="1" applyFill="1" applyBorder="1" applyAlignment="1">
      <alignment horizontal="center" vertical="top"/>
    </xf>
    <xf numFmtId="3" fontId="31" fillId="25" borderId="134" xfId="0" applyNumberFormat="1" applyFont="1" applyFill="1" applyBorder="1" applyAlignment="1">
      <alignment vertical="top"/>
    </xf>
    <xf numFmtId="0" fontId="7" fillId="0" borderId="25" xfId="0" applyFont="1" applyFill="1" applyBorder="1" applyAlignment="1">
      <alignment vertical="center"/>
    </xf>
    <xf numFmtId="3" fontId="31" fillId="0" borderId="175" xfId="0" applyNumberFormat="1" applyFont="1" applyFill="1" applyBorder="1" applyAlignment="1">
      <alignment vertical="center"/>
    </xf>
    <xf numFmtId="3" fontId="31" fillId="23" borderId="151" xfId="0" applyNumberFormat="1" applyFont="1" applyFill="1" applyBorder="1" applyAlignment="1"/>
    <xf numFmtId="3" fontId="25" fillId="8" borderId="17" xfId="0" applyNumberFormat="1" applyFont="1" applyFill="1" applyBorder="1" applyAlignment="1">
      <alignment vertical="top"/>
    </xf>
    <xf numFmtId="3" fontId="31" fillId="23" borderId="36" xfId="0" applyNumberFormat="1" applyFont="1" applyFill="1" applyBorder="1" applyAlignment="1"/>
    <xf numFmtId="3" fontId="25" fillId="22" borderId="179" xfId="0" applyNumberFormat="1" applyFont="1" applyFill="1" applyBorder="1" applyAlignment="1"/>
    <xf numFmtId="3" fontId="24" fillId="8" borderId="174" xfId="4" applyNumberFormat="1" applyFont="1" applyFill="1" applyBorder="1" applyAlignment="1">
      <alignment horizontal="center" vertical="center"/>
    </xf>
    <xf numFmtId="3" fontId="7" fillId="23" borderId="177" xfId="4" applyNumberFormat="1" applyFont="1" applyFill="1" applyBorder="1" applyAlignment="1">
      <alignment horizontal="right" vertical="center"/>
    </xf>
    <xf numFmtId="3" fontId="17" fillId="6" borderId="178" xfId="4" applyNumberFormat="1" applyFont="1" applyFill="1" applyBorder="1" applyAlignment="1">
      <alignment vertical="center"/>
    </xf>
    <xf numFmtId="3" fontId="7" fillId="0" borderId="174" xfId="0" applyNumberFormat="1" applyFont="1" applyFill="1" applyBorder="1" applyAlignment="1">
      <alignment vertical="top"/>
    </xf>
    <xf numFmtId="0" fontId="7" fillId="32" borderId="136" xfId="4" applyFont="1" applyFill="1" applyBorder="1" applyAlignment="1">
      <alignment vertical="top"/>
    </xf>
    <xf numFmtId="3" fontId="7" fillId="0" borderId="175" xfId="4" applyNumberFormat="1" applyFont="1" applyFill="1" applyBorder="1" applyAlignment="1"/>
    <xf numFmtId="3" fontId="7" fillId="0" borderId="174" xfId="4" applyNumberFormat="1" applyFont="1" applyFill="1" applyBorder="1" applyAlignment="1"/>
    <xf numFmtId="4" fontId="7" fillId="0" borderId="173" xfId="4" applyNumberFormat="1" applyFont="1" applyFill="1" applyBorder="1" applyAlignment="1">
      <alignment vertical="top"/>
    </xf>
    <xf numFmtId="0" fontId="43" fillId="2" borderId="7" xfId="0" applyFont="1" applyFill="1" applyBorder="1" applyAlignment="1">
      <alignment vertical="center"/>
    </xf>
    <xf numFmtId="0" fontId="62" fillId="2" borderId="8" xfId="0" applyFont="1" applyFill="1" applyBorder="1" applyAlignment="1">
      <alignment vertical="center"/>
    </xf>
    <xf numFmtId="3" fontId="62" fillId="2" borderId="8" xfId="0" applyNumberFormat="1" applyFont="1" applyFill="1" applyBorder="1" applyAlignment="1">
      <alignment horizontal="left" vertical="center"/>
    </xf>
    <xf numFmtId="0" fontId="62" fillId="36" borderId="8" xfId="0" applyFont="1" applyFill="1" applyBorder="1" applyAlignment="1">
      <alignment vertical="center"/>
    </xf>
    <xf numFmtId="0" fontId="62" fillId="2" borderId="9" xfId="0" applyFont="1" applyFill="1" applyBorder="1" applyAlignment="1">
      <alignment horizontal="center" vertical="center" wrapText="1"/>
    </xf>
    <xf numFmtId="43" fontId="27" fillId="55" borderId="9" xfId="1" applyFont="1" applyFill="1" applyBorder="1" applyAlignment="1">
      <alignment horizontal="right" vertical="center"/>
    </xf>
    <xf numFmtId="0" fontId="27" fillId="55" borderId="136" xfId="4" applyFont="1" applyFill="1" applyBorder="1" applyAlignment="1">
      <alignment horizontal="left" vertical="center"/>
    </xf>
    <xf numFmtId="0" fontId="27" fillId="55" borderId="178" xfId="4" applyFont="1" applyFill="1" applyBorder="1" applyAlignment="1">
      <alignment horizontal="left" vertical="center"/>
    </xf>
    <xf numFmtId="43" fontId="27" fillId="55" borderId="174" xfId="1" applyFont="1" applyFill="1" applyBorder="1" applyAlignment="1">
      <alignment horizontal="right" vertical="center"/>
    </xf>
    <xf numFmtId="0" fontId="27" fillId="55" borderId="136" xfId="0" applyFont="1" applyFill="1" applyBorder="1" applyAlignment="1">
      <alignment horizontal="left" vertical="top"/>
    </xf>
    <xf numFmtId="0" fontId="28" fillId="55" borderId="178" xfId="0" quotePrefix="1" applyFont="1" applyFill="1" applyBorder="1" applyAlignment="1">
      <alignment horizontal="center" vertical="top"/>
    </xf>
    <xf numFmtId="3" fontId="27" fillId="55" borderId="174" xfId="0" quotePrefix="1" applyNumberFormat="1" applyFont="1" applyFill="1" applyBorder="1" applyAlignment="1">
      <alignment horizontal="right" vertical="top"/>
    </xf>
    <xf numFmtId="43" fontId="27" fillId="55" borderId="174" xfId="1" quotePrefix="1" applyFont="1" applyFill="1" applyBorder="1" applyAlignment="1">
      <alignment horizontal="right" vertical="top"/>
    </xf>
    <xf numFmtId="0" fontId="25" fillId="6" borderId="174" xfId="0" applyFont="1" applyFill="1" applyBorder="1" applyAlignment="1">
      <alignment vertical="center"/>
    </xf>
    <xf numFmtId="0" fontId="24" fillId="8" borderId="43" xfId="4" applyFont="1" applyFill="1" applyBorder="1" applyAlignment="1">
      <alignment horizontal="right" vertical="top"/>
    </xf>
    <xf numFmtId="43" fontId="27" fillId="8" borderId="173" xfId="1" applyFont="1" applyFill="1" applyBorder="1" applyAlignment="1">
      <alignment vertical="top"/>
    </xf>
    <xf numFmtId="43" fontId="7" fillId="8" borderId="173" xfId="1" applyFont="1" applyFill="1" applyBorder="1" applyAlignment="1">
      <alignment vertical="top"/>
    </xf>
    <xf numFmtId="0" fontId="7" fillId="8" borderId="174" xfId="4" applyFont="1" applyFill="1" applyBorder="1" applyAlignment="1">
      <alignment vertical="center"/>
    </xf>
    <xf numFmtId="3" fontId="31" fillId="8" borderId="173" xfId="4" applyNumberFormat="1" applyFont="1" applyFill="1" applyBorder="1" applyAlignment="1">
      <alignment vertical="center"/>
    </xf>
    <xf numFmtId="43" fontId="7" fillId="8" borderId="173" xfId="1" applyFont="1" applyFill="1" applyBorder="1" applyAlignment="1">
      <alignment vertical="center"/>
    </xf>
    <xf numFmtId="0" fontId="7" fillId="8" borderId="10" xfId="4" applyFont="1" applyFill="1" applyBorder="1" applyAlignment="1">
      <alignment vertical="center"/>
    </xf>
    <xf numFmtId="0" fontId="7" fillId="8" borderId="136" xfId="4" applyFont="1" applyFill="1" applyBorder="1" applyAlignment="1">
      <alignment vertical="center"/>
    </xf>
    <xf numFmtId="3" fontId="18" fillId="8" borderId="13" xfId="4" applyNumberFormat="1" applyFont="1" applyFill="1" applyBorder="1" applyAlignment="1">
      <alignment vertical="center" wrapText="1"/>
    </xf>
    <xf numFmtId="3" fontId="31" fillId="8" borderId="173" xfId="4" applyNumberFormat="1" applyFont="1" applyFill="1" applyBorder="1" applyAlignment="1">
      <alignment vertical="top"/>
    </xf>
    <xf numFmtId="43" fontId="31" fillId="8" borderId="173" xfId="1" applyFont="1" applyFill="1" applyBorder="1" applyAlignment="1">
      <alignment vertical="top"/>
    </xf>
    <xf numFmtId="0" fontId="24" fillId="8" borderId="19" xfId="4" applyFont="1" applyFill="1" applyBorder="1" applyAlignment="1">
      <alignment horizontal="left" vertical="center" wrapText="1"/>
    </xf>
    <xf numFmtId="3" fontId="25" fillId="8" borderId="17" xfId="4" applyNumberFormat="1" applyFont="1" applyFill="1" applyBorder="1" applyAlignment="1">
      <alignment horizontal="center" vertical="center"/>
    </xf>
    <xf numFmtId="3" fontId="7" fillId="8" borderId="79" xfId="4" applyNumberFormat="1" applyFont="1" applyFill="1" applyBorder="1" applyAlignment="1">
      <alignment horizontal="right" vertical="center"/>
    </xf>
    <xf numFmtId="3" fontId="7" fillId="23" borderId="70" xfId="4" applyNumberFormat="1" applyFont="1" applyFill="1" applyBorder="1" applyAlignment="1">
      <alignment horizontal="right" vertical="center"/>
    </xf>
    <xf numFmtId="43" fontId="31" fillId="0" borderId="173" xfId="1" applyFont="1" applyFill="1" applyBorder="1" applyAlignment="1">
      <alignment horizontal="right" vertical="center"/>
    </xf>
    <xf numFmtId="43" fontId="29" fillId="0" borderId="132" xfId="1" applyFont="1" applyFill="1" applyBorder="1" applyAlignment="1">
      <alignment horizontal="right" vertical="center"/>
    </xf>
    <xf numFmtId="43" fontId="0" fillId="0" borderId="135" xfId="1" applyFont="1" applyBorder="1"/>
    <xf numFmtId="0" fontId="24" fillId="0" borderId="25" xfId="4" applyFont="1" applyFill="1" applyBorder="1" applyAlignment="1">
      <alignment vertical="center"/>
    </xf>
    <xf numFmtId="0" fontId="7" fillId="0" borderId="25" xfId="4" applyFont="1" applyFill="1" applyBorder="1" applyAlignment="1">
      <alignment vertical="top"/>
    </xf>
    <xf numFmtId="0" fontId="0" fillId="0" borderId="22" xfId="0" applyFont="1" applyBorder="1" applyAlignment="1"/>
    <xf numFmtId="43" fontId="29" fillId="0" borderId="12" xfId="1" applyFont="1" applyFill="1" applyBorder="1" applyAlignment="1">
      <alignment horizontal="right" vertical="center"/>
    </xf>
    <xf numFmtId="43" fontId="0" fillId="0" borderId="24" xfId="1" applyFont="1" applyBorder="1"/>
    <xf numFmtId="43" fontId="7" fillId="0" borderId="12" xfId="1" applyFont="1" applyFill="1" applyBorder="1" applyAlignment="1">
      <alignment vertical="top"/>
    </xf>
    <xf numFmtId="3" fontId="7" fillId="0" borderId="12" xfId="4" applyNumberFormat="1" applyFont="1" applyFill="1" applyBorder="1" applyAlignment="1">
      <alignment vertical="top"/>
    </xf>
    <xf numFmtId="3" fontId="29" fillId="0" borderId="12" xfId="4" applyNumberFormat="1" applyFont="1" applyFill="1" applyBorder="1" applyAlignment="1">
      <alignment horizontal="right" vertical="center"/>
    </xf>
    <xf numFmtId="3" fontId="7" fillId="0" borderId="74" xfId="4" applyNumberFormat="1" applyFont="1" applyFill="1" applyBorder="1" applyAlignment="1">
      <alignment vertical="top"/>
    </xf>
    <xf numFmtId="3" fontId="24" fillId="34" borderId="12" xfId="4" applyNumberFormat="1" applyFont="1" applyFill="1" applyBorder="1" applyAlignment="1">
      <alignment vertical="center"/>
    </xf>
    <xf numFmtId="0" fontId="18" fillId="0" borderId="23" xfId="4" applyFont="1" applyFill="1" applyBorder="1" applyAlignment="1">
      <alignment vertical="center" wrapText="1"/>
    </xf>
    <xf numFmtId="43" fontId="7" fillId="0" borderId="150" xfId="1" applyFont="1" applyFill="1" applyBorder="1" applyAlignment="1">
      <alignment vertical="top"/>
    </xf>
    <xf numFmtId="3" fontId="7" fillId="0" borderId="150" xfId="4" applyNumberFormat="1" applyFont="1" applyFill="1" applyBorder="1" applyAlignment="1">
      <alignment vertical="top"/>
    </xf>
    <xf numFmtId="3" fontId="7" fillId="25" borderId="132" xfId="4" applyNumberFormat="1" applyFont="1" applyFill="1" applyBorder="1" applyAlignment="1">
      <alignment vertical="top"/>
    </xf>
    <xf numFmtId="0" fontId="20" fillId="6" borderId="178" xfId="4" applyFont="1" applyFill="1" applyBorder="1" applyAlignment="1">
      <alignment horizontal="left" vertical="center"/>
    </xf>
    <xf numFmtId="3" fontId="27" fillId="0" borderId="184" xfId="4" applyNumberFormat="1" applyFont="1" applyFill="1" applyBorder="1" applyAlignment="1">
      <alignment horizontal="right" vertical="center"/>
    </xf>
    <xf numFmtId="3" fontId="27" fillId="0" borderId="175" xfId="4" applyNumberFormat="1" applyFont="1" applyFill="1" applyBorder="1" applyAlignment="1">
      <alignment horizontal="right" vertical="center"/>
    </xf>
    <xf numFmtId="3" fontId="29" fillId="0" borderId="175" xfId="4" applyNumberFormat="1" applyFont="1" applyFill="1" applyBorder="1" applyAlignment="1">
      <alignment horizontal="right" vertical="center"/>
    </xf>
    <xf numFmtId="3" fontId="31" fillId="23" borderId="173" xfId="4" applyNumberFormat="1" applyFont="1" applyFill="1" applyBorder="1" applyAlignment="1">
      <alignment vertical="center"/>
    </xf>
    <xf numFmtId="0" fontId="31" fillId="8" borderId="36" xfId="4" applyFont="1" applyFill="1" applyBorder="1" applyAlignment="1">
      <alignment vertical="center"/>
    </xf>
    <xf numFmtId="0" fontId="21" fillId="0" borderId="0" xfId="0" applyFont="1" applyAlignment="1">
      <alignment vertical="center"/>
    </xf>
    <xf numFmtId="0" fontId="26" fillId="0" borderId="0" xfId="0" applyFont="1" applyBorder="1" applyAlignment="1">
      <alignment horizontal="center" vertical="center"/>
    </xf>
    <xf numFmtId="0" fontId="31" fillId="0" borderId="0" xfId="4" applyFont="1" applyFill="1" applyBorder="1" applyAlignment="1">
      <alignment vertical="center"/>
    </xf>
    <xf numFmtId="0" fontId="23" fillId="0" borderId="0" xfId="0" applyFont="1" applyBorder="1" applyAlignment="1">
      <alignment horizontal="center" vertical="center"/>
    </xf>
    <xf numFmtId="3" fontId="31" fillId="0" borderId="0" xfId="0" applyNumberFormat="1" applyFont="1" applyFill="1" applyBorder="1" applyAlignment="1">
      <alignment vertical="center"/>
    </xf>
    <xf numFmtId="0" fontId="42" fillId="63" borderId="180" xfId="0" applyFont="1" applyFill="1" applyBorder="1"/>
    <xf numFmtId="0" fontId="28" fillId="63" borderId="142" xfId="0" applyFont="1" applyFill="1" applyBorder="1" applyAlignment="1">
      <alignment vertical="top"/>
    </xf>
    <xf numFmtId="3" fontId="28" fillId="61" borderId="9" xfId="0" applyNumberFormat="1" applyFont="1" applyFill="1" applyBorder="1" applyAlignment="1">
      <alignment horizontal="right" vertical="center"/>
    </xf>
    <xf numFmtId="3" fontId="28" fillId="62" borderId="174" xfId="0" applyNumberFormat="1" applyFont="1" applyFill="1" applyBorder="1" applyAlignment="1">
      <alignment vertical="top"/>
    </xf>
    <xf numFmtId="3" fontId="0" fillId="0" borderId="140" xfId="0" applyNumberFormat="1" applyFont="1" applyBorder="1" applyAlignment="1">
      <alignment vertical="center"/>
    </xf>
    <xf numFmtId="3" fontId="0" fillId="0" borderId="104" xfId="0" applyNumberFormat="1" applyFont="1" applyBorder="1" applyAlignment="1">
      <alignment vertical="center"/>
    </xf>
    <xf numFmtId="0" fontId="0" fillId="0" borderId="130" xfId="0" applyFont="1" applyBorder="1" applyAlignment="1">
      <alignment vertical="center"/>
    </xf>
    <xf numFmtId="3" fontId="111" fillId="4" borderId="35" xfId="0" applyNumberFormat="1" applyFont="1" applyFill="1" applyBorder="1" applyAlignment="1">
      <alignment vertical="center" wrapText="1"/>
    </xf>
    <xf numFmtId="3" fontId="111" fillId="6" borderId="30" xfId="0" applyNumberFormat="1" applyFont="1" applyFill="1" applyBorder="1" applyAlignment="1">
      <alignment vertical="center" wrapText="1"/>
    </xf>
    <xf numFmtId="3" fontId="111" fillId="4" borderId="30" xfId="0" applyNumberFormat="1" applyFont="1" applyFill="1" applyBorder="1" applyAlignment="1">
      <alignment vertical="center" wrapText="1"/>
    </xf>
    <xf numFmtId="3" fontId="18" fillId="0" borderId="41" xfId="4" applyNumberFormat="1" applyFont="1" applyFill="1" applyBorder="1" applyAlignment="1">
      <alignment horizontal="center" vertical="center" wrapText="1"/>
    </xf>
    <xf numFmtId="3" fontId="18" fillId="0" borderId="46" xfId="4" applyNumberFormat="1" applyFont="1" applyFill="1" applyBorder="1" applyAlignment="1">
      <alignment horizontal="center" vertical="center" wrapText="1"/>
    </xf>
    <xf numFmtId="0" fontId="32" fillId="0" borderId="6" xfId="0" applyFont="1" applyBorder="1" applyAlignment="1">
      <alignment horizontal="center" vertical="center"/>
    </xf>
    <xf numFmtId="0" fontId="32" fillId="0" borderId="20" xfId="0" applyFont="1" applyBorder="1" applyAlignment="1">
      <alignment horizontal="center" vertical="center"/>
    </xf>
    <xf numFmtId="0" fontId="24" fillId="0" borderId="11" xfId="4" applyFont="1" applyFill="1" applyBorder="1" applyAlignment="1">
      <alignment horizontal="center" vertical="center"/>
    </xf>
    <xf numFmtId="0" fontId="7" fillId="8" borderId="43" xfId="4" applyFont="1" applyFill="1" applyBorder="1" applyAlignment="1">
      <alignment horizontal="center" vertical="center"/>
    </xf>
    <xf numFmtId="3" fontId="25" fillId="2" borderId="20" xfId="4" applyNumberFormat="1" applyFont="1" applyFill="1" applyBorder="1" applyAlignment="1">
      <alignment horizontal="center" vertical="center" wrapText="1"/>
    </xf>
    <xf numFmtId="0" fontId="0" fillId="0" borderId="25" xfId="0" applyFont="1" applyBorder="1" applyAlignment="1">
      <alignment vertical="center"/>
    </xf>
    <xf numFmtId="3" fontId="24" fillId="26" borderId="62" xfId="4" applyNumberFormat="1" applyFont="1" applyFill="1" applyBorder="1" applyAlignment="1">
      <alignment horizontal="center" vertical="center"/>
    </xf>
    <xf numFmtId="3" fontId="24" fillId="26" borderId="10" xfId="4" applyNumberFormat="1" applyFont="1" applyFill="1" applyBorder="1" applyAlignment="1">
      <alignment horizontal="center" vertical="center"/>
    </xf>
    <xf numFmtId="3" fontId="24" fillId="26" borderId="74" xfId="4" applyNumberFormat="1" applyFont="1" applyFill="1" applyBorder="1" applyAlignment="1">
      <alignment horizontal="center" vertical="center"/>
    </xf>
    <xf numFmtId="0" fontId="32" fillId="0" borderId="6" xfId="0" applyFont="1" applyBorder="1" applyAlignment="1">
      <alignment vertical="center" wrapText="1"/>
    </xf>
    <xf numFmtId="0" fontId="32" fillId="0" borderId="22" xfId="0" applyFont="1" applyBorder="1" applyAlignment="1">
      <alignment vertical="center" wrapText="1"/>
    </xf>
    <xf numFmtId="0" fontId="18" fillId="13" borderId="43" xfId="4" applyFont="1" applyFill="1" applyBorder="1" applyAlignment="1">
      <alignment horizontal="center" vertical="center" wrapText="1"/>
    </xf>
    <xf numFmtId="0" fontId="23" fillId="0" borderId="6" xfId="0" applyFont="1" applyBorder="1" applyAlignment="1">
      <alignment horizontal="center" vertical="center"/>
    </xf>
    <xf numFmtId="3" fontId="24" fillId="22" borderId="173" xfId="4" applyNumberFormat="1" applyFont="1" applyFill="1" applyBorder="1" applyAlignment="1">
      <alignment horizontal="center" vertical="center"/>
    </xf>
    <xf numFmtId="3" fontId="24" fillId="22" borderId="132" xfId="4" applyNumberFormat="1" applyFont="1" applyFill="1" applyBorder="1" applyAlignment="1">
      <alignment horizontal="center" vertical="center"/>
    </xf>
    <xf numFmtId="0" fontId="32" fillId="0" borderId="173" xfId="0" applyFont="1" applyFill="1" applyBorder="1" applyAlignment="1">
      <alignment horizontal="center" vertical="center" wrapText="1"/>
    </xf>
    <xf numFmtId="0" fontId="23" fillId="0" borderId="173" xfId="0" applyFont="1" applyBorder="1" applyAlignment="1">
      <alignment horizontal="center" vertical="center" wrapText="1"/>
    </xf>
    <xf numFmtId="0" fontId="17" fillId="0" borderId="67" xfId="4" applyFont="1" applyBorder="1" applyAlignment="1">
      <alignment horizontal="center" vertical="center" wrapText="1"/>
    </xf>
    <xf numFmtId="0" fontId="24" fillId="8" borderId="14" xfId="0" applyFont="1" applyFill="1" applyBorder="1" applyAlignment="1">
      <alignment horizontal="center" vertical="center" wrapText="1"/>
    </xf>
    <xf numFmtId="0" fontId="0" fillId="0" borderId="11" xfId="0" applyFont="1" applyBorder="1"/>
    <xf numFmtId="0" fontId="17" fillId="0" borderId="11" xfId="0" applyFont="1" applyFill="1" applyBorder="1" applyAlignment="1">
      <alignment horizontal="center" vertical="center"/>
    </xf>
    <xf numFmtId="0" fontId="23" fillId="0" borderId="12" xfId="0" applyFont="1" applyBorder="1" applyAlignment="1">
      <alignment horizontal="center" vertical="center" wrapText="1"/>
    </xf>
    <xf numFmtId="0" fontId="0" fillId="0" borderId="0" xfId="0" applyFont="1" applyBorder="1"/>
    <xf numFmtId="0" fontId="7" fillId="0" borderId="107" xfId="0" applyFont="1" applyFill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/>
    </xf>
    <xf numFmtId="0" fontId="17" fillId="0" borderId="25" xfId="0" applyFont="1" applyFill="1" applyBorder="1" applyAlignment="1">
      <alignment horizontal="center" vertical="center"/>
    </xf>
    <xf numFmtId="0" fontId="32" fillId="0" borderId="139" xfId="0" applyFont="1" applyBorder="1" applyAlignment="1">
      <alignment horizontal="center" vertical="center"/>
    </xf>
    <xf numFmtId="0" fontId="18" fillId="0" borderId="13" xfId="4" applyFont="1" applyFill="1" applyBorder="1" applyAlignment="1">
      <alignment horizontal="center" vertical="center" wrapText="1"/>
    </xf>
    <xf numFmtId="0" fontId="18" fillId="0" borderId="12" xfId="4" applyFont="1" applyFill="1" applyBorder="1" applyAlignment="1">
      <alignment horizontal="center" vertical="center" wrapText="1"/>
    </xf>
    <xf numFmtId="0" fontId="21" fillId="0" borderId="0" xfId="0" applyFont="1" applyBorder="1" applyAlignment="1">
      <alignment horizontal="center" vertical="top"/>
    </xf>
    <xf numFmtId="0" fontId="24" fillId="0" borderId="43" xfId="4" quotePrefix="1" applyFont="1" applyFill="1" applyBorder="1" applyAlignment="1">
      <alignment horizontal="center" vertical="center"/>
    </xf>
    <xf numFmtId="0" fontId="24" fillId="2" borderId="178" xfId="4" applyFont="1" applyFill="1" applyBorder="1" applyAlignment="1">
      <alignment horizontal="center" vertical="center" wrapText="1"/>
    </xf>
    <xf numFmtId="0" fontId="18" fillId="0" borderId="35" xfId="4" applyFont="1" applyFill="1" applyBorder="1" applyAlignment="1">
      <alignment horizontal="center" vertical="center" wrapText="1"/>
    </xf>
    <xf numFmtId="0" fontId="18" fillId="0" borderId="139" xfId="4" applyFont="1" applyFill="1" applyBorder="1" applyAlignment="1">
      <alignment horizontal="center" vertical="center" wrapText="1"/>
    </xf>
    <xf numFmtId="3" fontId="24" fillId="34" borderId="173" xfId="4" applyNumberFormat="1" applyFont="1" applyFill="1" applyBorder="1" applyAlignment="1">
      <alignment horizontal="center" vertical="center"/>
    </xf>
    <xf numFmtId="0" fontId="0" fillId="0" borderId="145" xfId="0" applyFont="1" applyBorder="1"/>
    <xf numFmtId="0" fontId="0" fillId="0" borderId="26" xfId="0" applyFont="1" applyBorder="1" applyAlignment="1">
      <alignment vertical="center"/>
    </xf>
    <xf numFmtId="0" fontId="0" fillId="0" borderId="68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17" fillId="0" borderId="11" xfId="4" applyFont="1" applyBorder="1" applyAlignment="1">
      <alignment horizontal="center" vertical="center"/>
    </xf>
    <xf numFmtId="0" fontId="17" fillId="0" borderId="25" xfId="4" applyFont="1" applyBorder="1" applyAlignment="1">
      <alignment horizontal="center" vertical="center"/>
    </xf>
    <xf numFmtId="0" fontId="25" fillId="0" borderId="12" xfId="4" applyFont="1" applyBorder="1" applyAlignment="1">
      <alignment horizontal="center" vertical="center" wrapText="1"/>
    </xf>
    <xf numFmtId="0" fontId="20" fillId="0" borderId="12" xfId="4" applyFont="1" applyBorder="1" applyAlignment="1">
      <alignment horizontal="center" vertical="center" wrapText="1"/>
    </xf>
    <xf numFmtId="3" fontId="36" fillId="3" borderId="21" xfId="0" applyNumberFormat="1" applyFont="1" applyFill="1" applyBorder="1" applyAlignment="1">
      <alignment vertical="center" wrapText="1"/>
    </xf>
    <xf numFmtId="3" fontId="36" fillId="3" borderId="25" xfId="0" applyNumberFormat="1" applyFont="1" applyFill="1" applyBorder="1" applyAlignment="1">
      <alignment vertical="center" wrapText="1"/>
    </xf>
    <xf numFmtId="0" fontId="24" fillId="13" borderId="36" xfId="4" applyFont="1" applyFill="1" applyBorder="1" applyAlignment="1">
      <alignment vertical="center" wrapText="1"/>
    </xf>
    <xf numFmtId="3" fontId="31" fillId="25" borderId="175" xfId="4" applyNumberFormat="1" applyFont="1" applyFill="1" applyBorder="1" applyAlignment="1">
      <alignment horizontal="right" vertical="center"/>
    </xf>
    <xf numFmtId="3" fontId="32" fillId="0" borderId="20" xfId="0" applyNumberFormat="1" applyFont="1" applyBorder="1" applyAlignment="1">
      <alignment horizontal="center" vertical="center"/>
    </xf>
    <xf numFmtId="0" fontId="24" fillId="8" borderId="45" xfId="0" applyFont="1" applyFill="1" applyBorder="1" applyAlignment="1">
      <alignment horizontal="left" vertical="center" wrapText="1"/>
    </xf>
    <xf numFmtId="3" fontId="24" fillId="8" borderId="17" xfId="0" applyNumberFormat="1" applyFont="1" applyFill="1" applyBorder="1" applyAlignment="1">
      <alignment vertical="center"/>
    </xf>
    <xf numFmtId="3" fontId="29" fillId="0" borderId="29" xfId="0" applyNumberFormat="1" applyFont="1" applyFill="1" applyBorder="1" applyAlignment="1">
      <alignment horizontal="right" vertical="center"/>
    </xf>
    <xf numFmtId="3" fontId="31" fillId="0" borderId="72" xfId="0" applyNumberFormat="1" applyFont="1" applyFill="1" applyBorder="1" applyAlignment="1">
      <alignment horizontal="right" vertical="center"/>
    </xf>
    <xf numFmtId="3" fontId="7" fillId="0" borderId="72" xfId="0" applyNumberFormat="1" applyFont="1" applyFill="1" applyBorder="1" applyAlignment="1">
      <alignment horizontal="right" vertical="center"/>
    </xf>
    <xf numFmtId="3" fontId="7" fillId="0" borderId="65" xfId="0" applyNumberFormat="1" applyFont="1" applyFill="1" applyBorder="1" applyAlignment="1">
      <alignment horizontal="right" vertical="center"/>
    </xf>
    <xf numFmtId="3" fontId="29" fillId="2" borderId="173" xfId="4" applyNumberFormat="1" applyFont="1" applyFill="1" applyBorder="1" applyAlignment="1">
      <alignment vertical="center" wrapText="1"/>
    </xf>
    <xf numFmtId="0" fontId="28" fillId="0" borderId="173" xfId="4" applyFont="1" applyFill="1" applyBorder="1" applyAlignment="1">
      <alignment vertical="center"/>
    </xf>
    <xf numFmtId="3" fontId="28" fillId="0" borderId="173" xfId="4" applyNumberFormat="1" applyFont="1" applyFill="1" applyBorder="1" applyAlignment="1">
      <alignment horizontal="right" vertical="center"/>
    </xf>
    <xf numFmtId="3" fontId="28" fillId="25" borderId="173" xfId="4" applyNumberFormat="1" applyFont="1" applyFill="1" applyBorder="1" applyAlignment="1">
      <alignment horizontal="right" vertical="center"/>
    </xf>
    <xf numFmtId="0" fontId="24" fillId="8" borderId="79" xfId="4" applyFont="1" applyFill="1" applyBorder="1" applyAlignment="1">
      <alignment vertical="center" wrapText="1"/>
    </xf>
    <xf numFmtId="0" fontId="32" fillId="0" borderId="132" xfId="0" applyFont="1" applyBorder="1"/>
    <xf numFmtId="43" fontId="27" fillId="2" borderId="174" xfId="1" applyFont="1" applyFill="1" applyBorder="1" applyAlignment="1">
      <alignment vertical="top"/>
    </xf>
    <xf numFmtId="43" fontId="31" fillId="0" borderId="9" xfId="1" applyFont="1" applyFill="1" applyBorder="1" applyAlignment="1">
      <alignment vertical="top"/>
    </xf>
    <xf numFmtId="43" fontId="31" fillId="0" borderId="13" xfId="1" applyFont="1" applyFill="1" applyBorder="1" applyAlignment="1">
      <alignment horizontal="right" vertical="center"/>
    </xf>
    <xf numFmtId="43" fontId="31" fillId="0" borderId="132" xfId="1" applyFont="1" applyFill="1" applyBorder="1" applyAlignment="1">
      <alignment horizontal="right" vertical="center"/>
    </xf>
    <xf numFmtId="3" fontId="31" fillId="0" borderId="184" xfId="0" applyNumberFormat="1" applyFont="1" applyFill="1" applyBorder="1" applyAlignment="1">
      <alignment horizontal="right" vertical="center"/>
    </xf>
    <xf numFmtId="3" fontId="25" fillId="22" borderId="104" xfId="0" applyNumberFormat="1" applyFont="1" applyFill="1" applyBorder="1" applyAlignment="1">
      <alignment vertical="center"/>
    </xf>
    <xf numFmtId="3" fontId="27" fillId="32" borderId="105" xfId="0" applyNumberFormat="1" applyFont="1" applyFill="1" applyBorder="1" applyAlignment="1">
      <alignment vertical="center"/>
    </xf>
    <xf numFmtId="3" fontId="27" fillId="25" borderId="104" xfId="0" applyNumberFormat="1" applyFont="1" applyFill="1" applyBorder="1" applyAlignment="1">
      <alignment vertical="center"/>
    </xf>
    <xf numFmtId="3" fontId="31" fillId="32" borderId="105" xfId="0" applyNumberFormat="1" applyFont="1" applyFill="1" applyBorder="1" applyAlignment="1">
      <alignment vertical="top"/>
    </xf>
    <xf numFmtId="3" fontId="31" fillId="25" borderId="104" xfId="0" applyNumberFormat="1" applyFont="1" applyFill="1" applyBorder="1" applyAlignment="1">
      <alignment vertical="top"/>
    </xf>
    <xf numFmtId="3" fontId="31" fillId="0" borderId="105" xfId="0" applyNumberFormat="1" applyFont="1" applyFill="1" applyBorder="1" applyAlignment="1">
      <alignment vertical="center"/>
    </xf>
    <xf numFmtId="3" fontId="25" fillId="32" borderId="105" xfId="0" applyNumberFormat="1" applyFont="1" applyFill="1" applyBorder="1" applyAlignment="1">
      <alignment vertical="top"/>
    </xf>
    <xf numFmtId="3" fontId="27" fillId="25" borderId="104" xfId="0" applyNumberFormat="1" applyFont="1" applyFill="1" applyBorder="1" applyAlignment="1">
      <alignment vertical="top"/>
    </xf>
    <xf numFmtId="3" fontId="28" fillId="61" borderId="105" xfId="0" applyNumberFormat="1" applyFont="1" applyFill="1" applyBorder="1" applyAlignment="1">
      <alignment vertical="top"/>
    </xf>
    <xf numFmtId="3" fontId="28" fillId="56" borderId="174" xfId="0" applyNumberFormat="1" applyFont="1" applyFill="1" applyBorder="1" applyAlignment="1">
      <alignment vertical="top"/>
    </xf>
    <xf numFmtId="3" fontId="28" fillId="61" borderId="174" xfId="0" applyNumberFormat="1" applyFont="1" applyFill="1" applyBorder="1" applyAlignment="1">
      <alignment vertical="top"/>
    </xf>
    <xf numFmtId="3" fontId="28" fillId="25" borderId="104" xfId="0" applyNumberFormat="1" applyFont="1" applyFill="1" applyBorder="1" applyAlignment="1">
      <alignment vertical="center"/>
    </xf>
    <xf numFmtId="3" fontId="28" fillId="62" borderId="105" xfId="0" applyNumberFormat="1" applyFont="1" applyFill="1" applyBorder="1" applyAlignment="1">
      <alignment vertical="top"/>
    </xf>
    <xf numFmtId="3" fontId="28" fillId="56" borderId="105" xfId="0" applyNumberFormat="1" applyFont="1" applyFill="1" applyBorder="1" applyAlignment="1">
      <alignment vertical="center"/>
    </xf>
    <xf numFmtId="3" fontId="28" fillId="56" borderId="9" xfId="0" applyNumberFormat="1" applyFont="1" applyFill="1" applyBorder="1" applyAlignment="1">
      <alignment vertical="center"/>
    </xf>
    <xf numFmtId="3" fontId="28" fillId="56" borderId="35" xfId="0" applyNumberFormat="1" applyFont="1" applyFill="1" applyBorder="1" applyAlignment="1">
      <alignment vertical="center"/>
    </xf>
    <xf numFmtId="3" fontId="28" fillId="64" borderId="104" xfId="0" applyNumberFormat="1" applyFont="1" applyFill="1" applyBorder="1" applyAlignment="1">
      <alignment vertical="center"/>
    </xf>
    <xf numFmtId="3" fontId="28" fillId="63" borderId="105" xfId="0" applyNumberFormat="1" applyFont="1" applyFill="1" applyBorder="1" applyAlignment="1">
      <alignment vertical="top"/>
    </xf>
    <xf numFmtId="43" fontId="31" fillId="25" borderId="104" xfId="1" applyFont="1" applyFill="1" applyBorder="1" applyAlignment="1">
      <alignment vertical="top"/>
    </xf>
    <xf numFmtId="3" fontId="28" fillId="55" borderId="105" xfId="0" applyNumberFormat="1" applyFont="1" applyFill="1" applyBorder="1" applyAlignment="1">
      <alignment vertical="top"/>
    </xf>
    <xf numFmtId="3" fontId="31" fillId="55" borderId="105" xfId="0" applyNumberFormat="1" applyFont="1" applyFill="1" applyBorder="1" applyAlignment="1">
      <alignment vertical="top"/>
    </xf>
    <xf numFmtId="3" fontId="31" fillId="55" borderId="9" xfId="0" applyNumberFormat="1" applyFont="1" applyFill="1" applyBorder="1" applyAlignment="1">
      <alignment vertical="top"/>
    </xf>
    <xf numFmtId="3" fontId="31" fillId="55" borderId="35" xfId="0" applyNumberFormat="1" applyFont="1" applyFill="1" applyBorder="1" applyAlignment="1">
      <alignment vertical="top"/>
    </xf>
    <xf numFmtId="43" fontId="28" fillId="25" borderId="104" xfId="1" applyFont="1" applyFill="1" applyBorder="1" applyAlignment="1">
      <alignment vertical="center"/>
    </xf>
    <xf numFmtId="3" fontId="31" fillId="57" borderId="105" xfId="0" applyNumberFormat="1" applyFont="1" applyFill="1" applyBorder="1" applyAlignment="1">
      <alignment horizontal="right" vertical="center"/>
    </xf>
    <xf numFmtId="3" fontId="31" fillId="0" borderId="105" xfId="0" applyNumberFormat="1" applyFont="1" applyFill="1" applyBorder="1" applyAlignment="1">
      <alignment horizontal="right" vertical="center"/>
    </xf>
    <xf numFmtId="3" fontId="31" fillId="23" borderId="104" xfId="0" applyNumberFormat="1" applyFont="1" applyFill="1" applyBorder="1" applyAlignment="1">
      <alignment vertical="center"/>
    </xf>
    <xf numFmtId="3" fontId="28" fillId="61" borderId="9" xfId="0" applyNumberFormat="1" applyFont="1" applyFill="1" applyBorder="1" applyAlignment="1">
      <alignment vertical="center"/>
    </xf>
    <xf numFmtId="3" fontId="28" fillId="61" borderId="9" xfId="0" applyNumberFormat="1" applyFont="1" applyFill="1" applyBorder="1" applyAlignment="1">
      <alignment vertical="top"/>
    </xf>
    <xf numFmtId="3" fontId="28" fillId="65" borderId="35" xfId="0" applyNumberFormat="1" applyFont="1" applyFill="1" applyBorder="1" applyAlignment="1">
      <alignment vertical="center"/>
    </xf>
    <xf numFmtId="3" fontId="28" fillId="56" borderId="9" xfId="0" applyNumberFormat="1" applyFont="1" applyFill="1" applyBorder="1" applyAlignment="1">
      <alignment horizontal="right"/>
    </xf>
    <xf numFmtId="3" fontId="28" fillId="56" borderId="9" xfId="0" applyNumberFormat="1" applyFont="1" applyFill="1" applyBorder="1" applyAlignment="1">
      <alignment horizontal="right" vertical="center"/>
    </xf>
    <xf numFmtId="3" fontId="28" fillId="63" borderId="174" xfId="0" applyNumberFormat="1" applyFont="1" applyFill="1" applyBorder="1" applyAlignment="1">
      <alignment vertical="top"/>
    </xf>
    <xf numFmtId="3" fontId="28" fillId="63" borderId="9" xfId="0" applyNumberFormat="1" applyFont="1" applyFill="1" applyBorder="1" applyAlignment="1">
      <alignment vertical="top"/>
    </xf>
    <xf numFmtId="3" fontId="28" fillId="55" borderId="9" xfId="0" applyNumberFormat="1" applyFont="1" applyFill="1" applyBorder="1" applyAlignment="1">
      <alignment horizontal="right"/>
    </xf>
    <xf numFmtId="3" fontId="28" fillId="55" borderId="9" xfId="0" applyNumberFormat="1" applyFont="1" applyFill="1" applyBorder="1" applyAlignment="1">
      <alignment horizontal="right" vertical="center"/>
    </xf>
    <xf numFmtId="3" fontId="25" fillId="57" borderId="9" xfId="0" applyNumberFormat="1" applyFont="1" applyFill="1" applyBorder="1" applyAlignment="1">
      <alignment vertical="center"/>
    </xf>
    <xf numFmtId="3" fontId="25" fillId="59" borderId="9" xfId="0" applyNumberFormat="1" applyFont="1" applyFill="1" applyBorder="1" applyAlignment="1">
      <alignment vertical="center"/>
    </xf>
    <xf numFmtId="3" fontId="25" fillId="6" borderId="104" xfId="0" applyNumberFormat="1" applyFont="1" applyFill="1" applyBorder="1" applyAlignment="1">
      <alignment vertical="center"/>
    </xf>
    <xf numFmtId="3" fontId="25" fillId="6" borderId="119" xfId="0" applyNumberFormat="1" applyFont="1" applyFill="1" applyBorder="1" applyAlignment="1">
      <alignment vertical="center"/>
    </xf>
    <xf numFmtId="3" fontId="25" fillId="22" borderId="118" xfId="0" applyNumberFormat="1" applyFont="1" applyFill="1" applyBorder="1" applyAlignment="1">
      <alignment vertical="center"/>
    </xf>
    <xf numFmtId="3" fontId="27" fillId="32" borderId="119" xfId="0" applyNumberFormat="1" applyFont="1" applyFill="1" applyBorder="1" applyAlignment="1">
      <alignment vertical="center"/>
    </xf>
    <xf numFmtId="43" fontId="27" fillId="25" borderId="118" xfId="1" applyFont="1" applyFill="1" applyBorder="1" applyAlignment="1">
      <alignment vertical="center"/>
    </xf>
    <xf numFmtId="3" fontId="31" fillId="32" borderId="119" xfId="0" applyNumberFormat="1" applyFont="1" applyFill="1" applyBorder="1" applyAlignment="1">
      <alignment vertical="top"/>
    </xf>
    <xf numFmtId="43" fontId="31" fillId="25" borderId="118" xfId="1" applyFont="1" applyFill="1" applyBorder="1" applyAlignment="1">
      <alignment vertical="top"/>
    </xf>
    <xf numFmtId="3" fontId="28" fillId="55" borderId="119" xfId="0" applyNumberFormat="1" applyFont="1" applyFill="1" applyBorder="1" applyAlignment="1">
      <alignment vertical="top"/>
    </xf>
    <xf numFmtId="3" fontId="31" fillId="55" borderId="119" xfId="0" applyNumberFormat="1" applyFont="1" applyFill="1" applyBorder="1" applyAlignment="1">
      <alignment vertical="top"/>
    </xf>
    <xf numFmtId="43" fontId="28" fillId="25" borderId="118" xfId="1" applyFont="1" applyFill="1" applyBorder="1" applyAlignment="1">
      <alignment vertical="center"/>
    </xf>
    <xf numFmtId="3" fontId="27" fillId="0" borderId="119" xfId="0" applyNumberFormat="1" applyFont="1" applyFill="1" applyBorder="1" applyAlignment="1">
      <alignment vertical="top"/>
    </xf>
    <xf numFmtId="3" fontId="27" fillId="57" borderId="119" xfId="0" applyNumberFormat="1" applyFont="1" applyFill="1" applyBorder="1" applyAlignment="1">
      <alignment vertical="top"/>
    </xf>
    <xf numFmtId="3" fontId="27" fillId="59" borderId="119" xfId="0" applyNumberFormat="1" applyFont="1" applyFill="1" applyBorder="1" applyAlignment="1">
      <alignment vertical="top"/>
    </xf>
    <xf numFmtId="3" fontId="27" fillId="0" borderId="118" xfId="0" applyNumberFormat="1" applyFont="1" applyFill="1" applyBorder="1" applyAlignment="1">
      <alignment vertical="top"/>
    </xf>
    <xf numFmtId="3" fontId="27" fillId="25" borderId="118" xfId="0" applyNumberFormat="1" applyFont="1" applyFill="1" applyBorder="1" applyAlignment="1">
      <alignment vertical="top"/>
    </xf>
    <xf numFmtId="3" fontId="31" fillId="0" borderId="118" xfId="0" applyNumberFormat="1" applyFont="1" applyFill="1" applyBorder="1" applyAlignment="1">
      <alignment vertical="top"/>
    </xf>
    <xf numFmtId="3" fontId="31" fillId="23" borderId="118" xfId="0" applyNumberFormat="1" applyFont="1" applyFill="1" applyBorder="1" applyAlignment="1">
      <alignment vertical="center"/>
    </xf>
    <xf numFmtId="3" fontId="31" fillId="0" borderId="119" xfId="0" applyNumberFormat="1" applyFont="1" applyFill="1" applyBorder="1" applyAlignment="1">
      <alignment vertical="top"/>
    </xf>
    <xf numFmtId="3" fontId="31" fillId="57" borderId="119" xfId="0" applyNumberFormat="1" applyFont="1" applyFill="1" applyBorder="1" applyAlignment="1">
      <alignment horizontal="right" vertical="center"/>
    </xf>
    <xf numFmtId="3" fontId="31" fillId="59" borderId="119" xfId="0" applyNumberFormat="1" applyFont="1" applyFill="1" applyBorder="1" applyAlignment="1">
      <alignment vertical="top"/>
    </xf>
    <xf numFmtId="3" fontId="31" fillId="0" borderId="119" xfId="0" applyNumberFormat="1" applyFont="1" applyFill="1" applyBorder="1" applyAlignment="1">
      <alignment horizontal="right" vertical="center"/>
    </xf>
    <xf numFmtId="3" fontId="28" fillId="62" borderId="119" xfId="0" applyNumberFormat="1" applyFont="1" applyFill="1" applyBorder="1" applyAlignment="1">
      <alignment vertical="top"/>
    </xf>
    <xf numFmtId="3" fontId="28" fillId="56" borderId="119" xfId="0" applyNumberFormat="1" applyFont="1" applyFill="1" applyBorder="1" applyAlignment="1">
      <alignment vertical="center"/>
    </xf>
    <xf numFmtId="3" fontId="28" fillId="63" borderId="119" xfId="0" applyNumberFormat="1" applyFont="1" applyFill="1" applyBorder="1" applyAlignment="1">
      <alignment vertical="center"/>
    </xf>
    <xf numFmtId="3" fontId="28" fillId="63" borderId="119" xfId="0" applyNumberFormat="1" applyFont="1" applyFill="1" applyBorder="1" applyAlignment="1">
      <alignment vertical="top"/>
    </xf>
    <xf numFmtId="3" fontId="28" fillId="55" borderId="174" xfId="0" applyNumberFormat="1" applyFont="1" applyFill="1" applyBorder="1" applyAlignment="1">
      <alignment vertical="top"/>
    </xf>
    <xf numFmtId="3" fontId="27" fillId="0" borderId="119" xfId="0" applyNumberFormat="1" applyFont="1" applyFill="1" applyBorder="1" applyAlignment="1">
      <alignment vertical="center"/>
    </xf>
    <xf numFmtId="3" fontId="27" fillId="57" borderId="119" xfId="0" applyNumberFormat="1" applyFont="1" applyFill="1" applyBorder="1" applyAlignment="1">
      <alignment vertical="center"/>
    </xf>
    <xf numFmtId="3" fontId="27" fillId="59" borderId="119" xfId="0" applyNumberFormat="1" applyFont="1" applyFill="1" applyBorder="1" applyAlignment="1">
      <alignment vertical="center"/>
    </xf>
    <xf numFmtId="3" fontId="27" fillId="0" borderId="118" xfId="0" applyNumberFormat="1" applyFont="1" applyFill="1" applyBorder="1" applyAlignment="1">
      <alignment vertical="center"/>
    </xf>
    <xf numFmtId="3" fontId="28" fillId="0" borderId="47" xfId="0" applyNumberFormat="1" applyFont="1" applyFill="1" applyBorder="1" applyAlignment="1">
      <alignment vertical="center"/>
    </xf>
    <xf numFmtId="3" fontId="28" fillId="0" borderId="132" xfId="0" applyNumberFormat="1" applyFont="1" applyFill="1" applyBorder="1" applyAlignment="1">
      <alignment vertical="center"/>
    </xf>
    <xf numFmtId="0" fontId="24" fillId="8" borderId="1" xfId="0" applyFont="1" applyFill="1" applyBorder="1" applyAlignment="1">
      <alignment horizontal="center" vertical="center" wrapText="1"/>
    </xf>
    <xf numFmtId="0" fontId="7" fillId="23" borderId="70" xfId="0" applyFont="1" applyFill="1" applyBorder="1" applyAlignment="1">
      <alignment vertical="top"/>
    </xf>
    <xf numFmtId="0" fontId="88" fillId="6" borderId="180" xfId="4" applyFont="1" applyFill="1" applyBorder="1" applyAlignment="1">
      <alignment horizontal="left" vertical="center"/>
    </xf>
    <xf numFmtId="3" fontId="24" fillId="22" borderId="35" xfId="0" applyNumberFormat="1" applyFont="1" applyFill="1" applyBorder="1" applyAlignment="1">
      <alignment vertical="center"/>
    </xf>
    <xf numFmtId="3" fontId="29" fillId="0" borderId="173" xfId="0" applyNumberFormat="1" applyFont="1" applyFill="1" applyBorder="1" applyAlignment="1">
      <alignment vertical="center"/>
    </xf>
    <xf numFmtId="3" fontId="29" fillId="25" borderId="173" xfId="0" applyNumberFormat="1" applyFont="1" applyFill="1" applyBorder="1" applyAlignment="1">
      <alignment vertical="top"/>
    </xf>
    <xf numFmtId="0" fontId="8" fillId="0" borderId="136" xfId="0" applyFont="1" applyFill="1" applyBorder="1" applyAlignment="1">
      <alignment vertical="center" wrapText="1"/>
    </xf>
    <xf numFmtId="3" fontId="7" fillId="0" borderId="184" xfId="4" applyNumberFormat="1" applyFont="1" applyFill="1" applyBorder="1" applyAlignment="1">
      <alignment vertical="center"/>
    </xf>
    <xf numFmtId="3" fontId="7" fillId="0" borderId="174" xfId="4" applyNumberFormat="1" applyFont="1" applyFill="1" applyBorder="1" applyAlignment="1">
      <alignment vertical="center"/>
    </xf>
    <xf numFmtId="3" fontId="29" fillId="0" borderId="173" xfId="0" applyNumberFormat="1" applyFont="1" applyFill="1" applyBorder="1" applyAlignment="1">
      <alignment horizontal="right" vertical="center"/>
    </xf>
    <xf numFmtId="3" fontId="40" fillId="22" borderId="173" xfId="0" applyNumberFormat="1" applyFont="1" applyFill="1" applyBorder="1" applyAlignment="1">
      <alignment horizontal="right" vertical="center"/>
    </xf>
    <xf numFmtId="3" fontId="40" fillId="0" borderId="184" xfId="0" applyNumberFormat="1" applyFont="1" applyFill="1" applyBorder="1" applyAlignment="1">
      <alignment vertical="center"/>
    </xf>
    <xf numFmtId="3" fontId="7" fillId="0" borderId="173" xfId="0" applyNumberFormat="1" applyFont="1" applyFill="1" applyBorder="1" applyAlignment="1">
      <alignment vertical="center"/>
    </xf>
    <xf numFmtId="3" fontId="7" fillId="0" borderId="149" xfId="4" applyNumberFormat="1" applyFont="1" applyFill="1" applyBorder="1" applyAlignment="1">
      <alignment vertical="center"/>
    </xf>
    <xf numFmtId="0" fontId="24" fillId="8" borderId="32" xfId="0" applyFont="1" applyFill="1" applyBorder="1" applyAlignment="1">
      <alignment vertical="center" wrapText="1"/>
    </xf>
    <xf numFmtId="0" fontId="24" fillId="8" borderId="117" xfId="0" applyFont="1" applyFill="1" applyBorder="1" applyAlignment="1">
      <alignment horizontal="center" vertical="center" wrapText="1"/>
    </xf>
    <xf numFmtId="3" fontId="7" fillId="8" borderId="114" xfId="0" applyNumberFormat="1" applyFont="1" applyFill="1" applyBorder="1" applyAlignment="1">
      <alignment vertical="top"/>
    </xf>
    <xf numFmtId="0" fontId="7" fillId="8" borderId="110" xfId="0" applyFont="1" applyFill="1" applyBorder="1" applyAlignment="1">
      <alignment vertical="top"/>
    </xf>
    <xf numFmtId="0" fontId="7" fillId="57" borderId="110" xfId="0" applyFont="1" applyFill="1" applyBorder="1" applyAlignment="1">
      <alignment vertical="top"/>
    </xf>
    <xf numFmtId="3" fontId="7" fillId="57" borderId="110" xfId="0" applyNumberFormat="1" applyFont="1" applyFill="1" applyBorder="1" applyAlignment="1">
      <alignment vertical="top"/>
    </xf>
    <xf numFmtId="3" fontId="7" fillId="59" borderId="110" xfId="0" applyNumberFormat="1" applyFont="1" applyFill="1" applyBorder="1" applyAlignment="1">
      <alignment vertical="top"/>
    </xf>
    <xf numFmtId="0" fontId="7" fillId="59" borderId="110" xfId="0" applyFont="1" applyFill="1" applyBorder="1" applyAlignment="1">
      <alignment vertical="top"/>
    </xf>
    <xf numFmtId="3" fontId="7" fillId="8" borderId="110" xfId="0" applyNumberFormat="1" applyFont="1" applyFill="1" applyBorder="1" applyAlignment="1">
      <alignment vertical="top"/>
    </xf>
    <xf numFmtId="0" fontId="7" fillId="8" borderId="105" xfId="0" applyFont="1" applyFill="1" applyBorder="1" applyAlignment="1">
      <alignment vertical="top"/>
    </xf>
    <xf numFmtId="3" fontId="24" fillId="22" borderId="104" xfId="0" applyNumberFormat="1" applyFont="1" applyFill="1" applyBorder="1" applyAlignment="1">
      <alignment horizontal="center" vertical="center"/>
    </xf>
    <xf numFmtId="0" fontId="88" fillId="6" borderId="106" xfId="4" applyFont="1" applyFill="1" applyBorder="1" applyAlignment="1">
      <alignment horizontal="left" vertical="center"/>
    </xf>
    <xf numFmtId="3" fontId="24" fillId="6" borderId="9" xfId="0" applyNumberFormat="1" applyFont="1" applyFill="1" applyBorder="1" applyAlignment="1">
      <alignment vertical="center"/>
    </xf>
    <xf numFmtId="3" fontId="29" fillId="0" borderId="104" xfId="0" applyNumberFormat="1" applyFont="1" applyFill="1" applyBorder="1" applyAlignment="1">
      <alignment vertical="center"/>
    </xf>
    <xf numFmtId="3" fontId="29" fillId="0" borderId="104" xfId="0" applyNumberFormat="1" applyFont="1" applyFill="1" applyBorder="1" applyAlignment="1">
      <alignment horizontal="right" vertical="center"/>
    </xf>
    <xf numFmtId="3" fontId="29" fillId="57" borderId="104" xfId="0" applyNumberFormat="1" applyFont="1" applyFill="1" applyBorder="1" applyAlignment="1">
      <alignment horizontal="right" vertical="center"/>
    </xf>
    <xf numFmtId="3" fontId="29" fillId="59" borderId="104" xfId="0" applyNumberFormat="1" applyFont="1" applyFill="1" applyBorder="1" applyAlignment="1">
      <alignment horizontal="right" vertical="center"/>
    </xf>
    <xf numFmtId="3" fontId="29" fillId="0" borderId="104" xfId="0" applyNumberFormat="1" applyFont="1" applyFill="1" applyBorder="1" applyAlignment="1">
      <alignment vertical="top"/>
    </xf>
    <xf numFmtId="3" fontId="24" fillId="22" borderId="104" xfId="0" applyNumberFormat="1" applyFont="1" applyFill="1" applyBorder="1" applyAlignment="1">
      <alignment horizontal="right" vertical="center"/>
    </xf>
    <xf numFmtId="3" fontId="7" fillId="0" borderId="104" xfId="0" applyNumberFormat="1" applyFont="1" applyFill="1" applyBorder="1" applyAlignment="1">
      <alignment vertical="center"/>
    </xf>
    <xf numFmtId="3" fontId="7" fillId="0" borderId="104" xfId="0" applyNumberFormat="1" applyFont="1" applyFill="1" applyBorder="1" applyAlignment="1">
      <alignment horizontal="right" vertical="center"/>
    </xf>
    <xf numFmtId="3" fontId="7" fillId="57" borderId="104" xfId="0" applyNumberFormat="1" applyFont="1" applyFill="1" applyBorder="1" applyAlignment="1">
      <alignment horizontal="right" vertical="center"/>
    </xf>
    <xf numFmtId="3" fontId="7" fillId="59" borderId="104" xfId="0" applyNumberFormat="1" applyFont="1" applyFill="1" applyBorder="1" applyAlignment="1">
      <alignment horizontal="right" vertical="center"/>
    </xf>
    <xf numFmtId="3" fontId="7" fillId="0" borderId="104" xfId="0" applyNumberFormat="1" applyFont="1" applyFill="1" applyBorder="1" applyAlignment="1">
      <alignment vertical="top"/>
    </xf>
    <xf numFmtId="3" fontId="7" fillId="22" borderId="104" xfId="0" applyNumberFormat="1" applyFont="1" applyFill="1" applyBorder="1" applyAlignment="1">
      <alignment horizontal="right" vertical="center"/>
    </xf>
    <xf numFmtId="3" fontId="40" fillId="0" borderId="104" xfId="0" applyNumberFormat="1" applyFont="1" applyFill="1" applyBorder="1" applyAlignment="1">
      <alignment vertical="center"/>
    </xf>
    <xf numFmtId="3" fontId="40" fillId="0" borderId="104" xfId="0" applyNumberFormat="1" applyFont="1" applyFill="1" applyBorder="1" applyAlignment="1">
      <alignment horizontal="right" vertical="center"/>
    </xf>
    <xf numFmtId="3" fontId="40" fillId="57" borderId="104" xfId="0" applyNumberFormat="1" applyFont="1" applyFill="1" applyBorder="1" applyAlignment="1">
      <alignment horizontal="right" vertical="center"/>
    </xf>
    <xf numFmtId="3" fontId="40" fillId="59" borderId="104" xfId="0" applyNumberFormat="1" applyFont="1" applyFill="1" applyBorder="1" applyAlignment="1">
      <alignment horizontal="right" vertical="center"/>
    </xf>
    <xf numFmtId="3" fontId="40" fillId="0" borderId="104" xfId="0" applyNumberFormat="1" applyFont="1" applyFill="1" applyBorder="1" applyAlignment="1">
      <alignment vertical="top"/>
    </xf>
    <xf numFmtId="3" fontId="40" fillId="22" borderId="104" xfId="0" applyNumberFormat="1" applyFont="1" applyFill="1" applyBorder="1" applyAlignment="1">
      <alignment horizontal="right" vertical="center"/>
    </xf>
    <xf numFmtId="0" fontId="17" fillId="0" borderId="26" xfId="0" applyFont="1" applyFill="1" applyBorder="1" applyAlignment="1">
      <alignment horizontal="center" vertical="center"/>
    </xf>
    <xf numFmtId="0" fontId="25" fillId="8" borderId="20" xfId="0" applyFont="1" applyFill="1" applyBorder="1" applyAlignment="1">
      <alignment horizontal="center" vertical="center" wrapText="1"/>
    </xf>
    <xf numFmtId="3" fontId="25" fillId="22" borderId="35" xfId="0" applyNumberFormat="1" applyFont="1" applyFill="1" applyBorder="1" applyAlignment="1">
      <alignment horizontal="center" vertical="center"/>
    </xf>
    <xf numFmtId="0" fontId="65" fillId="6" borderId="28" xfId="4" applyFont="1" applyFill="1" applyBorder="1" applyAlignment="1">
      <alignment horizontal="left" vertical="center"/>
    </xf>
    <xf numFmtId="3" fontId="0" fillId="22" borderId="91" xfId="0" applyNumberFormat="1" applyFont="1" applyFill="1" applyBorder="1" applyAlignment="1">
      <alignment horizontal="right" vertical="center"/>
    </xf>
    <xf numFmtId="3" fontId="31" fillId="22" borderId="91" xfId="0" applyNumberFormat="1" applyFont="1" applyFill="1" applyBorder="1" applyAlignment="1">
      <alignment horizontal="right" vertical="center"/>
    </xf>
    <xf numFmtId="3" fontId="27" fillId="22" borderId="91" xfId="0" applyNumberFormat="1" applyFont="1" applyFill="1" applyBorder="1" applyAlignment="1">
      <alignment horizontal="right" vertical="center"/>
    </xf>
    <xf numFmtId="3" fontId="28" fillId="0" borderId="91" xfId="0" applyNumberFormat="1" applyFont="1" applyFill="1" applyBorder="1" applyAlignment="1">
      <alignment vertical="top"/>
    </xf>
    <xf numFmtId="3" fontId="28" fillId="22" borderId="91" xfId="0" applyNumberFormat="1" applyFont="1" applyFill="1" applyBorder="1" applyAlignment="1">
      <alignment horizontal="right" vertical="center"/>
    </xf>
    <xf numFmtId="0" fontId="7" fillId="0" borderId="99" xfId="0" applyFont="1" applyFill="1" applyBorder="1" applyAlignment="1">
      <alignment vertical="center" wrapText="1"/>
    </xf>
    <xf numFmtId="3" fontId="28" fillId="0" borderId="96" xfId="0" applyNumberFormat="1" applyFont="1" applyFill="1" applyBorder="1" applyAlignment="1">
      <alignment horizontal="right" vertical="center"/>
    </xf>
    <xf numFmtId="3" fontId="28" fillId="57" borderId="96" xfId="0" applyNumberFormat="1" applyFont="1" applyFill="1" applyBorder="1" applyAlignment="1">
      <alignment horizontal="right" vertical="center"/>
    </xf>
    <xf numFmtId="3" fontId="28" fillId="59" borderId="96" xfId="0" applyNumberFormat="1" applyFont="1" applyFill="1" applyBorder="1" applyAlignment="1">
      <alignment horizontal="right" vertical="center"/>
    </xf>
    <xf numFmtId="3" fontId="28" fillId="0" borderId="96" xfId="0" applyNumberFormat="1" applyFont="1" applyFill="1" applyBorder="1" applyAlignment="1">
      <alignment vertical="top"/>
    </xf>
    <xf numFmtId="3" fontId="28" fillId="0" borderId="96" xfId="0" applyNumberFormat="1" applyFont="1" applyFill="1" applyBorder="1" applyAlignment="1">
      <alignment vertical="center"/>
    </xf>
    <xf numFmtId="0" fontId="7" fillId="0" borderId="20" xfId="0" applyFont="1" applyFill="1" applyBorder="1" applyAlignment="1">
      <alignment horizontal="center" vertical="center" wrapText="1"/>
    </xf>
    <xf numFmtId="3" fontId="40" fillId="0" borderId="91" xfId="0" applyNumberFormat="1" applyFont="1" applyFill="1" applyBorder="1" applyAlignment="1">
      <alignment vertical="center"/>
    </xf>
    <xf numFmtId="3" fontId="40" fillId="0" borderId="13" xfId="0" applyNumberFormat="1" applyFont="1" applyFill="1" applyBorder="1" applyAlignment="1">
      <alignment horizontal="right" vertical="center"/>
    </xf>
    <xf numFmtId="3" fontId="40" fillId="57" borderId="13" xfId="0" applyNumberFormat="1" applyFont="1" applyFill="1" applyBorder="1" applyAlignment="1">
      <alignment horizontal="right" vertical="center"/>
    </xf>
    <xf numFmtId="3" fontId="40" fillId="59" borderId="13" xfId="0" applyNumberFormat="1" applyFont="1" applyFill="1" applyBorder="1" applyAlignment="1">
      <alignment horizontal="right" vertical="center"/>
    </xf>
    <xf numFmtId="3" fontId="40" fillId="0" borderId="91" xfId="0" applyNumberFormat="1" applyFont="1" applyFill="1" applyBorder="1" applyAlignment="1">
      <alignment vertical="top"/>
    </xf>
    <xf numFmtId="3" fontId="40" fillId="0" borderId="91" xfId="0" applyNumberFormat="1" applyFont="1" applyFill="1" applyBorder="1" applyAlignment="1">
      <alignment horizontal="right" vertical="center"/>
    </xf>
    <xf numFmtId="0" fontId="17" fillId="2" borderId="43" xfId="0" applyFont="1" applyFill="1" applyBorder="1" applyAlignment="1">
      <alignment horizontal="center" vertical="center" wrapText="1"/>
    </xf>
    <xf numFmtId="3" fontId="40" fillId="0" borderId="47" xfId="0" applyNumberFormat="1" applyFont="1" applyFill="1" applyBorder="1" applyAlignment="1">
      <alignment vertical="center"/>
    </xf>
    <xf numFmtId="3" fontId="40" fillId="0" borderId="47" xfId="0" applyNumberFormat="1" applyFont="1" applyFill="1" applyBorder="1" applyAlignment="1">
      <alignment vertical="top"/>
    </xf>
    <xf numFmtId="3" fontId="40" fillId="0" borderId="47" xfId="0" applyNumberFormat="1" applyFont="1" applyFill="1" applyBorder="1" applyAlignment="1">
      <alignment horizontal="right" vertical="center"/>
    </xf>
    <xf numFmtId="3" fontId="31" fillId="2" borderId="9" xfId="0" applyNumberFormat="1" applyFont="1" applyFill="1" applyBorder="1" applyAlignment="1">
      <alignment vertical="top"/>
    </xf>
    <xf numFmtId="0" fontId="26" fillId="0" borderId="43" xfId="0" applyFont="1" applyBorder="1" applyAlignment="1"/>
    <xf numFmtId="0" fontId="26" fillId="0" borderId="41" xfId="0" applyFont="1" applyBorder="1" applyAlignment="1"/>
    <xf numFmtId="0" fontId="27" fillId="8" borderId="138" xfId="4" applyFont="1" applyFill="1" applyBorder="1" applyAlignment="1">
      <alignment vertical="center"/>
    </xf>
    <xf numFmtId="3" fontId="27" fillId="8" borderId="138" xfId="0" applyNumberFormat="1" applyFont="1" applyFill="1" applyBorder="1" applyAlignment="1">
      <alignment vertical="top"/>
    </xf>
    <xf numFmtId="3" fontId="27" fillId="23" borderId="138" xfId="0" applyNumberFormat="1" applyFont="1" applyFill="1" applyBorder="1" applyAlignment="1">
      <alignment vertical="top"/>
    </xf>
    <xf numFmtId="0" fontId="31" fillId="8" borderId="138" xfId="0" applyFont="1" applyFill="1" applyBorder="1" applyAlignment="1">
      <alignment vertical="top"/>
    </xf>
    <xf numFmtId="3" fontId="28" fillId="8" borderId="138" xfId="0" applyNumberFormat="1" applyFont="1" applyFill="1" applyBorder="1" applyAlignment="1">
      <alignment vertical="top"/>
    </xf>
    <xf numFmtId="3" fontId="28" fillId="23" borderId="138" xfId="0" applyNumberFormat="1" applyFont="1" applyFill="1" applyBorder="1" applyAlignment="1">
      <alignment horizontal="center" vertical="top"/>
    </xf>
    <xf numFmtId="3" fontId="31" fillId="8" borderId="138" xfId="0" applyNumberFormat="1" applyFont="1" applyFill="1" applyBorder="1" applyAlignment="1">
      <alignment vertical="top"/>
    </xf>
    <xf numFmtId="3" fontId="27" fillId="23" borderId="138" xfId="0" applyNumberFormat="1" applyFont="1" applyFill="1" applyBorder="1" applyAlignment="1">
      <alignment horizontal="center" vertical="top"/>
    </xf>
    <xf numFmtId="0" fontId="31" fillId="8" borderId="138" xfId="4" applyFont="1" applyFill="1" applyBorder="1" applyAlignment="1">
      <alignment vertical="center"/>
    </xf>
    <xf numFmtId="0" fontId="27" fillId="8" borderId="35" xfId="4" applyFont="1" applyFill="1" applyBorder="1" applyAlignment="1">
      <alignment vertical="center"/>
    </xf>
    <xf numFmtId="3" fontId="27" fillId="8" borderId="35" xfId="0" applyNumberFormat="1" applyFont="1" applyFill="1" applyBorder="1" applyAlignment="1">
      <alignment vertical="top"/>
    </xf>
    <xf numFmtId="0" fontId="31" fillId="8" borderId="132" xfId="4" applyFont="1" applyFill="1" applyBorder="1" applyAlignment="1">
      <alignment vertical="center"/>
    </xf>
    <xf numFmtId="3" fontId="27" fillId="0" borderId="138" xfId="4" applyNumberFormat="1" applyFont="1" applyFill="1" applyBorder="1" applyAlignment="1">
      <alignment vertical="top" wrapText="1"/>
    </xf>
    <xf numFmtId="0" fontId="33" fillId="0" borderId="138" xfId="0" applyFont="1" applyBorder="1" applyAlignment="1">
      <alignment vertical="center"/>
    </xf>
    <xf numFmtId="3" fontId="27" fillId="0" borderId="35" xfId="0" applyNumberFormat="1" applyFont="1" applyFill="1" applyBorder="1" applyAlignment="1">
      <alignment vertical="center"/>
    </xf>
    <xf numFmtId="3" fontId="27" fillId="25" borderId="35" xfId="0" applyNumberFormat="1" applyFont="1" applyFill="1" applyBorder="1" applyAlignment="1">
      <alignment horizontal="center" vertical="center"/>
    </xf>
    <xf numFmtId="3" fontId="31" fillId="25" borderId="35" xfId="0" applyNumberFormat="1" applyFont="1" applyFill="1" applyBorder="1" applyAlignment="1">
      <alignment horizontal="center" vertical="center"/>
    </xf>
    <xf numFmtId="0" fontId="31" fillId="6" borderId="138" xfId="0" applyFont="1" applyFill="1" applyBorder="1" applyAlignment="1">
      <alignment vertical="center"/>
    </xf>
    <xf numFmtId="0" fontId="27" fillId="55" borderId="8" xfId="4" applyFont="1" applyFill="1" applyBorder="1" applyAlignment="1">
      <alignment horizontal="left" vertical="center"/>
    </xf>
    <xf numFmtId="3" fontId="27" fillId="55" borderId="20" xfId="4" applyNumberFormat="1" applyFont="1" applyFill="1" applyBorder="1" applyAlignment="1">
      <alignment horizontal="right" vertical="center"/>
    </xf>
    <xf numFmtId="0" fontId="27" fillId="55" borderId="0" xfId="4" applyFont="1" applyFill="1" applyBorder="1" applyAlignment="1">
      <alignment horizontal="left" vertical="center"/>
    </xf>
    <xf numFmtId="3" fontId="27" fillId="55" borderId="6" xfId="4" applyNumberFormat="1" applyFont="1" applyFill="1" applyBorder="1" applyAlignment="1">
      <alignment horizontal="right" vertical="center"/>
    </xf>
    <xf numFmtId="0" fontId="27" fillId="55" borderId="68" xfId="0" applyFont="1" applyFill="1" applyBorder="1" applyAlignment="1">
      <alignment horizontal="left" vertical="center"/>
    </xf>
    <xf numFmtId="3" fontId="27" fillId="55" borderId="22" xfId="0" quotePrefix="1" applyNumberFormat="1" applyFont="1" applyFill="1" applyBorder="1" applyAlignment="1">
      <alignment horizontal="right" vertical="center"/>
    </xf>
    <xf numFmtId="3" fontId="27" fillId="8" borderId="28" xfId="0" applyNumberFormat="1" applyFont="1" applyFill="1" applyBorder="1" applyAlignment="1">
      <alignment vertical="center"/>
    </xf>
    <xf numFmtId="3" fontId="29" fillId="8" borderId="30" xfId="0" applyNumberFormat="1" applyFont="1" applyFill="1" applyBorder="1" applyAlignment="1">
      <alignment vertical="center"/>
    </xf>
    <xf numFmtId="3" fontId="27" fillId="23" borderId="30" xfId="0" applyNumberFormat="1" applyFont="1" applyFill="1" applyBorder="1" applyAlignment="1">
      <alignment vertical="center"/>
    </xf>
    <xf numFmtId="3" fontId="7" fillId="8" borderId="31" xfId="4" applyNumberFormat="1" applyFont="1" applyFill="1" applyBorder="1" applyAlignment="1">
      <alignment vertical="center" wrapText="1"/>
    </xf>
    <xf numFmtId="3" fontId="7" fillId="8" borderId="28" xfId="0" applyNumberFormat="1" applyFont="1" applyFill="1" applyBorder="1" applyAlignment="1">
      <alignment vertical="center"/>
    </xf>
    <xf numFmtId="3" fontId="7" fillId="8" borderId="30" xfId="0" applyNumberFormat="1" applyFont="1" applyFill="1" applyBorder="1" applyAlignment="1">
      <alignment vertical="center"/>
    </xf>
    <xf numFmtId="0" fontId="28" fillId="0" borderId="183" xfId="4" quotePrefix="1" applyFont="1" applyFill="1" applyBorder="1" applyAlignment="1">
      <alignment horizontal="right" vertical="center"/>
    </xf>
    <xf numFmtId="3" fontId="28" fillId="0" borderId="95" xfId="4" applyNumberFormat="1" applyFont="1" applyFill="1" applyBorder="1" applyAlignment="1">
      <alignment horizontal="right" vertical="center"/>
    </xf>
    <xf numFmtId="3" fontId="31" fillId="23" borderId="174" xfId="4" applyNumberFormat="1" applyFont="1" applyFill="1" applyBorder="1" applyAlignment="1">
      <alignment vertical="center"/>
    </xf>
    <xf numFmtId="3" fontId="28" fillId="0" borderId="175" xfId="4" applyNumberFormat="1" applyFont="1" applyFill="1" applyBorder="1" applyAlignment="1">
      <alignment horizontal="right" vertical="center"/>
    </xf>
    <xf numFmtId="3" fontId="31" fillId="23" borderId="184" xfId="4" applyNumberFormat="1" applyFont="1" applyFill="1" applyBorder="1" applyAlignment="1">
      <alignment vertical="center"/>
    </xf>
    <xf numFmtId="3" fontId="32" fillId="8" borderId="174" xfId="6" applyNumberFormat="1" applyFont="1" applyFill="1" applyBorder="1" applyAlignment="1">
      <alignment vertical="center"/>
    </xf>
    <xf numFmtId="3" fontId="31" fillId="23" borderId="173" xfId="0" applyNumberFormat="1" applyFont="1" applyFill="1" applyBorder="1" applyAlignment="1">
      <alignment vertical="center"/>
    </xf>
    <xf numFmtId="3" fontId="29" fillId="8" borderId="183" xfId="4" applyNumberFormat="1" applyFont="1" applyFill="1" applyBorder="1" applyAlignment="1">
      <alignment vertical="center" wrapText="1"/>
    </xf>
    <xf numFmtId="3" fontId="32" fillId="8" borderId="178" xfId="6" applyNumberFormat="1" applyFont="1" applyFill="1" applyBorder="1" applyAlignment="1">
      <alignment vertical="center"/>
    </xf>
    <xf numFmtId="3" fontId="33" fillId="8" borderId="174" xfId="6" applyNumberFormat="1" applyFont="1" applyFill="1" applyBorder="1" applyAlignment="1">
      <alignment vertical="center"/>
    </xf>
    <xf numFmtId="3" fontId="7" fillId="8" borderId="135" xfId="4" applyNumberFormat="1" applyFont="1" applyFill="1" applyBorder="1" applyAlignment="1">
      <alignment vertical="center" wrapText="1"/>
    </xf>
    <xf numFmtId="3" fontId="32" fillId="8" borderId="149" xfId="6" applyNumberFormat="1" applyFont="1" applyFill="1" applyBorder="1" applyAlignment="1">
      <alignment vertical="center"/>
    </xf>
    <xf numFmtId="3" fontId="27" fillId="0" borderId="174" xfId="4" applyNumberFormat="1" applyFont="1" applyFill="1" applyBorder="1" applyAlignment="1">
      <alignment vertical="center"/>
    </xf>
    <xf numFmtId="3" fontId="29" fillId="0" borderId="174" xfId="4" applyNumberFormat="1" applyFont="1" applyFill="1" applyBorder="1" applyAlignment="1">
      <alignment vertical="center"/>
    </xf>
    <xf numFmtId="3" fontId="27" fillId="25" borderId="174" xfId="4" applyNumberFormat="1" applyFont="1" applyFill="1" applyBorder="1" applyAlignment="1">
      <alignment vertical="center"/>
    </xf>
    <xf numFmtId="0" fontId="28" fillId="0" borderId="179" xfId="4" applyFont="1" applyFill="1" applyBorder="1" applyAlignment="1">
      <alignment vertical="center"/>
    </xf>
    <xf numFmtId="3" fontId="33" fillId="0" borderId="175" xfId="6" applyNumberFormat="1" applyFont="1" applyFill="1" applyBorder="1" applyAlignment="1">
      <alignment vertical="center"/>
    </xf>
    <xf numFmtId="3" fontId="28" fillId="0" borderId="174" xfId="4" applyNumberFormat="1" applyFont="1" applyFill="1" applyBorder="1" applyAlignment="1">
      <alignment horizontal="right" vertical="center"/>
    </xf>
    <xf numFmtId="3" fontId="28" fillId="25" borderId="174" xfId="4" applyNumberFormat="1" applyFont="1" applyFill="1" applyBorder="1" applyAlignment="1">
      <alignment horizontal="right" vertical="center"/>
    </xf>
    <xf numFmtId="3" fontId="27" fillId="2" borderId="20" xfId="4" applyNumberFormat="1" applyFont="1" applyFill="1" applyBorder="1" applyAlignment="1">
      <alignment horizontal="center" vertical="center" wrapText="1"/>
    </xf>
    <xf numFmtId="3" fontId="66" fillId="0" borderId="175" xfId="6" applyNumberFormat="1" applyFont="1" applyFill="1" applyBorder="1" applyAlignment="1">
      <alignment vertical="center"/>
    </xf>
    <xf numFmtId="3" fontId="40" fillId="0" borderId="175" xfId="4" applyNumberFormat="1" applyFont="1" applyFill="1" applyBorder="1" applyAlignment="1">
      <alignment horizontal="right" vertical="center"/>
    </xf>
    <xf numFmtId="3" fontId="28" fillId="25" borderId="175" xfId="4" applyNumberFormat="1" applyFont="1" applyFill="1" applyBorder="1" applyAlignment="1">
      <alignment horizontal="right" vertical="center"/>
    </xf>
    <xf numFmtId="3" fontId="33" fillId="0" borderId="174" xfId="114" applyNumberFormat="1" applyFont="1" applyFill="1" applyBorder="1" applyAlignment="1">
      <alignment vertical="center"/>
    </xf>
    <xf numFmtId="3" fontId="33" fillId="0" borderId="173" xfId="114" applyNumberFormat="1" applyFont="1" applyFill="1" applyBorder="1" applyAlignment="1">
      <alignment vertical="center"/>
    </xf>
    <xf numFmtId="3" fontId="31" fillId="0" borderId="173" xfId="112" applyNumberFormat="1" applyFont="1" applyFill="1" applyBorder="1" applyAlignment="1">
      <alignment vertical="center"/>
    </xf>
    <xf numFmtId="0" fontId="4" fillId="0" borderId="173" xfId="112" applyFont="1" applyBorder="1" applyAlignment="1">
      <alignment vertical="center"/>
    </xf>
    <xf numFmtId="0" fontId="24" fillId="32" borderId="21" xfId="4" applyFont="1" applyFill="1" applyBorder="1" applyAlignment="1">
      <alignment horizontal="left" vertical="center"/>
    </xf>
    <xf numFmtId="3" fontId="27" fillId="32" borderId="9" xfId="4" applyNumberFormat="1" applyFont="1" applyFill="1" applyBorder="1" applyAlignment="1">
      <alignment vertical="center"/>
    </xf>
    <xf numFmtId="3" fontId="27" fillId="32" borderId="35" xfId="4" applyNumberFormat="1" applyFont="1" applyFill="1" applyBorder="1" applyAlignment="1">
      <alignment vertical="center"/>
    </xf>
    <xf numFmtId="3" fontId="112" fillId="0" borderId="154" xfId="5" applyNumberFormat="1" applyFont="1" applyBorder="1" applyAlignment="1">
      <alignment vertical="center"/>
    </xf>
    <xf numFmtId="3" fontId="112" fillId="0" borderId="104" xfId="5" applyNumberFormat="1" applyFont="1" applyBorder="1" applyAlignment="1">
      <alignment horizontal="center" vertical="center"/>
    </xf>
    <xf numFmtId="3" fontId="112" fillId="0" borderId="35" xfId="5" applyNumberFormat="1" applyFont="1" applyBorder="1" applyAlignment="1">
      <alignment horizontal="center" vertical="center"/>
    </xf>
    <xf numFmtId="3" fontId="112" fillId="0" borderId="189" xfId="5" applyNumberFormat="1" applyFont="1" applyBorder="1" applyAlignment="1">
      <alignment horizontal="center" vertical="center"/>
    </xf>
    <xf numFmtId="3" fontId="112" fillId="0" borderId="189" xfId="5" applyNumberFormat="1" applyFont="1" applyBorder="1" applyAlignment="1">
      <alignment vertical="center"/>
    </xf>
    <xf numFmtId="3" fontId="112" fillId="0" borderId="35" xfId="5" applyNumberFormat="1" applyFont="1" applyBorder="1" applyAlignment="1">
      <alignment vertical="center"/>
    </xf>
    <xf numFmtId="0" fontId="106" fillId="0" borderId="10" xfId="5" applyFont="1" applyBorder="1" applyAlignment="1">
      <alignment horizontal="center" vertical="center" wrapText="1"/>
    </xf>
    <xf numFmtId="0" fontId="90" fillId="0" borderId="10" xfId="5" applyFont="1" applyBorder="1" applyAlignment="1">
      <alignment horizontal="left" vertical="center" wrapText="1"/>
    </xf>
    <xf numFmtId="43" fontId="31" fillId="0" borderId="149" xfId="1" applyFont="1" applyFill="1" applyBorder="1" applyAlignment="1"/>
    <xf numFmtId="43" fontId="31" fillId="0" borderId="12" xfId="1" applyFont="1" applyFill="1" applyBorder="1" applyAlignment="1">
      <alignment vertical="center"/>
    </xf>
    <xf numFmtId="43" fontId="27" fillId="2" borderId="173" xfId="1" applyFont="1" applyFill="1" applyBorder="1" applyAlignment="1">
      <alignment vertical="center"/>
    </xf>
    <xf numFmtId="43" fontId="31" fillId="0" borderId="29" xfId="1" applyFont="1" applyFill="1" applyBorder="1" applyAlignment="1"/>
    <xf numFmtId="0" fontId="24" fillId="0" borderId="6" xfId="0" applyFont="1" applyFill="1" applyBorder="1" applyAlignment="1">
      <alignment horizontal="center" vertical="center" wrapText="1"/>
    </xf>
    <xf numFmtId="3" fontId="25" fillId="22" borderId="43" xfId="0" applyNumberFormat="1" applyFont="1" applyFill="1" applyBorder="1" applyAlignment="1">
      <alignment horizontal="center" vertical="center"/>
    </xf>
    <xf numFmtId="3" fontId="25" fillId="22" borderId="41" xfId="0" applyNumberFormat="1" applyFont="1" applyFill="1" applyBorder="1" applyAlignment="1">
      <alignment horizontal="center" vertical="center"/>
    </xf>
    <xf numFmtId="0" fontId="17" fillId="2" borderId="11" xfId="0" quotePrefix="1" applyFont="1" applyFill="1" applyBorder="1" applyAlignment="1">
      <alignment horizontal="center" vertical="center" wrapText="1"/>
    </xf>
    <xf numFmtId="0" fontId="37" fillId="0" borderId="22" xfId="0" applyFont="1" applyBorder="1" applyAlignment="1">
      <alignment horizontal="center" vertical="center" wrapText="1"/>
    </xf>
    <xf numFmtId="0" fontId="0" fillId="0" borderId="11" xfId="0" applyFont="1" applyBorder="1"/>
    <xf numFmtId="3" fontId="25" fillId="8" borderId="15" xfId="0" applyNumberFormat="1" applyFont="1" applyFill="1" applyBorder="1" applyAlignment="1">
      <alignment vertical="top"/>
    </xf>
    <xf numFmtId="3" fontId="31" fillId="8" borderId="13" xfId="0" applyNumberFormat="1" applyFont="1" applyFill="1" applyBorder="1" applyAlignment="1"/>
    <xf numFmtId="0" fontId="13" fillId="2" borderId="0" xfId="0" applyFont="1" applyFill="1" applyBorder="1" applyAlignment="1">
      <alignment horizontal="left" vertical="center" wrapText="1"/>
    </xf>
    <xf numFmtId="0" fontId="23" fillId="0" borderId="12" xfId="0" applyFont="1" applyBorder="1" applyAlignment="1">
      <alignment horizontal="center" vertical="center" wrapText="1"/>
    </xf>
    <xf numFmtId="0" fontId="0" fillId="0" borderId="0" xfId="0" applyFont="1" applyBorder="1"/>
    <xf numFmtId="0" fontId="17" fillId="2" borderId="11" xfId="0" applyFont="1" applyFill="1" applyBorder="1" applyAlignment="1">
      <alignment horizontal="center" vertical="center"/>
    </xf>
    <xf numFmtId="0" fontId="25" fillId="0" borderId="12" xfId="4" applyFont="1" applyBorder="1" applyAlignment="1">
      <alignment horizontal="center" vertical="center" wrapText="1"/>
    </xf>
    <xf numFmtId="3" fontId="24" fillId="8" borderId="3" xfId="0" applyNumberFormat="1" applyFont="1" applyFill="1" applyBorder="1" applyAlignment="1">
      <alignment vertical="top"/>
    </xf>
    <xf numFmtId="3" fontId="24" fillId="8" borderId="70" xfId="0" applyNumberFormat="1" applyFont="1" applyFill="1" applyBorder="1" applyAlignment="1">
      <alignment vertical="top"/>
    </xf>
    <xf numFmtId="3" fontId="24" fillId="8" borderId="15" xfId="0" applyNumberFormat="1" applyFont="1" applyFill="1" applyBorder="1" applyAlignment="1">
      <alignment vertical="top"/>
    </xf>
    <xf numFmtId="3" fontId="24" fillId="23" borderId="42" xfId="0" applyNumberFormat="1" applyFont="1" applyFill="1" applyBorder="1" applyAlignment="1">
      <alignment vertical="top"/>
    </xf>
    <xf numFmtId="0" fontId="7" fillId="6" borderId="178" xfId="0" applyFont="1" applyFill="1" applyBorder="1" applyAlignment="1">
      <alignment vertical="center"/>
    </xf>
    <xf numFmtId="43" fontId="24" fillId="6" borderId="173" xfId="1" applyFont="1" applyFill="1" applyBorder="1" applyAlignment="1"/>
    <xf numFmtId="43" fontId="24" fillId="6" borderId="174" xfId="1" applyFont="1" applyFill="1" applyBorder="1" applyAlignment="1"/>
    <xf numFmtId="3" fontId="24" fillId="22" borderId="176" xfId="0" applyNumberFormat="1" applyFont="1" applyFill="1" applyBorder="1" applyAlignment="1"/>
    <xf numFmtId="3" fontId="29" fillId="2" borderId="173" xfId="0" applyNumberFormat="1" applyFont="1" applyFill="1" applyBorder="1" applyAlignment="1"/>
    <xf numFmtId="43" fontId="29" fillId="2" borderId="173" xfId="1" applyFont="1" applyFill="1" applyBorder="1" applyAlignment="1"/>
    <xf numFmtId="43" fontId="29" fillId="2" borderId="174" xfId="1" applyFont="1" applyFill="1" applyBorder="1" applyAlignment="1"/>
    <xf numFmtId="3" fontId="29" fillId="23" borderId="176" xfId="0" applyNumberFormat="1" applyFont="1" applyFill="1" applyBorder="1" applyAlignment="1"/>
    <xf numFmtId="3" fontId="7" fillId="2" borderId="139" xfId="0" applyNumberFormat="1" applyFont="1" applyFill="1" applyBorder="1" applyAlignment="1"/>
    <xf numFmtId="3" fontId="7" fillId="0" borderId="189" xfId="0" applyNumberFormat="1" applyFont="1" applyFill="1" applyBorder="1" applyAlignment="1">
      <alignment vertical="top"/>
    </xf>
    <xf numFmtId="43" fontId="7" fillId="2" borderId="139" xfId="1" applyFont="1" applyFill="1" applyBorder="1" applyAlignment="1"/>
    <xf numFmtId="43" fontId="7" fillId="2" borderId="175" xfId="1" applyFont="1" applyFill="1" applyBorder="1" applyAlignment="1"/>
    <xf numFmtId="43" fontId="7" fillId="25" borderId="176" xfId="1" applyFont="1" applyFill="1" applyBorder="1" applyAlignment="1">
      <alignment horizontal="center" vertical="top"/>
    </xf>
    <xf numFmtId="43" fontId="7" fillId="0" borderId="29" xfId="1" applyFont="1" applyFill="1" applyBorder="1" applyAlignment="1"/>
    <xf numFmtId="3" fontId="7" fillId="25" borderId="176" xfId="0" applyNumberFormat="1" applyFont="1" applyFill="1" applyBorder="1" applyAlignment="1">
      <alignment vertical="top"/>
    </xf>
    <xf numFmtId="43" fontId="25" fillId="6" borderId="183" xfId="1" applyFont="1" applyFill="1" applyBorder="1" applyAlignment="1"/>
    <xf numFmtId="43" fontId="27" fillId="2" borderId="183" xfId="1" applyFont="1" applyFill="1" applyBorder="1" applyAlignment="1">
      <alignment vertical="center"/>
    </xf>
    <xf numFmtId="3" fontId="31" fillId="0" borderId="189" xfId="0" applyNumberFormat="1" applyFont="1" applyFill="1" applyBorder="1" applyAlignment="1">
      <alignment vertical="center"/>
    </xf>
    <xf numFmtId="43" fontId="31" fillId="0" borderId="183" xfId="1" applyFont="1" applyFill="1" applyBorder="1" applyAlignment="1">
      <alignment vertical="center"/>
    </xf>
    <xf numFmtId="43" fontId="31" fillId="0" borderId="135" xfId="1" applyFont="1" applyFill="1" applyBorder="1" applyAlignment="1">
      <alignment vertical="center"/>
    </xf>
    <xf numFmtId="3" fontId="25" fillId="6" borderId="174" xfId="0" applyNumberFormat="1" applyFont="1" applyFill="1" applyBorder="1" applyAlignment="1">
      <alignment vertical="center"/>
    </xf>
    <xf numFmtId="3" fontId="25" fillId="22" borderId="176" xfId="0" applyNumberFormat="1" applyFont="1" applyFill="1" applyBorder="1" applyAlignment="1">
      <alignment vertical="center"/>
    </xf>
    <xf numFmtId="0" fontId="7" fillId="0" borderId="136" xfId="0" applyFont="1" applyFill="1" applyBorder="1" applyAlignment="1">
      <alignment vertical="center"/>
    </xf>
    <xf numFmtId="0" fontId="0" fillId="0" borderId="139" xfId="0" applyFont="1" applyBorder="1" applyAlignment="1">
      <alignment vertical="center"/>
    </xf>
    <xf numFmtId="3" fontId="31" fillId="0" borderId="139" xfId="0" applyNumberFormat="1" applyFont="1" applyFill="1" applyBorder="1" applyAlignment="1">
      <alignment vertical="center"/>
    </xf>
    <xf numFmtId="43" fontId="31" fillId="0" borderId="139" xfId="1" applyFont="1" applyFill="1" applyBorder="1" applyAlignment="1">
      <alignment vertical="center"/>
    </xf>
    <xf numFmtId="3" fontId="31" fillId="23" borderId="41" xfId="0" applyNumberFormat="1" applyFont="1" applyFill="1" applyBorder="1" applyAlignment="1"/>
    <xf numFmtId="3" fontId="31" fillId="25" borderId="179" xfId="0" applyNumberFormat="1" applyFont="1" applyFill="1" applyBorder="1" applyAlignment="1">
      <alignment horizontal="center" vertical="top"/>
    </xf>
    <xf numFmtId="3" fontId="31" fillId="0" borderId="189" xfId="0" applyNumberFormat="1" applyFont="1" applyFill="1" applyBorder="1" applyAlignment="1">
      <alignment vertical="top"/>
    </xf>
    <xf numFmtId="3" fontId="31" fillId="2" borderId="184" xfId="0" applyNumberFormat="1" applyFont="1" applyFill="1" applyBorder="1" applyAlignment="1">
      <alignment vertical="center"/>
    </xf>
    <xf numFmtId="0" fontId="0" fillId="0" borderId="112" xfId="0" applyFont="1" applyBorder="1" applyAlignment="1">
      <alignment vertical="center"/>
    </xf>
    <xf numFmtId="0" fontId="0" fillId="0" borderId="189" xfId="0" applyFont="1" applyBorder="1" applyAlignment="1">
      <alignment vertical="center"/>
    </xf>
    <xf numFmtId="3" fontId="31" fillId="2" borderId="189" xfId="0" applyNumberFormat="1" applyFont="1" applyFill="1" applyBorder="1" applyAlignment="1">
      <alignment vertical="center"/>
    </xf>
    <xf numFmtId="0" fontId="17" fillId="2" borderId="0" xfId="0" quotePrefix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/>
    </xf>
    <xf numFmtId="0" fontId="24" fillId="2" borderId="0" xfId="0" applyFont="1" applyFill="1" applyBorder="1" applyAlignment="1">
      <alignment horizontal="center" vertical="center" wrapText="1"/>
    </xf>
    <xf numFmtId="3" fontId="31" fillId="2" borderId="0" xfId="0" applyNumberFormat="1" applyFont="1" applyFill="1" applyBorder="1" applyAlignment="1">
      <alignment vertical="center"/>
    </xf>
    <xf numFmtId="43" fontId="31" fillId="0" borderId="0" xfId="1" applyFont="1" applyFill="1" applyBorder="1" applyAlignment="1">
      <alignment vertical="center"/>
    </xf>
    <xf numFmtId="49" fontId="22" fillId="0" borderId="0" xfId="3" applyNumberFormat="1" applyFont="1" applyBorder="1" applyAlignment="1">
      <alignment horizontal="center" vertical="center" wrapText="1"/>
    </xf>
    <xf numFmtId="3" fontId="31" fillId="0" borderId="189" xfId="4" applyNumberFormat="1" applyFont="1" applyFill="1" applyBorder="1" applyAlignment="1"/>
    <xf numFmtId="0" fontId="86" fillId="0" borderId="8" xfId="0" applyFont="1" applyBorder="1" applyAlignment="1">
      <alignment horizontal="center"/>
    </xf>
    <xf numFmtId="0" fontId="112" fillId="0" borderId="7" xfId="5" applyFont="1" applyBorder="1" applyAlignment="1">
      <alignment horizontal="left" vertical="top" wrapText="1"/>
    </xf>
    <xf numFmtId="0" fontId="112" fillId="0" borderId="8" xfId="5" applyFont="1" applyBorder="1" applyAlignment="1">
      <alignment horizontal="left" vertical="top" wrapText="1"/>
    </xf>
    <xf numFmtId="0" fontId="112" fillId="0" borderId="9" xfId="5" applyFont="1" applyBorder="1" applyAlignment="1">
      <alignment horizontal="left" vertical="top" wrapText="1"/>
    </xf>
    <xf numFmtId="0" fontId="91" fillId="0" borderId="177" xfId="5" applyFont="1" applyBorder="1" applyAlignment="1">
      <alignment horizontal="left" vertical="top" wrapText="1"/>
    </xf>
    <xf numFmtId="0" fontId="91" fillId="0" borderId="183" xfId="5" applyFont="1" applyBorder="1" applyAlignment="1">
      <alignment horizontal="left" vertical="top" wrapText="1"/>
    </xf>
    <xf numFmtId="0" fontId="91" fillId="0" borderId="174" xfId="5" applyFont="1" applyBorder="1" applyAlignment="1">
      <alignment horizontal="left" vertical="top" wrapText="1"/>
    </xf>
    <xf numFmtId="0" fontId="107" fillId="20" borderId="177" xfId="5" applyFont="1" applyFill="1" applyBorder="1" applyAlignment="1">
      <alignment horizontal="center" vertical="center"/>
    </xf>
    <xf numFmtId="0" fontId="107" fillId="20" borderId="183" xfId="5" applyFont="1" applyFill="1" applyBorder="1" applyAlignment="1">
      <alignment horizontal="center" vertical="center"/>
    </xf>
    <xf numFmtId="0" fontId="107" fillId="20" borderId="174" xfId="5" applyFont="1" applyFill="1" applyBorder="1" applyAlignment="1">
      <alignment horizontal="center" vertical="center"/>
    </xf>
    <xf numFmtId="0" fontId="112" fillId="0" borderId="177" xfId="5" applyFont="1" applyBorder="1" applyAlignment="1">
      <alignment horizontal="left" vertical="top" wrapText="1"/>
    </xf>
    <xf numFmtId="0" fontId="112" fillId="0" borderId="183" xfId="5" applyFont="1" applyBorder="1" applyAlignment="1">
      <alignment horizontal="left" vertical="top" wrapText="1"/>
    </xf>
    <xf numFmtId="0" fontId="112" fillId="0" borderId="174" xfId="5" applyFont="1" applyBorder="1" applyAlignment="1">
      <alignment horizontal="left" vertical="top" wrapText="1"/>
    </xf>
    <xf numFmtId="0" fontId="112" fillId="0" borderId="190" xfId="5" applyFont="1" applyBorder="1" applyAlignment="1">
      <alignment horizontal="left" vertical="top" wrapText="1"/>
    </xf>
    <xf numFmtId="0" fontId="112" fillId="0" borderId="191" xfId="5" applyFont="1" applyBorder="1" applyAlignment="1">
      <alignment horizontal="left" vertical="top" wrapText="1"/>
    </xf>
    <xf numFmtId="0" fontId="112" fillId="0" borderId="192" xfId="5" applyFont="1" applyBorder="1" applyAlignment="1">
      <alignment horizontal="left" vertical="top" wrapText="1"/>
    </xf>
    <xf numFmtId="0" fontId="105" fillId="0" borderId="114" xfId="5" applyFont="1" applyBorder="1" applyAlignment="1">
      <alignment horizontal="center" vertical="center" wrapText="1"/>
    </xf>
    <xf numFmtId="0" fontId="105" fillId="0" borderId="110" xfId="5" applyFont="1" applyBorder="1" applyAlignment="1">
      <alignment horizontal="center" vertical="center" wrapText="1"/>
    </xf>
    <xf numFmtId="0" fontId="105" fillId="0" borderId="105" xfId="5" applyFont="1" applyBorder="1" applyAlignment="1">
      <alignment horizontal="center" vertical="center" wrapText="1"/>
    </xf>
    <xf numFmtId="0" fontId="112" fillId="0" borderId="114" xfId="5" applyFont="1" applyBorder="1" applyAlignment="1">
      <alignment horizontal="left" vertical="center" wrapText="1"/>
    </xf>
    <xf numFmtId="0" fontId="112" fillId="0" borderId="110" xfId="5" applyFont="1" applyBorder="1" applyAlignment="1">
      <alignment horizontal="left" vertical="center" wrapText="1"/>
    </xf>
    <xf numFmtId="0" fontId="112" fillId="0" borderId="105" xfId="5" applyFont="1" applyBorder="1" applyAlignment="1">
      <alignment horizontal="left" vertical="center" wrapText="1"/>
    </xf>
    <xf numFmtId="0" fontId="91" fillId="0" borderId="177" xfId="5" applyFont="1" applyBorder="1" applyAlignment="1">
      <alignment horizontal="left" vertical="center" wrapText="1"/>
    </xf>
    <xf numFmtId="0" fontId="91" fillId="0" borderId="145" xfId="5" applyFont="1" applyBorder="1" applyAlignment="1">
      <alignment horizontal="left" vertical="center" wrapText="1"/>
    </xf>
    <xf numFmtId="0" fontId="91" fillId="0" borderId="140" xfId="5" applyFont="1" applyBorder="1" applyAlignment="1">
      <alignment horizontal="left" vertical="center" wrapText="1"/>
    </xf>
    <xf numFmtId="0" fontId="91" fillId="0" borderId="114" xfId="5" applyFont="1" applyBorder="1" applyAlignment="1">
      <alignment horizontal="left" vertical="center" wrapText="1"/>
    </xf>
    <xf numFmtId="0" fontId="91" fillId="0" borderId="110" xfId="5" applyFont="1" applyBorder="1" applyAlignment="1">
      <alignment horizontal="left" vertical="center" wrapText="1"/>
    </xf>
    <xf numFmtId="0" fontId="91" fillId="0" borderId="105" xfId="5" applyFont="1" applyBorder="1" applyAlignment="1">
      <alignment horizontal="left" vertical="center" wrapText="1"/>
    </xf>
    <xf numFmtId="0" fontId="91" fillId="0" borderId="183" xfId="5" applyFont="1" applyBorder="1" applyAlignment="1">
      <alignment horizontal="left" vertical="center" wrapText="1"/>
    </xf>
    <xf numFmtId="0" fontId="91" fillId="0" borderId="174" xfId="5" applyFont="1" applyBorder="1" applyAlignment="1">
      <alignment horizontal="left" vertical="center" wrapText="1"/>
    </xf>
    <xf numFmtId="0" fontId="36" fillId="15" borderId="4" xfId="0" applyFont="1" applyFill="1" applyBorder="1" applyAlignment="1">
      <alignment horizontal="center" vertical="center" wrapText="1"/>
    </xf>
    <xf numFmtId="0" fontId="36" fillId="15" borderId="23" xfId="0" applyFont="1" applyFill="1" applyBorder="1" applyAlignment="1">
      <alignment horizontal="center" vertical="center" wrapText="1"/>
    </xf>
    <xf numFmtId="0" fontId="36" fillId="16" borderId="4" xfId="0" applyFont="1" applyFill="1" applyBorder="1" applyAlignment="1">
      <alignment horizontal="center" wrapText="1"/>
    </xf>
    <xf numFmtId="0" fontId="36" fillId="16" borderId="23" xfId="0" applyFont="1" applyFill="1" applyBorder="1" applyAlignment="1">
      <alignment horizontal="center" wrapText="1"/>
    </xf>
    <xf numFmtId="3" fontId="7" fillId="2" borderId="1" xfId="0" applyNumberFormat="1" applyFont="1" applyFill="1" applyBorder="1" applyAlignment="1">
      <alignment horizontal="center" vertical="center" wrapText="1"/>
    </xf>
    <xf numFmtId="3" fontId="7" fillId="2" borderId="3" xfId="0" applyNumberFormat="1" applyFont="1" applyFill="1" applyBorder="1" applyAlignment="1">
      <alignment horizontal="center" vertical="center" wrapText="1"/>
    </xf>
    <xf numFmtId="3" fontId="7" fillId="2" borderId="26" xfId="0" applyNumberFormat="1" applyFont="1" applyFill="1" applyBorder="1" applyAlignment="1">
      <alignment horizontal="center" vertical="center" wrapText="1"/>
    </xf>
    <xf numFmtId="3" fontId="7" fillId="2" borderId="0" xfId="0" applyNumberFormat="1" applyFont="1" applyFill="1" applyBorder="1" applyAlignment="1">
      <alignment horizontal="center" vertical="center" wrapText="1"/>
    </xf>
    <xf numFmtId="0" fontId="94" fillId="2" borderId="0" xfId="0" applyFont="1" applyFill="1" applyBorder="1" applyAlignment="1">
      <alignment horizontal="center" wrapText="1"/>
    </xf>
    <xf numFmtId="0" fontId="43" fillId="2" borderId="24" xfId="0" applyFont="1" applyFill="1" applyBorder="1" applyAlignment="1">
      <alignment horizontal="center" vertical="center" wrapText="1"/>
    </xf>
    <xf numFmtId="0" fontId="43" fillId="2" borderId="0" xfId="0" applyFont="1" applyFill="1" applyBorder="1" applyAlignment="1">
      <alignment horizontal="center" vertical="center" wrapText="1"/>
    </xf>
    <xf numFmtId="0" fontId="19" fillId="0" borderId="42" xfId="0" applyFont="1" applyBorder="1" applyAlignment="1">
      <alignment horizontal="center" vertical="center" wrapText="1"/>
    </xf>
    <xf numFmtId="0" fontId="19" fillId="0" borderId="43" xfId="0" applyFont="1" applyBorder="1" applyAlignment="1">
      <alignment horizontal="center" vertical="center" wrapText="1"/>
    </xf>
    <xf numFmtId="0" fontId="19" fillId="0" borderId="41" xfId="0" applyFont="1" applyBorder="1" applyAlignment="1">
      <alignment horizontal="center" vertical="center" wrapText="1"/>
    </xf>
    <xf numFmtId="0" fontId="19" fillId="2" borderId="4" xfId="0" applyFont="1" applyFill="1" applyBorder="1" applyAlignment="1">
      <alignment horizontal="center" vertical="center" wrapText="1"/>
    </xf>
    <xf numFmtId="0" fontId="19" fillId="2" borderId="9" xfId="0" applyFont="1" applyFill="1" applyBorder="1" applyAlignment="1">
      <alignment horizontal="center" vertical="center" wrapText="1"/>
    </xf>
    <xf numFmtId="0" fontId="36" fillId="2" borderId="3" xfId="0" applyFont="1" applyFill="1" applyBorder="1" applyAlignment="1">
      <alignment horizontal="center" vertical="center" wrapText="1"/>
    </xf>
    <xf numFmtId="0" fontId="36" fillId="2" borderId="4" xfId="0" applyFont="1" applyFill="1" applyBorder="1" applyAlignment="1">
      <alignment horizontal="center" vertical="center" wrapText="1"/>
    </xf>
    <xf numFmtId="0" fontId="36" fillId="2" borderId="8" xfId="0" applyFont="1" applyFill="1" applyBorder="1" applyAlignment="1">
      <alignment horizontal="center" vertical="center" wrapText="1"/>
    </xf>
    <xf numFmtId="0" fontId="36" fillId="2" borderId="9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35" xfId="0" applyFont="1" applyFill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center" vertical="center" wrapText="1"/>
    </xf>
    <xf numFmtId="0" fontId="19" fillId="2" borderId="7" xfId="0" applyFont="1" applyFill="1" applyBorder="1" applyAlignment="1">
      <alignment horizontal="center" vertical="center" wrapText="1"/>
    </xf>
    <xf numFmtId="0" fontId="8" fillId="0" borderId="113" xfId="0" applyFont="1" applyBorder="1" applyAlignment="1">
      <alignment horizontal="center"/>
    </xf>
    <xf numFmtId="0" fontId="8" fillId="0" borderId="109" xfId="0" applyFont="1" applyBorder="1" applyAlignment="1">
      <alignment horizontal="center"/>
    </xf>
    <xf numFmtId="0" fontId="19" fillId="3" borderId="5" xfId="0" applyFont="1" applyFill="1" applyBorder="1" applyAlignment="1">
      <alignment horizontal="center" vertical="center" wrapText="1"/>
    </xf>
    <xf numFmtId="0" fontId="19" fillId="3" borderId="11" xfId="0" applyFont="1" applyFill="1" applyBorder="1" applyAlignment="1">
      <alignment horizontal="center" vertical="center" wrapText="1"/>
    </xf>
    <xf numFmtId="3" fontId="65" fillId="10" borderId="99" xfId="0" applyNumberFormat="1" applyFont="1" applyFill="1" applyBorder="1" applyAlignment="1">
      <alignment horizontal="center" vertical="center" wrapText="1"/>
    </xf>
    <xf numFmtId="0" fontId="0" fillId="10" borderId="11" xfId="0" applyFont="1" applyFill="1" applyBorder="1" applyAlignment="1">
      <alignment horizontal="center" vertical="center" wrapText="1"/>
    </xf>
    <xf numFmtId="0" fontId="0" fillId="10" borderId="21" xfId="0" applyFont="1" applyFill="1" applyBorder="1" applyAlignment="1">
      <alignment horizontal="center" vertical="center" wrapText="1"/>
    </xf>
    <xf numFmtId="3" fontId="65" fillId="10" borderId="33" xfId="0" applyNumberFormat="1" applyFont="1" applyFill="1" applyBorder="1" applyAlignment="1">
      <alignment horizontal="center" vertical="center" wrapText="1"/>
    </xf>
    <xf numFmtId="0" fontId="0" fillId="10" borderId="25" xfId="0" applyFont="1" applyFill="1" applyBorder="1" applyAlignment="1">
      <alignment horizontal="center" vertical="center" wrapText="1"/>
    </xf>
    <xf numFmtId="0" fontId="43" fillId="2" borderId="24" xfId="0" applyFont="1" applyFill="1" applyBorder="1" applyAlignment="1">
      <alignment horizontal="center" vertical="center"/>
    </xf>
    <xf numFmtId="0" fontId="19" fillId="2" borderId="139" xfId="0" applyFont="1" applyFill="1" applyBorder="1" applyAlignment="1">
      <alignment horizontal="center" vertical="center" wrapText="1"/>
    </xf>
    <xf numFmtId="0" fontId="19" fillId="2" borderId="3" xfId="0" applyFont="1" applyFill="1" applyBorder="1" applyAlignment="1">
      <alignment horizontal="center" vertical="center" wrapText="1"/>
    </xf>
    <xf numFmtId="0" fontId="19" fillId="2" borderId="8" xfId="0" applyFont="1" applyFill="1" applyBorder="1" applyAlignment="1">
      <alignment horizontal="center" vertical="center" wrapText="1"/>
    </xf>
    <xf numFmtId="0" fontId="18" fillId="0" borderId="42" xfId="4" applyFont="1" applyFill="1" applyBorder="1" applyAlignment="1">
      <alignment horizontal="center" vertical="center" wrapText="1"/>
    </xf>
    <xf numFmtId="0" fontId="18" fillId="0" borderId="43" xfId="4" applyFont="1" applyFill="1" applyBorder="1" applyAlignment="1">
      <alignment horizontal="center" vertical="center" wrapText="1"/>
    </xf>
    <xf numFmtId="0" fontId="18" fillId="0" borderId="46" xfId="4" applyFont="1" applyFill="1" applyBorder="1" applyAlignment="1">
      <alignment horizontal="center" vertical="center" wrapText="1"/>
    </xf>
    <xf numFmtId="0" fontId="17" fillId="0" borderId="5" xfId="4" applyFont="1" applyFill="1" applyBorder="1" applyAlignment="1">
      <alignment horizontal="center" vertical="center"/>
    </xf>
    <xf numFmtId="0" fontId="17" fillId="0" borderId="11" xfId="4" applyFont="1" applyFill="1" applyBorder="1" applyAlignment="1">
      <alignment horizontal="center" vertical="center"/>
    </xf>
    <xf numFmtId="0" fontId="17" fillId="0" borderId="25" xfId="4" applyFont="1" applyFill="1" applyBorder="1" applyAlignment="1">
      <alignment horizontal="center" vertical="center"/>
    </xf>
    <xf numFmtId="3" fontId="24" fillId="2" borderId="142" xfId="4" applyNumberFormat="1" applyFont="1" applyFill="1" applyBorder="1" applyAlignment="1">
      <alignment horizontal="center" vertical="center" wrapText="1"/>
    </xf>
    <xf numFmtId="3" fontId="24" fillId="2" borderId="6" xfId="4" applyNumberFormat="1" applyFont="1" applyFill="1" applyBorder="1" applyAlignment="1">
      <alignment horizontal="center" vertical="center" wrapText="1"/>
    </xf>
    <xf numFmtId="3" fontId="25" fillId="26" borderId="184" xfId="4" applyNumberFormat="1" applyFont="1" applyFill="1" applyBorder="1" applyAlignment="1">
      <alignment horizontal="center" vertical="center"/>
    </xf>
    <xf numFmtId="3" fontId="25" fillId="26" borderId="13" xfId="4" applyNumberFormat="1" applyFont="1" applyFill="1" applyBorder="1" applyAlignment="1">
      <alignment horizontal="center" vertical="center"/>
    </xf>
    <xf numFmtId="3" fontId="25" fillId="26" borderId="12" xfId="4" applyNumberFormat="1" applyFont="1" applyFill="1" applyBorder="1" applyAlignment="1">
      <alignment horizontal="center" vertical="center"/>
    </xf>
    <xf numFmtId="0" fontId="22" fillId="0" borderId="141" xfId="0" applyFont="1" applyBorder="1" applyAlignment="1">
      <alignment horizontal="center" vertical="center" wrapText="1"/>
    </xf>
    <xf numFmtId="0" fontId="22" fillId="0" borderId="43" xfId="0" applyFont="1" applyBorder="1" applyAlignment="1">
      <alignment horizontal="center" vertical="center" wrapText="1"/>
    </xf>
    <xf numFmtId="0" fontId="22" fillId="0" borderId="41" xfId="0" applyFont="1" applyBorder="1" applyAlignment="1">
      <alignment horizontal="center" vertical="center" wrapText="1"/>
    </xf>
    <xf numFmtId="3" fontId="25" fillId="2" borderId="142" xfId="4" applyNumberFormat="1" applyFont="1" applyFill="1" applyBorder="1" applyAlignment="1">
      <alignment horizontal="center" vertical="center" wrapText="1"/>
    </xf>
    <xf numFmtId="3" fontId="25" fillId="2" borderId="6" xfId="4" applyNumberFormat="1" applyFont="1" applyFill="1" applyBorder="1" applyAlignment="1">
      <alignment horizontal="center" vertical="center" wrapText="1"/>
    </xf>
    <xf numFmtId="3" fontId="25" fillId="2" borderId="22" xfId="4" applyNumberFormat="1" applyFont="1" applyFill="1" applyBorder="1" applyAlignment="1">
      <alignment horizontal="center" vertical="center" wrapText="1"/>
    </xf>
    <xf numFmtId="0" fontId="24" fillId="2" borderId="5" xfId="4" applyFont="1" applyFill="1" applyBorder="1" applyAlignment="1">
      <alignment horizontal="center" vertical="center"/>
    </xf>
    <xf numFmtId="0" fontId="24" fillId="2" borderId="11" xfId="4" applyFont="1" applyFill="1" applyBorder="1" applyAlignment="1">
      <alignment horizontal="center" vertical="center"/>
    </xf>
    <xf numFmtId="0" fontId="24" fillId="2" borderId="25" xfId="4" applyFont="1" applyFill="1" applyBorder="1" applyAlignment="1">
      <alignment horizontal="center" vertical="center"/>
    </xf>
    <xf numFmtId="3" fontId="18" fillId="0" borderId="42" xfId="4" applyNumberFormat="1" applyFont="1" applyFill="1" applyBorder="1" applyAlignment="1">
      <alignment horizontal="center" vertical="center" wrapText="1"/>
    </xf>
    <xf numFmtId="3" fontId="18" fillId="0" borderId="43" xfId="4" applyNumberFormat="1" applyFont="1" applyFill="1" applyBorder="1" applyAlignment="1">
      <alignment horizontal="center" vertical="center" wrapText="1"/>
    </xf>
    <xf numFmtId="3" fontId="18" fillId="0" borderId="41" xfId="4" applyNumberFormat="1" applyFont="1" applyFill="1" applyBorder="1" applyAlignment="1">
      <alignment horizontal="center" vertical="center" wrapText="1"/>
    </xf>
    <xf numFmtId="0" fontId="23" fillId="0" borderId="107" xfId="0" applyFont="1" applyBorder="1" applyAlignment="1">
      <alignment horizontal="center" vertical="center"/>
    </xf>
    <xf numFmtId="0" fontId="23" fillId="0" borderId="22" xfId="0" applyFont="1" applyBorder="1" applyAlignment="1">
      <alignment horizontal="center" vertical="center"/>
    </xf>
    <xf numFmtId="0" fontId="0" fillId="0" borderId="43" xfId="0" applyFont="1" applyBorder="1" applyAlignment="1">
      <alignment horizontal="center" vertical="center" wrapText="1"/>
    </xf>
    <xf numFmtId="0" fontId="0" fillId="0" borderId="41" xfId="0" applyFont="1" applyBorder="1" applyAlignment="1">
      <alignment horizontal="center" vertical="center" wrapText="1"/>
    </xf>
    <xf numFmtId="3" fontId="25" fillId="2" borderId="73" xfId="4" applyNumberFormat="1" applyFont="1" applyFill="1" applyBorder="1" applyAlignment="1">
      <alignment horizontal="center" vertical="center" wrapText="1"/>
    </xf>
    <xf numFmtId="0" fontId="32" fillId="0" borderId="6" xfId="0" applyFont="1" applyBorder="1" applyAlignment="1">
      <alignment horizontal="center" vertical="center" wrapText="1"/>
    </xf>
    <xf numFmtId="0" fontId="32" fillId="0" borderId="22" xfId="0" applyFont="1" applyBorder="1" applyAlignment="1">
      <alignment horizontal="center" vertical="center" wrapText="1"/>
    </xf>
    <xf numFmtId="3" fontId="25" fillId="2" borderId="107" xfId="4" applyNumberFormat="1" applyFont="1" applyFill="1" applyBorder="1" applyAlignment="1">
      <alignment horizontal="center" vertical="center" wrapText="1"/>
    </xf>
    <xf numFmtId="0" fontId="32" fillId="0" borderId="20" xfId="0" applyFont="1" applyBorder="1" applyAlignment="1">
      <alignment horizontal="center" vertical="center" wrapText="1"/>
    </xf>
    <xf numFmtId="0" fontId="32" fillId="0" borderId="111" xfId="0" applyFont="1" applyBorder="1" applyAlignment="1">
      <alignment horizontal="center" vertical="center" wrapText="1"/>
    </xf>
    <xf numFmtId="0" fontId="32" fillId="0" borderId="43" xfId="0" applyFont="1" applyBorder="1" applyAlignment="1">
      <alignment horizontal="center" vertical="center" wrapText="1"/>
    </xf>
    <xf numFmtId="0" fontId="32" fillId="0" borderId="41" xfId="0" applyFont="1" applyBorder="1" applyAlignment="1">
      <alignment horizontal="center" vertical="center" wrapText="1"/>
    </xf>
    <xf numFmtId="0" fontId="22" fillId="0" borderId="42" xfId="0" applyFont="1" applyBorder="1" applyAlignment="1">
      <alignment horizontal="center" vertical="center" wrapText="1"/>
    </xf>
    <xf numFmtId="3" fontId="25" fillId="26" borderId="103" xfId="4" applyNumberFormat="1" applyFont="1" applyFill="1" applyBorder="1" applyAlignment="1">
      <alignment horizontal="center" vertical="center"/>
    </xf>
    <xf numFmtId="3" fontId="24" fillId="26" borderId="184" xfId="4" applyNumberFormat="1" applyFont="1" applyFill="1" applyBorder="1" applyAlignment="1">
      <alignment horizontal="center" vertical="center"/>
    </xf>
    <xf numFmtId="3" fontId="24" fillId="26" borderId="13" xfId="4" applyNumberFormat="1" applyFont="1" applyFill="1" applyBorder="1" applyAlignment="1">
      <alignment horizontal="center" vertical="center"/>
    </xf>
    <xf numFmtId="3" fontId="24" fillId="26" borderId="12" xfId="4" applyNumberFormat="1" applyFont="1" applyFill="1" applyBorder="1" applyAlignment="1">
      <alignment horizontal="center" vertical="center"/>
    </xf>
    <xf numFmtId="0" fontId="0" fillId="0" borderId="11" xfId="0" applyFont="1" applyBorder="1" applyAlignment="1">
      <alignment horizontal="center" vertical="center"/>
    </xf>
    <xf numFmtId="0" fontId="0" fillId="0" borderId="25" xfId="0" applyFont="1" applyBorder="1" applyAlignment="1">
      <alignment horizontal="center" vertical="center"/>
    </xf>
    <xf numFmtId="3" fontId="18" fillId="0" borderId="46" xfId="4" applyNumberFormat="1" applyFont="1" applyFill="1" applyBorder="1" applyAlignment="1">
      <alignment horizontal="center" vertical="center" wrapText="1"/>
    </xf>
    <xf numFmtId="0" fontId="32" fillId="0" borderId="6" xfId="0" applyFont="1" applyBorder="1" applyAlignment="1">
      <alignment horizontal="center" vertical="center"/>
    </xf>
    <xf numFmtId="0" fontId="32" fillId="0" borderId="20" xfId="0" applyFont="1" applyBorder="1" applyAlignment="1">
      <alignment horizontal="center" vertical="center"/>
    </xf>
    <xf numFmtId="0" fontId="22" fillId="0" borderId="82" xfId="0" applyFont="1" applyBorder="1" applyAlignment="1">
      <alignment horizontal="center" vertical="center" wrapText="1"/>
    </xf>
    <xf numFmtId="0" fontId="26" fillId="0" borderId="142" xfId="0" applyFont="1" applyBorder="1" applyAlignment="1">
      <alignment horizontal="center" vertical="center"/>
    </xf>
    <xf numFmtId="0" fontId="26" fillId="0" borderId="6" xfId="0" applyFont="1" applyBorder="1" applyAlignment="1">
      <alignment horizontal="center" vertical="center"/>
    </xf>
    <xf numFmtId="0" fontId="26" fillId="0" borderId="22" xfId="0" applyFont="1" applyBorder="1" applyAlignment="1">
      <alignment horizontal="center" vertical="center"/>
    </xf>
    <xf numFmtId="0" fontId="22" fillId="0" borderId="111" xfId="0" applyFont="1" applyBorder="1" applyAlignment="1">
      <alignment horizontal="center" vertical="center" wrapText="1"/>
    </xf>
    <xf numFmtId="0" fontId="17" fillId="27" borderId="5" xfId="4" applyFont="1" applyFill="1" applyBorder="1" applyAlignment="1">
      <alignment horizontal="center" vertical="center"/>
    </xf>
    <xf numFmtId="0" fontId="17" fillId="27" borderId="11" xfId="4" applyFont="1" applyFill="1" applyBorder="1" applyAlignment="1">
      <alignment horizontal="center" vertical="center"/>
    </xf>
    <xf numFmtId="0" fontId="17" fillId="27" borderId="25" xfId="4" applyFont="1" applyFill="1" applyBorder="1" applyAlignment="1">
      <alignment horizontal="center" vertical="center"/>
    </xf>
    <xf numFmtId="3" fontId="18" fillId="27" borderId="42" xfId="4" applyNumberFormat="1" applyFont="1" applyFill="1" applyBorder="1" applyAlignment="1">
      <alignment horizontal="center" vertical="center" wrapText="1"/>
    </xf>
    <xf numFmtId="3" fontId="18" fillId="27" borderId="43" xfId="4" applyNumberFormat="1" applyFont="1" applyFill="1" applyBorder="1" applyAlignment="1">
      <alignment horizontal="center" vertical="center" wrapText="1"/>
    </xf>
    <xf numFmtId="0" fontId="0" fillId="0" borderId="26" xfId="0" applyFont="1" applyBorder="1" applyAlignment="1">
      <alignment horizontal="left" vertical="center" wrapText="1"/>
    </xf>
    <xf numFmtId="0" fontId="0" fillId="0" borderId="0" xfId="0" applyFont="1" applyBorder="1" applyAlignment="1">
      <alignment horizontal="left" vertical="center" wrapText="1"/>
    </xf>
    <xf numFmtId="0" fontId="26" fillId="0" borderId="5" xfId="0" applyFont="1" applyBorder="1" applyAlignment="1">
      <alignment horizontal="center" vertical="center"/>
    </xf>
    <xf numFmtId="0" fontId="26" fillId="0" borderId="11" xfId="0" applyFont="1" applyBorder="1" applyAlignment="1">
      <alignment horizontal="center" vertical="center"/>
    </xf>
    <xf numFmtId="0" fontId="26" fillId="0" borderId="25" xfId="0" applyFont="1" applyBorder="1" applyAlignment="1">
      <alignment horizontal="center" vertical="center"/>
    </xf>
    <xf numFmtId="0" fontId="23" fillId="0" borderId="73" xfId="0" applyFont="1" applyBorder="1" applyAlignment="1">
      <alignment horizontal="center" vertical="center"/>
    </xf>
    <xf numFmtId="0" fontId="24" fillId="0" borderId="5" xfId="4" applyFont="1" applyFill="1" applyBorder="1" applyAlignment="1">
      <alignment horizontal="center" vertical="center"/>
    </xf>
    <xf numFmtId="0" fontId="24" fillId="0" borderId="11" xfId="4" applyFont="1" applyFill="1" applyBorder="1" applyAlignment="1">
      <alignment horizontal="center" vertical="center"/>
    </xf>
    <xf numFmtId="0" fontId="7" fillId="8" borderId="43" xfId="4" applyFont="1" applyFill="1" applyBorder="1" applyAlignment="1">
      <alignment horizontal="center" vertical="center"/>
    </xf>
    <xf numFmtId="0" fontId="7" fillId="8" borderId="41" xfId="4" applyFont="1" applyFill="1" applyBorder="1" applyAlignment="1">
      <alignment horizontal="center" vertical="center"/>
    </xf>
    <xf numFmtId="0" fontId="24" fillId="0" borderId="25" xfId="4" applyFont="1" applyFill="1" applyBorder="1" applyAlignment="1">
      <alignment horizontal="center" vertical="center"/>
    </xf>
    <xf numFmtId="3" fontId="18" fillId="0" borderId="42" xfId="4" applyNumberFormat="1" applyFont="1" applyFill="1" applyBorder="1" applyAlignment="1">
      <alignment horizontal="center" vertical="center"/>
    </xf>
    <xf numFmtId="3" fontId="18" fillId="0" borderId="43" xfId="4" applyNumberFormat="1" applyFont="1" applyFill="1" applyBorder="1" applyAlignment="1">
      <alignment horizontal="center" vertical="center"/>
    </xf>
    <xf numFmtId="3" fontId="18" fillId="0" borderId="41" xfId="4" applyNumberFormat="1" applyFont="1" applyFill="1" applyBorder="1" applyAlignment="1">
      <alignment horizontal="center" vertical="center"/>
    </xf>
    <xf numFmtId="3" fontId="25" fillId="26" borderId="63" xfId="4" applyNumberFormat="1" applyFont="1" applyFill="1" applyBorder="1" applyAlignment="1">
      <alignment horizontal="center" vertical="center"/>
    </xf>
    <xf numFmtId="3" fontId="24" fillId="26" borderId="63" xfId="4" applyNumberFormat="1" applyFont="1" applyFill="1" applyBorder="1" applyAlignment="1">
      <alignment horizontal="center" vertical="center"/>
    </xf>
    <xf numFmtId="0" fontId="25" fillId="0" borderId="73" xfId="4" applyFont="1" applyFill="1" applyBorder="1" applyAlignment="1">
      <alignment horizontal="center" vertical="center"/>
    </xf>
    <xf numFmtId="0" fontId="25" fillId="0" borderId="20" xfId="4" applyFont="1" applyFill="1" applyBorder="1" applyAlignment="1">
      <alignment horizontal="center" vertical="center"/>
    </xf>
    <xf numFmtId="3" fontId="25" fillId="2" borderId="20" xfId="4" applyNumberFormat="1" applyFont="1" applyFill="1" applyBorder="1" applyAlignment="1">
      <alignment horizontal="center" vertical="center" wrapText="1"/>
    </xf>
    <xf numFmtId="0" fontId="18" fillId="0" borderId="141" xfId="4" applyFont="1" applyFill="1" applyBorder="1" applyAlignment="1">
      <alignment horizontal="center" vertical="center" wrapText="1"/>
    </xf>
    <xf numFmtId="0" fontId="18" fillId="0" borderId="41" xfId="4" applyFont="1" applyFill="1" applyBorder="1" applyAlignment="1">
      <alignment horizontal="center" vertical="center" wrapText="1"/>
    </xf>
    <xf numFmtId="0" fontId="16" fillId="2" borderId="0" xfId="4" applyFont="1" applyFill="1" applyBorder="1" applyAlignment="1">
      <alignment horizontal="left" vertical="center" wrapText="1"/>
    </xf>
    <xf numFmtId="0" fontId="18" fillId="0" borderId="14" xfId="4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22" xfId="0" applyFont="1" applyBorder="1" applyAlignment="1">
      <alignment horizontal="center" vertical="center" wrapText="1"/>
    </xf>
    <xf numFmtId="0" fontId="18" fillId="0" borderId="15" xfId="4" applyFont="1" applyBorder="1" applyAlignment="1">
      <alignment horizontal="center" vertical="center" wrapText="1"/>
    </xf>
    <xf numFmtId="0" fontId="22" fillId="0" borderId="13" xfId="6" applyFont="1" applyBorder="1" applyAlignment="1">
      <alignment horizontal="center" vertical="center" wrapText="1"/>
    </xf>
    <xf numFmtId="0" fontId="22" fillId="0" borderId="12" xfId="6" applyFont="1" applyBorder="1" applyAlignment="1">
      <alignment horizontal="center" vertical="center" wrapText="1"/>
    </xf>
    <xf numFmtId="0" fontId="21" fillId="0" borderId="66" xfId="4" applyFont="1" applyBorder="1" applyAlignment="1">
      <alignment horizontal="center" vertical="center" wrapText="1"/>
    </xf>
    <xf numFmtId="0" fontId="21" fillId="0" borderId="67" xfId="4" applyFont="1" applyBorder="1" applyAlignment="1">
      <alignment horizontal="center" vertical="center" wrapText="1"/>
    </xf>
    <xf numFmtId="0" fontId="21" fillId="0" borderId="69" xfId="4" applyFont="1" applyBorder="1" applyAlignment="1">
      <alignment horizontal="center" vertical="center" wrapText="1"/>
    </xf>
    <xf numFmtId="0" fontId="18" fillId="8" borderId="5" xfId="4" applyFont="1" applyFill="1" applyBorder="1" applyAlignment="1">
      <alignment horizontal="center" vertical="center" wrapText="1"/>
    </xf>
    <xf numFmtId="0" fontId="18" fillId="8" borderId="11" xfId="4" applyFont="1" applyFill="1" applyBorder="1" applyAlignment="1">
      <alignment horizontal="center" vertical="center" wrapText="1"/>
    </xf>
    <xf numFmtId="0" fontId="0" fillId="0" borderId="25" xfId="0" applyFont="1" applyBorder="1" applyAlignment="1">
      <alignment vertical="center"/>
    </xf>
    <xf numFmtId="0" fontId="20" fillId="19" borderId="15" xfId="4" applyFont="1" applyFill="1" applyBorder="1" applyAlignment="1">
      <alignment horizontal="center" vertical="center" wrapText="1"/>
    </xf>
    <xf numFmtId="0" fontId="0" fillId="19" borderId="13" xfId="0" applyFont="1" applyFill="1" applyBorder="1" applyAlignment="1">
      <alignment horizontal="center" vertical="center" wrapText="1"/>
    </xf>
    <xf numFmtId="0" fontId="0" fillId="19" borderId="12" xfId="0" applyFont="1" applyFill="1" applyBorder="1" applyAlignment="1">
      <alignment horizontal="center" vertical="center" wrapText="1"/>
    </xf>
    <xf numFmtId="3" fontId="25" fillId="23" borderId="184" xfId="4" applyNumberFormat="1" applyFont="1" applyFill="1" applyBorder="1" applyAlignment="1">
      <alignment horizontal="center" vertical="center"/>
    </xf>
    <xf numFmtId="3" fontId="25" fillId="23" borderId="13" xfId="4" applyNumberFormat="1" applyFont="1" applyFill="1" applyBorder="1" applyAlignment="1">
      <alignment horizontal="center" vertical="center"/>
    </xf>
    <xf numFmtId="3" fontId="25" fillId="23" borderId="12" xfId="4" applyNumberFormat="1" applyFont="1" applyFill="1" applyBorder="1" applyAlignment="1">
      <alignment horizontal="center" vertical="center"/>
    </xf>
    <xf numFmtId="0" fontId="24" fillId="2" borderId="15" xfId="0" applyFont="1" applyFill="1" applyBorder="1" applyAlignment="1">
      <alignment horizontal="center" vertical="center" wrapText="1"/>
    </xf>
    <xf numFmtId="0" fontId="24" fillId="2" borderId="35" xfId="0" applyFont="1" applyFill="1" applyBorder="1" applyAlignment="1">
      <alignment horizontal="center" vertical="center" wrapText="1"/>
    </xf>
    <xf numFmtId="0" fontId="25" fillId="0" borderId="3" xfId="4" applyFont="1" applyBorder="1" applyAlignment="1">
      <alignment horizontal="center" vertical="center" wrapText="1"/>
    </xf>
    <xf numFmtId="0" fontId="25" fillId="0" borderId="4" xfId="4" applyFont="1" applyBorder="1" applyAlignment="1">
      <alignment horizontal="center" vertical="center" wrapText="1"/>
    </xf>
    <xf numFmtId="0" fontId="25" fillId="0" borderId="8" xfId="4" applyFont="1" applyBorder="1" applyAlignment="1">
      <alignment horizontal="center" vertical="center" wrapText="1"/>
    </xf>
    <xf numFmtId="0" fontId="25" fillId="0" borderId="9" xfId="4" applyFont="1" applyBorder="1" applyAlignment="1">
      <alignment horizontal="center" vertical="center" wrapText="1"/>
    </xf>
    <xf numFmtId="0" fontId="24" fillId="2" borderId="2" xfId="0" applyFont="1" applyFill="1" applyBorder="1" applyAlignment="1">
      <alignment horizontal="center" vertical="center" wrapText="1"/>
    </xf>
    <xf numFmtId="0" fontId="24" fillId="2" borderId="4" xfId="0" applyFont="1" applyFill="1" applyBorder="1" applyAlignment="1">
      <alignment horizontal="center" vertical="center" wrapText="1"/>
    </xf>
    <xf numFmtId="0" fontId="24" fillId="2" borderId="7" xfId="0" applyFont="1" applyFill="1" applyBorder="1" applyAlignment="1">
      <alignment horizontal="center" vertical="center" wrapText="1"/>
    </xf>
    <xf numFmtId="0" fontId="24" fillId="2" borderId="9" xfId="0" applyFont="1" applyFill="1" applyBorder="1" applyAlignment="1">
      <alignment horizontal="center" vertical="center" wrapText="1"/>
    </xf>
    <xf numFmtId="3" fontId="24" fillId="24" borderId="184" xfId="4" applyNumberFormat="1" applyFont="1" applyFill="1" applyBorder="1" applyAlignment="1">
      <alignment horizontal="center" vertical="center"/>
    </xf>
    <xf numFmtId="3" fontId="24" fillId="24" borderId="13" xfId="4" applyNumberFormat="1" applyFont="1" applyFill="1" applyBorder="1" applyAlignment="1">
      <alignment horizontal="center" vertical="center"/>
    </xf>
    <xf numFmtId="3" fontId="24" fillId="24" borderId="12" xfId="4" applyNumberFormat="1" applyFont="1" applyFill="1" applyBorder="1" applyAlignment="1">
      <alignment horizontal="center" vertical="center"/>
    </xf>
    <xf numFmtId="0" fontId="18" fillId="0" borderId="82" xfId="4" applyFont="1" applyFill="1" applyBorder="1" applyAlignment="1">
      <alignment horizontal="center" vertical="center" wrapText="1"/>
    </xf>
    <xf numFmtId="3" fontId="24" fillId="26" borderId="62" xfId="4" applyNumberFormat="1" applyFont="1" applyFill="1" applyBorder="1" applyAlignment="1">
      <alignment horizontal="center" vertical="center"/>
    </xf>
    <xf numFmtId="3" fontId="24" fillId="26" borderId="10" xfId="4" applyNumberFormat="1" applyFont="1" applyFill="1" applyBorder="1" applyAlignment="1">
      <alignment horizontal="center" vertical="center"/>
    </xf>
    <xf numFmtId="3" fontId="24" fillId="26" borderId="74" xfId="4" applyNumberFormat="1" applyFont="1" applyFill="1" applyBorder="1" applyAlignment="1">
      <alignment horizontal="center" vertical="center"/>
    </xf>
    <xf numFmtId="3" fontId="31" fillId="26" borderId="120" xfId="4" applyNumberFormat="1" applyFont="1" applyFill="1" applyBorder="1" applyAlignment="1">
      <alignment horizontal="center" vertical="center"/>
    </xf>
    <xf numFmtId="3" fontId="31" fillId="26" borderId="13" xfId="4" applyNumberFormat="1" applyFont="1" applyFill="1" applyBorder="1" applyAlignment="1">
      <alignment horizontal="center" vertical="center"/>
    </xf>
    <xf numFmtId="3" fontId="31" fillId="26" borderId="12" xfId="4" applyNumberFormat="1" applyFont="1" applyFill="1" applyBorder="1" applyAlignment="1">
      <alignment horizontal="center" vertical="center"/>
    </xf>
    <xf numFmtId="3" fontId="31" fillId="26" borderId="63" xfId="4" applyNumberFormat="1" applyFont="1" applyFill="1" applyBorder="1" applyAlignment="1">
      <alignment horizontal="center" vertical="center"/>
    </xf>
    <xf numFmtId="3" fontId="31" fillId="26" borderId="184" xfId="4" applyNumberFormat="1" applyFont="1" applyFill="1" applyBorder="1" applyAlignment="1">
      <alignment horizontal="center" vertical="center"/>
    </xf>
    <xf numFmtId="0" fontId="17" fillId="0" borderId="5" xfId="4" applyFont="1" applyFill="1" applyBorder="1" applyAlignment="1">
      <alignment horizontal="center" vertical="center" wrapText="1"/>
    </xf>
    <xf numFmtId="0" fontId="17" fillId="0" borderId="11" xfId="4" applyFont="1" applyFill="1" applyBorder="1" applyAlignment="1">
      <alignment horizontal="center" vertical="center" wrapText="1"/>
    </xf>
    <xf numFmtId="0" fontId="17" fillId="0" borderId="25" xfId="4" applyFont="1" applyFill="1" applyBorder="1" applyAlignment="1">
      <alignment horizontal="center" vertical="center" wrapText="1"/>
    </xf>
    <xf numFmtId="3" fontId="24" fillId="2" borderId="20" xfId="4" applyNumberFormat="1" applyFont="1" applyFill="1" applyBorder="1" applyAlignment="1">
      <alignment horizontal="center" vertical="center" wrapText="1"/>
    </xf>
    <xf numFmtId="3" fontId="25" fillId="2" borderId="124" xfId="4" applyNumberFormat="1" applyFont="1" applyFill="1" applyBorder="1" applyAlignment="1">
      <alignment horizontal="center" vertical="center" wrapText="1"/>
    </xf>
    <xf numFmtId="0" fontId="22" fillId="0" borderId="122" xfId="0" applyFont="1" applyBorder="1" applyAlignment="1">
      <alignment horizontal="center" vertical="center" wrapText="1"/>
    </xf>
    <xf numFmtId="3" fontId="32" fillId="25" borderId="103" xfId="6" applyNumberFormat="1" applyFont="1" applyFill="1" applyBorder="1" applyAlignment="1">
      <alignment horizontal="center" vertical="center"/>
    </xf>
    <xf numFmtId="3" fontId="32" fillId="25" borderId="13" xfId="6" applyNumberFormat="1" applyFont="1" applyFill="1" applyBorder="1" applyAlignment="1">
      <alignment horizontal="center" vertical="center"/>
    </xf>
    <xf numFmtId="3" fontId="32" fillId="25" borderId="12" xfId="6" applyNumberFormat="1" applyFont="1" applyFill="1" applyBorder="1" applyAlignment="1">
      <alignment horizontal="center" vertical="center"/>
    </xf>
    <xf numFmtId="0" fontId="32" fillId="0" borderId="141" xfId="0" applyFont="1" applyBorder="1" applyAlignment="1">
      <alignment horizontal="center" vertical="center" wrapText="1"/>
    </xf>
    <xf numFmtId="0" fontId="25" fillId="2" borderId="142" xfId="4" applyFont="1" applyFill="1" applyBorder="1" applyAlignment="1">
      <alignment horizontal="center" vertical="center" wrapText="1"/>
    </xf>
    <xf numFmtId="0" fontId="32" fillId="0" borderId="6" xfId="0" applyFont="1" applyBorder="1" applyAlignment="1">
      <alignment vertical="center" wrapText="1"/>
    </xf>
    <xf numFmtId="0" fontId="32" fillId="0" borderId="22" xfId="0" applyFont="1" applyBorder="1" applyAlignment="1">
      <alignment vertical="center" wrapText="1"/>
    </xf>
    <xf numFmtId="0" fontId="32" fillId="0" borderId="82" xfId="0" applyFont="1" applyBorder="1" applyAlignment="1">
      <alignment horizontal="center" vertical="center" wrapText="1"/>
    </xf>
    <xf numFmtId="0" fontId="25" fillId="2" borderId="73" xfId="4" applyFont="1" applyFill="1" applyBorder="1" applyAlignment="1">
      <alignment horizontal="center" vertical="center" wrapText="1"/>
    </xf>
    <xf numFmtId="3" fontId="24" fillId="26" borderId="120" xfId="4" applyNumberFormat="1" applyFont="1" applyFill="1" applyBorder="1" applyAlignment="1">
      <alignment horizontal="center" vertical="center"/>
    </xf>
    <xf numFmtId="0" fontId="25" fillId="2" borderId="107" xfId="4" applyFont="1" applyFill="1" applyBorder="1" applyAlignment="1">
      <alignment horizontal="center" vertical="center" wrapText="1"/>
    </xf>
    <xf numFmtId="3" fontId="25" fillId="26" borderId="175" xfId="4" applyNumberFormat="1" applyFont="1" applyFill="1" applyBorder="1" applyAlignment="1">
      <alignment horizontal="center" vertical="center"/>
    </xf>
    <xf numFmtId="3" fontId="25" fillId="26" borderId="27" xfId="4" applyNumberFormat="1" applyFont="1" applyFill="1" applyBorder="1" applyAlignment="1">
      <alignment horizontal="center" vertical="center"/>
    </xf>
    <xf numFmtId="3" fontId="25" fillId="26" borderId="23" xfId="4" applyNumberFormat="1" applyFont="1" applyFill="1" applyBorder="1" applyAlignment="1">
      <alignment horizontal="center" vertical="center"/>
    </xf>
    <xf numFmtId="0" fontId="24" fillId="13" borderId="5" xfId="4" applyFont="1" applyFill="1" applyBorder="1" applyAlignment="1">
      <alignment horizontal="center" vertical="center"/>
    </xf>
    <xf numFmtId="0" fontId="24" fillId="13" borderId="11" xfId="4" applyFont="1" applyFill="1" applyBorder="1" applyAlignment="1">
      <alignment horizontal="center" vertical="center"/>
    </xf>
    <xf numFmtId="0" fontId="32" fillId="0" borderId="11" xfId="0" applyFont="1" applyBorder="1" applyAlignment="1">
      <alignment horizontal="center" vertical="center"/>
    </xf>
    <xf numFmtId="0" fontId="32" fillId="0" borderId="25" xfId="0" applyFont="1" applyBorder="1" applyAlignment="1">
      <alignment horizontal="center" vertical="center"/>
    </xf>
    <xf numFmtId="0" fontId="24" fillId="27" borderId="66" xfId="4" applyFont="1" applyFill="1" applyBorder="1" applyAlignment="1">
      <alignment horizontal="center" vertical="center" wrapText="1"/>
    </xf>
    <xf numFmtId="0" fontId="24" fillId="27" borderId="67" xfId="4" applyFont="1" applyFill="1" applyBorder="1" applyAlignment="1">
      <alignment horizontal="center" vertical="center" wrapText="1"/>
    </xf>
    <xf numFmtId="0" fontId="24" fillId="27" borderId="69" xfId="4" applyFont="1" applyFill="1" applyBorder="1" applyAlignment="1">
      <alignment horizontal="center" vertical="center" wrapText="1"/>
    </xf>
    <xf numFmtId="0" fontId="25" fillId="2" borderId="6" xfId="4" applyFont="1" applyFill="1" applyBorder="1" applyAlignment="1">
      <alignment horizontal="center" vertical="center" wrapText="1"/>
    </xf>
    <xf numFmtId="3" fontId="18" fillId="0" borderId="82" xfId="4" applyNumberFormat="1" applyFont="1" applyFill="1" applyBorder="1" applyAlignment="1">
      <alignment horizontal="center" vertical="center" wrapText="1"/>
    </xf>
    <xf numFmtId="0" fontId="24" fillId="0" borderId="5" xfId="0" applyFont="1" applyFill="1" applyBorder="1" applyAlignment="1">
      <alignment horizontal="center" vertical="center"/>
    </xf>
    <xf numFmtId="0" fontId="32" fillId="0" borderId="11" xfId="0" applyFont="1" applyFill="1" applyBorder="1" applyAlignment="1">
      <alignment vertical="center"/>
    </xf>
    <xf numFmtId="0" fontId="32" fillId="0" borderId="25" xfId="0" applyFont="1" applyFill="1" applyBorder="1" applyAlignment="1">
      <alignment vertical="center"/>
    </xf>
    <xf numFmtId="0" fontId="18" fillId="0" borderId="42" xfId="0" applyFont="1" applyFill="1" applyBorder="1" applyAlignment="1">
      <alignment horizontal="center" vertical="center" wrapText="1"/>
    </xf>
    <xf numFmtId="0" fontId="18" fillId="0" borderId="43" xfId="0" applyFont="1" applyFill="1" applyBorder="1" applyAlignment="1">
      <alignment horizontal="center" vertical="center" wrapText="1"/>
    </xf>
    <xf numFmtId="0" fontId="18" fillId="0" borderId="41" xfId="0" applyFont="1" applyFill="1" applyBorder="1" applyAlignment="1">
      <alignment horizontal="center" vertical="center" wrapText="1"/>
    </xf>
    <xf numFmtId="0" fontId="32" fillId="0" borderId="22" xfId="0" applyFont="1" applyBorder="1" applyAlignment="1">
      <alignment horizontal="center" vertical="center"/>
    </xf>
    <xf numFmtId="0" fontId="18" fillId="0" borderId="49" xfId="4" applyFont="1" applyFill="1" applyBorder="1" applyAlignment="1">
      <alignment horizontal="center" vertical="center" wrapText="1"/>
    </xf>
    <xf numFmtId="0" fontId="18" fillId="0" borderId="48" xfId="4" applyFont="1" applyFill="1" applyBorder="1" applyAlignment="1">
      <alignment horizontal="center" vertical="center" wrapText="1"/>
    </xf>
    <xf numFmtId="0" fontId="24" fillId="0" borderId="5" xfId="4" applyFont="1" applyFill="1" applyBorder="1" applyAlignment="1">
      <alignment horizontal="center" vertical="center" wrapText="1"/>
    </xf>
    <xf numFmtId="0" fontId="24" fillId="0" borderId="11" xfId="4" applyFont="1" applyFill="1" applyBorder="1" applyAlignment="1">
      <alignment horizontal="center" vertical="center" wrapText="1"/>
    </xf>
    <xf numFmtId="0" fontId="32" fillId="0" borderId="11" xfId="0" applyFont="1" applyBorder="1" applyAlignment="1">
      <alignment horizontal="center" vertical="center" wrapText="1"/>
    </xf>
    <xf numFmtId="0" fontId="32" fillId="0" borderId="25" xfId="0" applyFont="1" applyBorder="1" applyAlignment="1">
      <alignment horizontal="center" vertical="center" wrapText="1"/>
    </xf>
    <xf numFmtId="0" fontId="22" fillId="0" borderId="43" xfId="0" applyFont="1" applyBorder="1" applyAlignment="1">
      <alignment vertical="center" wrapText="1"/>
    </xf>
    <xf numFmtId="0" fontId="22" fillId="0" borderId="41" xfId="0" applyFont="1" applyBorder="1" applyAlignment="1">
      <alignment vertical="center" wrapText="1"/>
    </xf>
    <xf numFmtId="0" fontId="18" fillId="13" borderId="42" xfId="4" applyFont="1" applyFill="1" applyBorder="1" applyAlignment="1">
      <alignment horizontal="center" vertical="center" wrapText="1"/>
    </xf>
    <xf numFmtId="0" fontId="18" fillId="13" borderId="43" xfId="4" applyFont="1" applyFill="1" applyBorder="1" applyAlignment="1">
      <alignment horizontal="center" vertical="center" wrapText="1"/>
    </xf>
    <xf numFmtId="3" fontId="18" fillId="0" borderId="111" xfId="4" applyNumberFormat="1" applyFont="1" applyFill="1" applyBorder="1" applyAlignment="1">
      <alignment horizontal="center" vertical="center" wrapText="1"/>
    </xf>
    <xf numFmtId="43" fontId="24" fillId="22" borderId="120" xfId="1" applyFont="1" applyFill="1" applyBorder="1" applyAlignment="1">
      <alignment horizontal="center" vertical="center"/>
    </xf>
    <xf numFmtId="43" fontId="24" fillId="22" borderId="13" xfId="1" applyFont="1" applyFill="1" applyBorder="1" applyAlignment="1">
      <alignment horizontal="center" vertical="center"/>
    </xf>
    <xf numFmtId="43" fontId="24" fillId="22" borderId="12" xfId="1" applyFont="1" applyFill="1" applyBorder="1" applyAlignment="1">
      <alignment horizontal="center" vertical="center"/>
    </xf>
    <xf numFmtId="3" fontId="25" fillId="2" borderId="92" xfId="4" applyNumberFormat="1" applyFont="1" applyFill="1" applyBorder="1" applyAlignment="1">
      <alignment horizontal="center" vertical="center" wrapText="1"/>
    </xf>
    <xf numFmtId="3" fontId="25" fillId="25" borderId="96" xfId="4" applyNumberFormat="1" applyFont="1" applyFill="1" applyBorder="1" applyAlignment="1">
      <alignment horizontal="center" vertical="center"/>
    </xf>
    <xf numFmtId="3" fontId="25" fillId="25" borderId="13" xfId="4" applyNumberFormat="1" applyFont="1" applyFill="1" applyBorder="1" applyAlignment="1">
      <alignment horizontal="center" vertical="center"/>
    </xf>
    <xf numFmtId="3" fontId="25" fillId="25" borderId="12" xfId="4" applyNumberFormat="1" applyFont="1" applyFill="1" applyBorder="1" applyAlignment="1">
      <alignment horizontal="center" vertical="center"/>
    </xf>
    <xf numFmtId="0" fontId="24" fillId="27" borderId="5" xfId="4" applyFont="1" applyFill="1" applyBorder="1" applyAlignment="1">
      <alignment horizontal="center" vertical="center" wrapText="1"/>
    </xf>
    <xf numFmtId="0" fontId="24" fillId="27" borderId="11" xfId="4" applyFont="1" applyFill="1" applyBorder="1" applyAlignment="1">
      <alignment horizontal="center" vertical="center" wrapText="1"/>
    </xf>
    <xf numFmtId="0" fontId="24" fillId="27" borderId="25" xfId="4" applyFont="1" applyFill="1" applyBorder="1" applyAlignment="1">
      <alignment horizontal="center" vertical="center" wrapText="1"/>
    </xf>
    <xf numFmtId="0" fontId="23" fillId="0" borderId="142" xfId="0" applyFont="1" applyBorder="1" applyAlignment="1">
      <alignment horizontal="center" vertical="center"/>
    </xf>
    <xf numFmtId="0" fontId="23" fillId="0" borderId="92" xfId="0" applyFont="1" applyBorder="1" applyAlignment="1">
      <alignment horizontal="center" vertical="center"/>
    </xf>
    <xf numFmtId="0" fontId="23" fillId="0" borderId="20" xfId="0" applyFont="1" applyBorder="1" applyAlignment="1">
      <alignment horizontal="center" vertical="center"/>
    </xf>
    <xf numFmtId="0" fontId="23" fillId="0" borderId="6" xfId="0" applyFont="1" applyBorder="1" applyAlignment="1">
      <alignment horizontal="center" vertical="center"/>
    </xf>
    <xf numFmtId="43" fontId="24" fillId="22" borderId="98" xfId="1" applyFont="1" applyFill="1" applyBorder="1" applyAlignment="1">
      <alignment horizontal="center" vertical="center"/>
    </xf>
    <xf numFmtId="43" fontId="24" fillId="22" borderId="10" xfId="1" applyFont="1" applyFill="1" applyBorder="1" applyAlignment="1">
      <alignment horizontal="center" vertical="center"/>
    </xf>
    <xf numFmtId="43" fontId="24" fillId="22" borderId="74" xfId="1" applyFont="1" applyFill="1" applyBorder="1" applyAlignment="1">
      <alignment horizontal="center" vertical="center"/>
    </xf>
    <xf numFmtId="3" fontId="25" fillId="25" borderId="63" xfId="4" applyNumberFormat="1" applyFont="1" applyFill="1" applyBorder="1" applyAlignment="1">
      <alignment horizontal="center" vertical="center"/>
    </xf>
    <xf numFmtId="3" fontId="25" fillId="26" borderId="131" xfId="4" applyNumberFormat="1" applyFont="1" applyFill="1" applyBorder="1" applyAlignment="1">
      <alignment horizontal="center" vertical="center"/>
    </xf>
    <xf numFmtId="3" fontId="24" fillId="26" borderId="109" xfId="4" applyNumberFormat="1" applyFont="1" applyFill="1" applyBorder="1" applyAlignment="1">
      <alignment horizontal="center" vertical="center"/>
    </xf>
    <xf numFmtId="3" fontId="24" fillId="26" borderId="27" xfId="4" applyNumberFormat="1" applyFont="1" applyFill="1" applyBorder="1" applyAlignment="1">
      <alignment horizontal="center" vertical="center"/>
    </xf>
    <xf numFmtId="3" fontId="24" fillId="26" borderId="23" xfId="4" applyNumberFormat="1" applyFont="1" applyFill="1" applyBorder="1" applyAlignment="1">
      <alignment horizontal="center" vertical="center"/>
    </xf>
    <xf numFmtId="43" fontId="24" fillId="22" borderId="62" xfId="1" applyFont="1" applyFill="1" applyBorder="1" applyAlignment="1">
      <alignment horizontal="center" vertical="center"/>
    </xf>
    <xf numFmtId="43" fontId="24" fillId="22" borderId="63" xfId="1" applyFont="1" applyFill="1" applyBorder="1" applyAlignment="1">
      <alignment horizontal="center" vertical="center"/>
    </xf>
    <xf numFmtId="3" fontId="24" fillId="26" borderId="103" xfId="4" applyNumberFormat="1" applyFont="1" applyFill="1" applyBorder="1" applyAlignment="1">
      <alignment horizontal="center" vertical="center"/>
    </xf>
    <xf numFmtId="0" fontId="13" fillId="0" borderId="3" xfId="4" applyFont="1" applyFill="1" applyBorder="1" applyAlignment="1">
      <alignment horizontal="left" vertical="center"/>
    </xf>
    <xf numFmtId="0" fontId="17" fillId="0" borderId="20" xfId="4" applyFont="1" applyFill="1" applyBorder="1" applyAlignment="1">
      <alignment horizontal="center" vertical="center"/>
    </xf>
    <xf numFmtId="0" fontId="17" fillId="0" borderId="178" xfId="4" applyFont="1" applyFill="1" applyBorder="1" applyAlignment="1">
      <alignment horizontal="center" vertical="center"/>
    </xf>
    <xf numFmtId="0" fontId="17" fillId="0" borderId="37" xfId="4" applyFont="1" applyFill="1" applyBorder="1" applyAlignment="1">
      <alignment horizontal="center" vertical="center"/>
    </xf>
    <xf numFmtId="0" fontId="17" fillId="0" borderId="46" xfId="4" applyFont="1" applyFill="1" applyBorder="1" applyAlignment="1">
      <alignment horizontal="center" vertical="center" wrapText="1"/>
    </xf>
    <xf numFmtId="0" fontId="17" fillId="0" borderId="176" xfId="4" applyFont="1" applyFill="1" applyBorder="1" applyAlignment="1">
      <alignment horizontal="center" vertical="center" wrapText="1"/>
    </xf>
    <xf numFmtId="0" fontId="37" fillId="0" borderId="176" xfId="0" applyFont="1" applyFill="1" applyBorder="1" applyAlignment="1">
      <alignment horizontal="center" vertical="center" wrapText="1"/>
    </xf>
    <xf numFmtId="0" fontId="37" fillId="0" borderId="134" xfId="0" applyFont="1" applyFill="1" applyBorder="1" applyAlignment="1">
      <alignment horizontal="center" vertical="center" wrapText="1"/>
    </xf>
    <xf numFmtId="3" fontId="25" fillId="2" borderId="173" xfId="4" applyNumberFormat="1" applyFont="1" applyFill="1" applyBorder="1" applyAlignment="1">
      <alignment horizontal="center" vertical="center" wrapText="1"/>
    </xf>
    <xf numFmtId="0" fontId="32" fillId="0" borderId="173" xfId="0" applyFont="1" applyBorder="1" applyAlignment="1">
      <alignment horizontal="center" vertical="center" wrapText="1"/>
    </xf>
    <xf numFmtId="3" fontId="24" fillId="26" borderId="173" xfId="4" applyNumberFormat="1" applyFont="1" applyFill="1" applyBorder="1" applyAlignment="1">
      <alignment horizontal="center" vertical="center"/>
    </xf>
    <xf numFmtId="3" fontId="24" fillId="26" borderId="132" xfId="4" applyNumberFormat="1" applyFont="1" applyFill="1" applyBorder="1" applyAlignment="1">
      <alignment horizontal="center" vertical="center"/>
    </xf>
    <xf numFmtId="0" fontId="25" fillId="2" borderId="173" xfId="4" applyFont="1" applyFill="1" applyBorder="1" applyAlignment="1">
      <alignment horizontal="center" vertical="center" wrapText="1"/>
    </xf>
    <xf numFmtId="0" fontId="32" fillId="0" borderId="173" xfId="0" applyFont="1" applyBorder="1" applyAlignment="1">
      <alignment wrapText="1"/>
    </xf>
    <xf numFmtId="0" fontId="32" fillId="0" borderId="132" xfId="0" applyFont="1" applyBorder="1" applyAlignment="1">
      <alignment wrapText="1"/>
    </xf>
    <xf numFmtId="0" fontId="16" fillId="2" borderId="23" xfId="4" applyFont="1" applyFill="1" applyBorder="1" applyAlignment="1">
      <alignment horizontal="left" vertical="center" wrapText="1"/>
    </xf>
    <xf numFmtId="0" fontId="16" fillId="2" borderId="12" xfId="4" applyFont="1" applyFill="1" applyBorder="1" applyAlignment="1">
      <alignment horizontal="left" vertical="center" wrapText="1"/>
    </xf>
    <xf numFmtId="0" fontId="16" fillId="2" borderId="74" xfId="4" applyFont="1" applyFill="1" applyBorder="1" applyAlignment="1">
      <alignment horizontal="left" vertical="center" wrapText="1"/>
    </xf>
    <xf numFmtId="0" fontId="18" fillId="0" borderId="70" xfId="4" applyFont="1" applyBorder="1" applyAlignment="1">
      <alignment horizontal="center" vertical="center" wrapText="1"/>
    </xf>
    <xf numFmtId="0" fontId="0" fillId="0" borderId="173" xfId="0" applyFont="1" applyBorder="1" applyAlignment="1">
      <alignment horizontal="center" vertical="center" wrapText="1"/>
    </xf>
    <xf numFmtId="0" fontId="22" fillId="0" borderId="173" xfId="6" applyFont="1" applyBorder="1" applyAlignment="1">
      <alignment horizontal="center" vertical="center" wrapText="1"/>
    </xf>
    <xf numFmtId="0" fontId="17" fillId="0" borderId="44" xfId="4" applyFont="1" applyBorder="1" applyAlignment="1">
      <alignment horizontal="center" vertical="center" wrapText="1"/>
    </xf>
    <xf numFmtId="0" fontId="17" fillId="0" borderId="176" xfId="4" applyFont="1" applyBorder="1" applyAlignment="1">
      <alignment horizontal="center" vertical="center" wrapText="1"/>
    </xf>
    <xf numFmtId="0" fontId="20" fillId="19" borderId="70" xfId="4" applyFont="1" applyFill="1" applyBorder="1" applyAlignment="1">
      <alignment horizontal="center" vertical="center" wrapText="1"/>
    </xf>
    <xf numFmtId="0" fontId="0" fillId="19" borderId="173" xfId="0" applyFont="1" applyFill="1" applyBorder="1" applyAlignment="1">
      <alignment horizontal="center" vertical="center" wrapText="1"/>
    </xf>
    <xf numFmtId="0" fontId="17" fillId="0" borderId="70" xfId="4" applyFont="1" applyBorder="1" applyAlignment="1">
      <alignment horizontal="center" vertical="center" wrapText="1"/>
    </xf>
    <xf numFmtId="0" fontId="17" fillId="0" borderId="173" xfId="4" applyFont="1" applyBorder="1" applyAlignment="1">
      <alignment horizontal="center" vertical="center" wrapText="1"/>
    </xf>
    <xf numFmtId="0" fontId="24" fillId="2" borderId="70" xfId="0" applyFont="1" applyFill="1" applyBorder="1" applyAlignment="1">
      <alignment horizontal="center" vertical="center" wrapText="1"/>
    </xf>
    <xf numFmtId="0" fontId="24" fillId="2" borderId="173" xfId="0" applyFont="1" applyFill="1" applyBorder="1" applyAlignment="1">
      <alignment horizontal="center" vertical="center" wrapText="1"/>
    </xf>
    <xf numFmtId="0" fontId="25" fillId="2" borderId="70" xfId="0" applyFont="1" applyFill="1" applyBorder="1" applyAlignment="1">
      <alignment horizontal="center" vertical="center" wrapText="1"/>
    </xf>
    <xf numFmtId="0" fontId="25" fillId="2" borderId="173" xfId="0" applyFont="1" applyFill="1" applyBorder="1" applyAlignment="1">
      <alignment horizontal="center" vertical="center" wrapText="1"/>
    </xf>
    <xf numFmtId="0" fontId="17" fillId="0" borderId="14" xfId="4" applyFont="1" applyBorder="1" applyAlignment="1">
      <alignment horizontal="center" vertical="center"/>
    </xf>
    <xf numFmtId="0" fontId="17" fillId="0" borderId="6" xfId="4" applyFont="1" applyBorder="1" applyAlignment="1">
      <alignment horizontal="center" vertical="center"/>
    </xf>
    <xf numFmtId="0" fontId="17" fillId="0" borderId="20" xfId="4" applyFont="1" applyBorder="1" applyAlignment="1">
      <alignment horizontal="center" vertical="center"/>
    </xf>
    <xf numFmtId="3" fontId="24" fillId="22" borderId="173" xfId="4" applyNumberFormat="1" applyFont="1" applyFill="1" applyBorder="1" applyAlignment="1">
      <alignment horizontal="center" vertical="center"/>
    </xf>
    <xf numFmtId="3" fontId="24" fillId="22" borderId="184" xfId="4" applyNumberFormat="1" applyFont="1" applyFill="1" applyBorder="1" applyAlignment="1">
      <alignment horizontal="center" vertical="center"/>
    </xf>
    <xf numFmtId="3" fontId="24" fillId="22" borderId="132" xfId="4" applyNumberFormat="1" applyFont="1" applyFill="1" applyBorder="1" applyAlignment="1">
      <alignment horizontal="center" vertical="center"/>
    </xf>
    <xf numFmtId="0" fontId="0" fillId="0" borderId="178" xfId="0" applyFont="1" applyBorder="1" applyAlignment="1">
      <alignment horizontal="center" vertical="center"/>
    </xf>
    <xf numFmtId="0" fontId="37" fillId="0" borderId="176" xfId="0" applyFont="1" applyBorder="1" applyAlignment="1">
      <alignment horizontal="center" vertical="center" wrapText="1"/>
    </xf>
    <xf numFmtId="0" fontId="17" fillId="0" borderId="16" xfId="4" quotePrefix="1" applyFont="1" applyFill="1" applyBorder="1" applyAlignment="1">
      <alignment horizontal="center" vertical="center" wrapText="1"/>
    </xf>
    <xf numFmtId="0" fontId="17" fillId="0" borderId="178" xfId="4" applyFont="1" applyFill="1" applyBorder="1" applyAlignment="1">
      <alignment horizontal="center" vertical="center" wrapText="1"/>
    </xf>
    <xf numFmtId="0" fontId="0" fillId="0" borderId="178" xfId="0" applyFont="1" applyBorder="1" applyAlignment="1">
      <alignment horizontal="center" vertical="center" wrapText="1"/>
    </xf>
    <xf numFmtId="0" fontId="0" fillId="0" borderId="37" xfId="0" applyFont="1" applyBorder="1" applyAlignment="1">
      <alignment horizontal="center" vertical="center" wrapText="1"/>
    </xf>
    <xf numFmtId="0" fontId="17" fillId="0" borderId="44" xfId="4" applyFont="1" applyFill="1" applyBorder="1" applyAlignment="1">
      <alignment horizontal="center" vertical="center" wrapText="1"/>
    </xf>
    <xf numFmtId="0" fontId="37" fillId="0" borderId="134" xfId="0" applyFont="1" applyBorder="1" applyAlignment="1">
      <alignment horizontal="center" vertical="center" wrapText="1"/>
    </xf>
    <xf numFmtId="3" fontId="25" fillId="0" borderId="173" xfId="4" applyNumberFormat="1" applyFont="1" applyFill="1" applyBorder="1" applyAlignment="1">
      <alignment horizontal="center" vertical="center" wrapText="1"/>
    </xf>
    <xf numFmtId="0" fontId="32" fillId="0" borderId="173" xfId="0" applyFont="1" applyFill="1" applyBorder="1" applyAlignment="1">
      <alignment horizontal="center" vertical="center" wrapText="1"/>
    </xf>
    <xf numFmtId="0" fontId="25" fillId="0" borderId="184" xfId="4" applyFont="1" applyFill="1" applyBorder="1" applyAlignment="1">
      <alignment horizontal="center" wrapText="1"/>
    </xf>
    <xf numFmtId="0" fontId="32" fillId="0" borderId="13" xfId="0" applyFont="1" applyFill="1" applyBorder="1" applyAlignment="1">
      <alignment horizontal="center" wrapText="1"/>
    </xf>
    <xf numFmtId="0" fontId="32" fillId="0" borderId="12" xfId="0" applyFont="1" applyFill="1" applyBorder="1" applyAlignment="1">
      <alignment horizontal="center" wrapText="1"/>
    </xf>
    <xf numFmtId="0" fontId="17" fillId="0" borderId="178" xfId="4" quotePrefix="1" applyFont="1" applyFill="1" applyBorder="1" applyAlignment="1">
      <alignment horizontal="center" vertical="center" wrapText="1"/>
    </xf>
    <xf numFmtId="0" fontId="17" fillId="0" borderId="180" xfId="4" applyFont="1" applyFill="1" applyBorder="1" applyAlignment="1">
      <alignment horizontal="center" vertical="center" wrapText="1"/>
    </xf>
    <xf numFmtId="0" fontId="32" fillId="0" borderId="174" xfId="0" applyFont="1" applyBorder="1" applyAlignment="1">
      <alignment horizontal="center" vertical="center" wrapText="1"/>
    </xf>
    <xf numFmtId="0" fontId="17" fillId="0" borderId="20" xfId="4" quotePrefix="1" applyFont="1" applyFill="1" applyBorder="1" applyAlignment="1">
      <alignment horizontal="center" vertical="center"/>
    </xf>
    <xf numFmtId="0" fontId="23" fillId="0" borderId="173" xfId="0" applyFont="1" applyFill="1" applyBorder="1" applyAlignment="1">
      <alignment horizontal="center" vertical="center" wrapText="1"/>
    </xf>
    <xf numFmtId="0" fontId="23" fillId="0" borderId="173" xfId="0" applyFont="1" applyFill="1" applyBorder="1" applyAlignment="1">
      <alignment horizontal="center" wrapText="1"/>
    </xf>
    <xf numFmtId="0" fontId="0" fillId="0" borderId="37" xfId="0" applyFont="1" applyBorder="1" applyAlignment="1">
      <alignment horizontal="center" vertical="center"/>
    </xf>
    <xf numFmtId="3" fontId="25" fillId="22" borderId="173" xfId="4" applyNumberFormat="1" applyFont="1" applyFill="1" applyBorder="1" applyAlignment="1">
      <alignment horizontal="center" vertical="center"/>
    </xf>
    <xf numFmtId="0" fontId="23" fillId="0" borderId="173" xfId="0" applyFont="1" applyBorder="1" applyAlignment="1">
      <alignment horizontal="center" vertical="center" wrapText="1"/>
    </xf>
    <xf numFmtId="0" fontId="23" fillId="0" borderId="132" xfId="0" applyFont="1" applyBorder="1" applyAlignment="1">
      <alignment horizontal="center" vertical="center" wrapText="1"/>
    </xf>
    <xf numFmtId="0" fontId="13" fillId="2" borderId="0" xfId="0" applyFont="1" applyFill="1" applyBorder="1" applyAlignment="1">
      <alignment horizontal="left" vertical="center" wrapText="1"/>
    </xf>
    <xf numFmtId="3" fontId="25" fillId="8" borderId="15" xfId="0" applyNumberFormat="1" applyFont="1" applyFill="1" applyBorder="1" applyAlignment="1">
      <alignment vertical="top"/>
    </xf>
    <xf numFmtId="3" fontId="31" fillId="8" borderId="13" xfId="0" applyNumberFormat="1" applyFont="1" applyFill="1" applyBorder="1" applyAlignment="1"/>
    <xf numFmtId="0" fontId="17" fillId="0" borderId="5" xfId="0" quotePrefix="1" applyFont="1" applyFill="1" applyBorder="1" applyAlignment="1">
      <alignment horizontal="center" vertical="center" wrapText="1"/>
    </xf>
    <xf numFmtId="0" fontId="17" fillId="0" borderId="11" xfId="0" quotePrefix="1" applyFont="1" applyFill="1" applyBorder="1" applyAlignment="1">
      <alignment horizontal="center" vertical="center" wrapText="1"/>
    </xf>
    <xf numFmtId="0" fontId="17" fillId="0" borderId="25" xfId="0" quotePrefix="1" applyFont="1" applyFill="1" applyBorder="1" applyAlignment="1">
      <alignment horizontal="center" vertical="center" wrapText="1"/>
    </xf>
    <xf numFmtId="0" fontId="24" fillId="8" borderId="5" xfId="0" applyFont="1" applyFill="1" applyBorder="1" applyAlignment="1">
      <alignment horizontal="left" vertical="center" wrapText="1"/>
    </xf>
    <xf numFmtId="0" fontId="24" fillId="8" borderId="21" xfId="0" applyFont="1" applyFill="1" applyBorder="1" applyAlignment="1">
      <alignment horizontal="left" vertical="center" wrapText="1"/>
    </xf>
    <xf numFmtId="0" fontId="24" fillId="2" borderId="142" xfId="0" applyFont="1" applyFill="1" applyBorder="1" applyAlignment="1">
      <alignment horizontal="center" vertical="center" wrapText="1"/>
    </xf>
    <xf numFmtId="0" fontId="24" fillId="2" borderId="6" xfId="0" applyFont="1" applyFill="1" applyBorder="1" applyAlignment="1">
      <alignment horizontal="center" vertical="center" wrapText="1"/>
    </xf>
    <xf numFmtId="0" fontId="24" fillId="2" borderId="22" xfId="0" applyFont="1" applyFill="1" applyBorder="1" applyAlignment="1">
      <alignment horizontal="center" vertical="center" wrapText="1"/>
    </xf>
    <xf numFmtId="0" fontId="17" fillId="2" borderId="5" xfId="0" quotePrefix="1" applyFont="1" applyFill="1" applyBorder="1" applyAlignment="1">
      <alignment horizontal="center" vertical="center" wrapText="1"/>
    </xf>
    <xf numFmtId="0" fontId="17" fillId="2" borderId="11" xfId="0" quotePrefix="1" applyFont="1" applyFill="1" applyBorder="1" applyAlignment="1">
      <alignment horizontal="center" vertical="center" wrapText="1"/>
    </xf>
    <xf numFmtId="0" fontId="17" fillId="2" borderId="25" xfId="0" quotePrefix="1" applyFont="1" applyFill="1" applyBorder="1" applyAlignment="1">
      <alignment horizontal="center" vertical="center" wrapText="1"/>
    </xf>
    <xf numFmtId="0" fontId="16" fillId="2" borderId="24" xfId="0" applyFont="1" applyFill="1" applyBorder="1" applyAlignment="1">
      <alignment vertical="top"/>
    </xf>
    <xf numFmtId="0" fontId="24" fillId="0" borderId="142" xfId="0" applyFont="1" applyFill="1" applyBorder="1" applyAlignment="1">
      <alignment horizontal="center" vertical="center" wrapText="1"/>
    </xf>
    <xf numFmtId="0" fontId="23" fillId="0" borderId="6" xfId="0" applyFont="1" applyBorder="1" applyAlignment="1">
      <alignment horizontal="center" vertical="center" wrapText="1"/>
    </xf>
    <xf numFmtId="0" fontId="18" fillId="0" borderId="66" xfId="0" applyFont="1" applyFill="1" applyBorder="1" applyAlignment="1">
      <alignment horizontal="center" vertical="center" wrapText="1"/>
    </xf>
    <xf numFmtId="0" fontId="18" fillId="0" borderId="67" xfId="0" applyFont="1" applyFill="1" applyBorder="1" applyAlignment="1">
      <alignment horizontal="center" vertical="center" wrapText="1"/>
    </xf>
    <xf numFmtId="0" fontId="0" fillId="0" borderId="67" xfId="0" applyFont="1" applyBorder="1" applyAlignment="1">
      <alignment horizontal="center" wrapText="1"/>
    </xf>
    <xf numFmtId="0" fontId="0" fillId="0" borderId="69" xfId="0" applyFont="1" applyBorder="1" applyAlignment="1">
      <alignment horizontal="center" wrapText="1"/>
    </xf>
    <xf numFmtId="0" fontId="25" fillId="2" borderId="142" xfId="0" applyFont="1" applyFill="1" applyBorder="1" applyAlignment="1">
      <alignment horizontal="center" vertical="top" wrapText="1"/>
    </xf>
    <xf numFmtId="0" fontId="25" fillId="2" borderId="20" xfId="0" applyFont="1" applyFill="1" applyBorder="1" applyAlignment="1">
      <alignment horizontal="center" vertical="top" wrapText="1"/>
    </xf>
    <xf numFmtId="0" fontId="17" fillId="0" borderId="66" xfId="4" applyFont="1" applyBorder="1" applyAlignment="1">
      <alignment horizontal="center" vertical="center" wrapText="1"/>
    </xf>
    <xf numFmtId="0" fontId="17" fillId="0" borderId="67" xfId="4" applyFont="1" applyBorder="1" applyAlignment="1">
      <alignment horizontal="center" vertical="center" wrapText="1"/>
    </xf>
    <xf numFmtId="0" fontId="17" fillId="0" borderId="69" xfId="4" applyFont="1" applyBorder="1" applyAlignment="1">
      <alignment horizontal="center" vertical="center" wrapText="1"/>
    </xf>
    <xf numFmtId="3" fontId="25" fillId="22" borderId="141" xfId="0" applyNumberFormat="1" applyFont="1" applyFill="1" applyBorder="1" applyAlignment="1">
      <alignment horizontal="center" vertical="center"/>
    </xf>
    <xf numFmtId="3" fontId="25" fillId="22" borderId="43" xfId="0" applyNumberFormat="1" applyFont="1" applyFill="1" applyBorder="1" applyAlignment="1">
      <alignment horizontal="center" vertical="center"/>
    </xf>
    <xf numFmtId="3" fontId="25" fillId="22" borderId="41" xfId="0" applyNumberFormat="1" applyFont="1" applyFill="1" applyBorder="1" applyAlignment="1">
      <alignment horizontal="center" vertical="center"/>
    </xf>
    <xf numFmtId="0" fontId="24" fillId="8" borderId="14" xfId="0" applyFont="1" applyFill="1" applyBorder="1" applyAlignment="1">
      <alignment horizontal="center" vertical="center" wrapText="1"/>
    </xf>
    <xf numFmtId="0" fontId="24" fillId="8" borderId="20" xfId="0" applyFont="1" applyFill="1" applyBorder="1" applyAlignment="1">
      <alignment horizontal="center" vertical="center" wrapText="1"/>
    </xf>
    <xf numFmtId="0" fontId="25" fillId="2" borderId="15" xfId="0" applyFont="1" applyFill="1" applyBorder="1" applyAlignment="1">
      <alignment horizontal="center" vertical="center" wrapText="1"/>
    </xf>
    <xf numFmtId="0" fontId="25" fillId="2" borderId="35" xfId="0" applyFont="1" applyFill="1" applyBorder="1" applyAlignment="1">
      <alignment horizontal="center" vertical="center" wrapText="1"/>
    </xf>
    <xf numFmtId="49" fontId="22" fillId="0" borderId="66" xfId="3" applyNumberFormat="1" applyFont="1" applyBorder="1" applyAlignment="1">
      <alignment horizontal="center" vertical="center" wrapText="1"/>
    </xf>
    <xf numFmtId="49" fontId="22" fillId="0" borderId="67" xfId="3" applyNumberFormat="1" applyFont="1" applyBorder="1" applyAlignment="1">
      <alignment horizontal="center" vertical="center" wrapText="1"/>
    </xf>
    <xf numFmtId="0" fontId="0" fillId="0" borderId="67" xfId="0" applyFont="1" applyBorder="1"/>
    <xf numFmtId="0" fontId="18" fillId="0" borderId="0" xfId="0" applyFont="1" applyFill="1" applyBorder="1" applyAlignment="1">
      <alignment horizontal="left" vertical="top" wrapText="1"/>
    </xf>
    <xf numFmtId="0" fontId="23" fillId="0" borderId="20" xfId="0" applyFont="1" applyBorder="1" applyAlignment="1">
      <alignment horizontal="center" vertical="center" wrapText="1"/>
    </xf>
    <xf numFmtId="0" fontId="37" fillId="0" borderId="142" xfId="0" applyFont="1" applyBorder="1" applyAlignment="1">
      <alignment horizontal="center" vertical="center" wrapText="1"/>
    </xf>
    <xf numFmtId="0" fontId="37" fillId="0" borderId="6" xfId="0" applyFont="1" applyBorder="1" applyAlignment="1">
      <alignment horizontal="center" vertical="center" wrapText="1"/>
    </xf>
    <xf numFmtId="0" fontId="37" fillId="0" borderId="22" xfId="0" applyFont="1" applyBorder="1" applyAlignment="1">
      <alignment horizontal="center" vertical="center" wrapText="1"/>
    </xf>
    <xf numFmtId="0" fontId="0" fillId="0" borderId="11" xfId="0" applyFont="1" applyBorder="1"/>
    <xf numFmtId="0" fontId="22" fillId="0" borderId="67" xfId="0" applyFont="1" applyBorder="1" applyAlignment="1">
      <alignment horizontal="center" vertical="center" wrapText="1"/>
    </xf>
    <xf numFmtId="0" fontId="22" fillId="0" borderId="69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 vertical="center" wrapText="1"/>
    </xf>
    <xf numFmtId="0" fontId="24" fillId="0" borderId="20" xfId="0" applyFont="1" applyFill="1" applyBorder="1" applyAlignment="1">
      <alignment horizontal="center" vertical="center" wrapText="1"/>
    </xf>
    <xf numFmtId="0" fontId="23" fillId="0" borderId="142" xfId="0" applyFont="1" applyBorder="1" applyAlignment="1">
      <alignment horizontal="center" vertical="center" wrapText="1"/>
    </xf>
    <xf numFmtId="0" fontId="37" fillId="0" borderId="20" xfId="0" applyFont="1" applyBorder="1" applyAlignment="1">
      <alignment horizontal="center" vertical="center" wrapText="1"/>
    </xf>
    <xf numFmtId="43" fontId="25" fillId="22" borderId="141" xfId="1" applyFont="1" applyFill="1" applyBorder="1" applyAlignment="1">
      <alignment horizontal="center" vertical="center"/>
    </xf>
    <xf numFmtId="43" fontId="25" fillId="22" borderId="43" xfId="1" applyFont="1" applyFill="1" applyBorder="1" applyAlignment="1">
      <alignment horizontal="center" vertical="center"/>
    </xf>
    <xf numFmtId="43" fontId="25" fillId="22" borderId="41" xfId="1" applyFont="1" applyFill="1" applyBorder="1" applyAlignment="1">
      <alignment horizontal="center" vertical="center"/>
    </xf>
    <xf numFmtId="0" fontId="0" fillId="0" borderId="26" xfId="0" applyFont="1" applyBorder="1"/>
    <xf numFmtId="0" fontId="0" fillId="0" borderId="68" xfId="0" applyFont="1" applyBorder="1"/>
    <xf numFmtId="0" fontId="0" fillId="0" borderId="69" xfId="0" applyFont="1" applyBorder="1"/>
    <xf numFmtId="49" fontId="22" fillId="0" borderId="5" xfId="3" applyNumberFormat="1" applyFont="1" applyBorder="1" applyAlignment="1">
      <alignment horizontal="center" vertical="center" wrapText="1"/>
    </xf>
    <xf numFmtId="49" fontId="22" fillId="0" borderId="11" xfId="3" applyNumberFormat="1" applyFont="1" applyBorder="1" applyAlignment="1">
      <alignment horizontal="center" vertical="center" wrapText="1"/>
    </xf>
    <xf numFmtId="49" fontId="22" fillId="0" borderId="25" xfId="3" applyNumberFormat="1" applyFont="1" applyBorder="1" applyAlignment="1">
      <alignment horizontal="center" vertical="center" wrapText="1"/>
    </xf>
    <xf numFmtId="49" fontId="22" fillId="0" borderId="69" xfId="3" applyNumberFormat="1" applyFont="1" applyBorder="1" applyAlignment="1">
      <alignment horizontal="center" vertical="center" wrapText="1"/>
    </xf>
    <xf numFmtId="0" fontId="0" fillId="0" borderId="0" xfId="0" applyFont="1" applyBorder="1" applyAlignment="1">
      <alignment horizontal="left" wrapText="1"/>
    </xf>
    <xf numFmtId="0" fontId="23" fillId="0" borderId="22" xfId="0" applyFont="1" applyBorder="1" applyAlignment="1">
      <alignment horizontal="center" vertical="center" wrapText="1"/>
    </xf>
    <xf numFmtId="0" fontId="18" fillId="0" borderId="5" xfId="0" applyFont="1" applyFill="1" applyBorder="1" applyAlignment="1">
      <alignment horizontal="center" vertical="center" wrapText="1"/>
    </xf>
    <xf numFmtId="0" fontId="18" fillId="0" borderId="11" xfId="0" applyFont="1" applyFill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 wrapText="1"/>
    </xf>
    <xf numFmtId="0" fontId="0" fillId="0" borderId="25" xfId="0" applyFont="1" applyBorder="1" applyAlignment="1">
      <alignment horizontal="center" vertical="center" wrapText="1"/>
    </xf>
    <xf numFmtId="3" fontId="24" fillId="22" borderId="139" xfId="0" applyNumberFormat="1" applyFont="1" applyFill="1" applyBorder="1" applyAlignment="1">
      <alignment horizontal="center" vertical="center"/>
    </xf>
    <xf numFmtId="3" fontId="24" fillId="22" borderId="13" xfId="0" applyNumberFormat="1" applyFont="1" applyFill="1" applyBorder="1" applyAlignment="1">
      <alignment horizontal="center" vertical="center"/>
    </xf>
    <xf numFmtId="3" fontId="24" fillId="22" borderId="12" xfId="0" applyNumberFormat="1" applyFont="1" applyFill="1" applyBorder="1" applyAlignment="1">
      <alignment horizontal="center" vertical="center"/>
    </xf>
    <xf numFmtId="3" fontId="25" fillId="22" borderId="139" xfId="0" applyNumberFormat="1" applyFont="1" applyFill="1" applyBorder="1" applyAlignment="1">
      <alignment horizontal="center" vertical="center"/>
    </xf>
    <xf numFmtId="3" fontId="25" fillId="22" borderId="13" xfId="0" applyNumberFormat="1" applyFont="1" applyFill="1" applyBorder="1" applyAlignment="1">
      <alignment horizontal="center" vertical="center"/>
    </xf>
    <xf numFmtId="3" fontId="25" fillId="22" borderId="12" xfId="0" applyNumberFormat="1" applyFont="1" applyFill="1" applyBorder="1" applyAlignment="1">
      <alignment horizontal="center" vertical="center"/>
    </xf>
    <xf numFmtId="3" fontId="25" fillId="22" borderId="184" xfId="0" applyNumberFormat="1" applyFont="1" applyFill="1" applyBorder="1" applyAlignment="1">
      <alignment horizontal="center" vertical="center"/>
    </xf>
    <xf numFmtId="0" fontId="16" fillId="2" borderId="24" xfId="0" applyFont="1" applyFill="1" applyBorder="1" applyAlignment="1">
      <alignment horizontal="left" vertical="center" wrapText="1"/>
    </xf>
    <xf numFmtId="0" fontId="20" fillId="0" borderId="5" xfId="0" applyFont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0" fontId="20" fillId="0" borderId="25" xfId="0" applyFont="1" applyBorder="1" applyAlignment="1">
      <alignment horizontal="center" vertical="center" wrapText="1"/>
    </xf>
    <xf numFmtId="0" fontId="18" fillId="0" borderId="6" xfId="4" applyFont="1" applyBorder="1" applyAlignment="1">
      <alignment horizontal="center" vertical="center" wrapText="1"/>
    </xf>
    <xf numFmtId="0" fontId="18" fillId="0" borderId="22" xfId="4" applyFont="1" applyBorder="1" applyAlignment="1">
      <alignment horizontal="center" vertical="center" wrapText="1"/>
    </xf>
    <xf numFmtId="0" fontId="18" fillId="0" borderId="13" xfId="4" applyFont="1" applyBorder="1" applyAlignment="1">
      <alignment horizontal="center" vertical="center" wrapText="1"/>
    </xf>
    <xf numFmtId="0" fontId="18" fillId="0" borderId="12" xfId="4" applyFont="1" applyBorder="1" applyAlignment="1">
      <alignment horizontal="center" vertical="center" wrapText="1"/>
    </xf>
    <xf numFmtId="0" fontId="24" fillId="2" borderId="139" xfId="0" applyFont="1" applyFill="1" applyBorder="1" applyAlignment="1">
      <alignment horizontal="center" vertical="center" wrapText="1"/>
    </xf>
    <xf numFmtId="0" fontId="0" fillId="0" borderId="142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0" fillId="0" borderId="22" xfId="0" applyFont="1" applyBorder="1" applyAlignment="1">
      <alignment horizontal="center" vertical="center"/>
    </xf>
    <xf numFmtId="0" fontId="17" fillId="0" borderId="5" xfId="0" applyFont="1" applyFill="1" applyBorder="1" applyAlignment="1">
      <alignment horizontal="center" vertical="center"/>
    </xf>
    <xf numFmtId="0" fontId="17" fillId="0" borderId="11" xfId="0" applyFont="1" applyFill="1" applyBorder="1" applyAlignment="1">
      <alignment horizontal="center" vertical="center"/>
    </xf>
    <xf numFmtId="0" fontId="17" fillId="56" borderId="5" xfId="0" applyFont="1" applyFill="1" applyBorder="1" applyAlignment="1">
      <alignment horizontal="center" vertical="center" wrapText="1"/>
    </xf>
    <xf numFmtId="0" fontId="0" fillId="56" borderId="11" xfId="0" applyFont="1" applyFill="1" applyBorder="1" applyAlignment="1">
      <alignment vertical="center" wrapText="1"/>
    </xf>
    <xf numFmtId="0" fontId="0" fillId="56" borderId="25" xfId="0" applyFont="1" applyFill="1" applyBorder="1" applyAlignment="1">
      <alignment vertical="center" wrapText="1"/>
    </xf>
    <xf numFmtId="0" fontId="25" fillId="2" borderId="142" xfId="0" applyFont="1" applyFill="1" applyBorder="1" applyAlignment="1">
      <alignment horizontal="center" vertical="center" wrapText="1"/>
    </xf>
    <xf numFmtId="0" fontId="17" fillId="0" borderId="5" xfId="0" applyFont="1" applyFill="1" applyBorder="1" applyAlignment="1">
      <alignment horizontal="center" vertical="center" wrapText="1"/>
    </xf>
    <xf numFmtId="0" fontId="0" fillId="0" borderId="11" xfId="0" applyFont="1" applyBorder="1" applyAlignment="1">
      <alignment vertical="center" wrapText="1"/>
    </xf>
    <xf numFmtId="0" fontId="0" fillId="0" borderId="25" xfId="0" applyFont="1" applyBorder="1" applyAlignment="1">
      <alignment vertical="center" wrapText="1"/>
    </xf>
    <xf numFmtId="0" fontId="23" fillId="0" borderId="139" xfId="0" applyFont="1" applyBorder="1" applyAlignment="1">
      <alignment horizontal="center" vertical="center" wrapText="1"/>
    </xf>
    <xf numFmtId="0" fontId="23" fillId="0" borderId="12" xfId="0" applyFont="1" applyBorder="1" applyAlignment="1">
      <alignment horizontal="center" vertical="center" wrapText="1"/>
    </xf>
    <xf numFmtId="0" fontId="17" fillId="0" borderId="11" xfId="0" applyFont="1" applyFill="1" applyBorder="1" applyAlignment="1">
      <alignment horizontal="center" vertical="center" wrapText="1"/>
    </xf>
    <xf numFmtId="0" fontId="0" fillId="0" borderId="0" xfId="0" applyFont="1" applyBorder="1"/>
    <xf numFmtId="0" fontId="21" fillId="0" borderId="43" xfId="0" applyFont="1" applyFill="1" applyBorder="1" applyAlignment="1">
      <alignment horizontal="center" vertical="center" wrapText="1"/>
    </xf>
    <xf numFmtId="0" fontId="21" fillId="0" borderId="41" xfId="0" applyFont="1" applyFill="1" applyBorder="1" applyAlignment="1">
      <alignment horizontal="center" vertical="center" wrapText="1"/>
    </xf>
    <xf numFmtId="3" fontId="20" fillId="0" borderId="42" xfId="0" applyNumberFormat="1" applyFont="1" applyFill="1" applyBorder="1" applyAlignment="1">
      <alignment horizontal="center" vertical="center" wrapText="1"/>
    </xf>
    <xf numFmtId="3" fontId="20" fillId="0" borderId="43" xfId="0" applyNumberFormat="1" applyFont="1" applyFill="1" applyBorder="1" applyAlignment="1">
      <alignment horizontal="center" vertical="center" wrapText="1"/>
    </xf>
    <xf numFmtId="3" fontId="20" fillId="0" borderId="46" xfId="0" applyNumberFormat="1" applyFont="1" applyFill="1" applyBorder="1" applyAlignment="1">
      <alignment horizontal="center" vertical="center" wrapText="1"/>
    </xf>
    <xf numFmtId="3" fontId="20" fillId="31" borderId="42" xfId="0" applyNumberFormat="1" applyFont="1" applyFill="1" applyBorder="1" applyAlignment="1">
      <alignment horizontal="center" vertical="center" wrapText="1"/>
    </xf>
    <xf numFmtId="3" fontId="20" fillId="31" borderId="43" xfId="0" applyNumberFormat="1" applyFont="1" applyFill="1" applyBorder="1" applyAlignment="1">
      <alignment horizontal="center" vertical="center" wrapText="1"/>
    </xf>
    <xf numFmtId="0" fontId="24" fillId="0" borderId="42" xfId="0" applyFont="1" applyFill="1" applyBorder="1" applyAlignment="1">
      <alignment horizontal="center" vertical="center" wrapText="1"/>
    </xf>
    <xf numFmtId="0" fontId="23" fillId="0" borderId="43" xfId="0" applyFont="1" applyBorder="1" applyAlignment="1">
      <alignment horizontal="center" wrapText="1"/>
    </xf>
    <xf numFmtId="0" fontId="23" fillId="0" borderId="41" xfId="0" applyFont="1" applyBorder="1" applyAlignment="1">
      <alignment horizontal="center" wrapText="1"/>
    </xf>
    <xf numFmtId="0" fontId="25" fillId="2" borderId="92" xfId="0" applyFont="1" applyFill="1" applyBorder="1" applyAlignment="1">
      <alignment horizontal="center" vertical="center" wrapText="1"/>
    </xf>
    <xf numFmtId="3" fontId="25" fillId="22" borderId="96" xfId="0" applyNumberFormat="1" applyFont="1" applyFill="1" applyBorder="1" applyAlignment="1">
      <alignment horizontal="center" vertical="center"/>
    </xf>
    <xf numFmtId="0" fontId="25" fillId="2" borderId="6" xfId="0" applyFont="1" applyFill="1" applyBorder="1" applyAlignment="1">
      <alignment horizontal="center" vertical="center" wrapText="1"/>
    </xf>
    <xf numFmtId="0" fontId="8" fillId="0" borderId="107" xfId="4" applyFont="1" applyFill="1" applyBorder="1" applyAlignment="1">
      <alignment horizontal="center" vertical="center" wrapText="1"/>
    </xf>
    <xf numFmtId="0" fontId="8" fillId="0" borderId="6" xfId="4" applyFont="1" applyFill="1" applyBorder="1" applyAlignment="1">
      <alignment horizontal="center" vertical="center" wrapText="1"/>
    </xf>
    <xf numFmtId="0" fontId="8" fillId="0" borderId="20" xfId="4" applyFont="1" applyFill="1" applyBorder="1" applyAlignment="1">
      <alignment horizontal="center" vertical="center" wrapText="1"/>
    </xf>
    <xf numFmtId="0" fontId="7" fillId="0" borderId="107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7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8" fillId="0" borderId="20" xfId="4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 wrapText="1"/>
    </xf>
    <xf numFmtId="0" fontId="8" fillId="0" borderId="20" xfId="0" applyFont="1" applyFill="1" applyBorder="1" applyAlignment="1">
      <alignment horizontal="center" vertical="center" wrapText="1"/>
    </xf>
    <xf numFmtId="0" fontId="6" fillId="0" borderId="107" xfId="4" applyFont="1" applyFill="1" applyBorder="1" applyAlignment="1">
      <alignment horizontal="center" vertical="center" wrapText="1"/>
    </xf>
    <xf numFmtId="0" fontId="6" fillId="0" borderId="6" xfId="4" applyFont="1" applyFill="1" applyBorder="1" applyAlignment="1">
      <alignment horizontal="center" vertical="center" wrapText="1"/>
    </xf>
    <xf numFmtId="0" fontId="6" fillId="0" borderId="20" xfId="4" applyFont="1" applyFill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 wrapText="1"/>
    </xf>
    <xf numFmtId="3" fontId="25" fillId="22" borderId="103" xfId="0" applyNumberFormat="1" applyFont="1" applyFill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31" fillId="32" borderId="0" xfId="0" applyFont="1" applyFill="1" applyBorder="1" applyAlignment="1">
      <alignment horizontal="left" vertical="center" wrapText="1"/>
    </xf>
    <xf numFmtId="0" fontId="17" fillId="0" borderId="25" xfId="0" applyFont="1" applyFill="1" applyBorder="1" applyAlignment="1">
      <alignment horizontal="center" vertical="center"/>
    </xf>
    <xf numFmtId="0" fontId="24" fillId="0" borderId="43" xfId="0" applyFont="1" applyFill="1" applyBorder="1" applyAlignment="1">
      <alignment horizontal="center" vertical="center" wrapText="1"/>
    </xf>
    <xf numFmtId="0" fontId="32" fillId="0" borderId="41" xfId="0" applyFont="1" applyBorder="1"/>
    <xf numFmtId="3" fontId="25" fillId="28" borderId="42" xfId="0" applyNumberFormat="1" applyFont="1" applyFill="1" applyBorder="1" applyAlignment="1">
      <alignment horizontal="center" vertical="center" wrapText="1"/>
    </xf>
    <xf numFmtId="3" fontId="25" fillId="28" borderId="43" xfId="0" applyNumberFormat="1" applyFont="1" applyFill="1" applyBorder="1" applyAlignment="1">
      <alignment horizontal="center" vertical="center" wrapText="1"/>
    </xf>
    <xf numFmtId="3" fontId="25" fillId="28" borderId="41" xfId="0" applyNumberFormat="1" applyFont="1" applyFill="1" applyBorder="1" applyAlignment="1">
      <alignment horizontal="center" vertical="center" wrapText="1"/>
    </xf>
    <xf numFmtId="0" fontId="25" fillId="8" borderId="142" xfId="0" applyFont="1" applyFill="1" applyBorder="1" applyAlignment="1">
      <alignment horizontal="center" vertical="center" wrapText="1"/>
    </xf>
    <xf numFmtId="0" fontId="25" fillId="8" borderId="6" xfId="0" applyFont="1" applyFill="1" applyBorder="1" applyAlignment="1">
      <alignment horizontal="center" vertical="center" wrapText="1"/>
    </xf>
    <xf numFmtId="0" fontId="23" fillId="2" borderId="22" xfId="0" applyFont="1" applyFill="1" applyBorder="1" applyAlignment="1">
      <alignment horizontal="center" vertical="center" wrapText="1"/>
    </xf>
    <xf numFmtId="3" fontId="7" fillId="8" borderId="79" xfId="0" applyNumberFormat="1" applyFont="1" applyFill="1" applyBorder="1" applyAlignment="1">
      <alignment horizontal="center" vertical="top"/>
    </xf>
    <xf numFmtId="3" fontId="7" fillId="8" borderId="18" xfId="0" applyNumberFormat="1" applyFont="1" applyFill="1" applyBorder="1" applyAlignment="1">
      <alignment horizontal="center" vertical="top"/>
    </xf>
    <xf numFmtId="3" fontId="7" fillId="8" borderId="17" xfId="0" applyNumberFormat="1" applyFont="1" applyFill="1" applyBorder="1" applyAlignment="1">
      <alignment horizontal="center" vertical="top"/>
    </xf>
    <xf numFmtId="0" fontId="24" fillId="0" borderId="41" xfId="0" applyFont="1" applyFill="1" applyBorder="1" applyAlignment="1">
      <alignment horizontal="center" vertical="center" wrapText="1"/>
    </xf>
    <xf numFmtId="3" fontId="31" fillId="8" borderId="79" xfId="0" applyNumberFormat="1" applyFont="1" applyFill="1" applyBorder="1" applyAlignment="1">
      <alignment horizontal="center" vertical="top"/>
    </xf>
    <xf numFmtId="3" fontId="31" fillId="8" borderId="18" xfId="0" applyNumberFormat="1" applyFont="1" applyFill="1" applyBorder="1" applyAlignment="1">
      <alignment horizontal="center" vertical="top"/>
    </xf>
    <xf numFmtId="3" fontId="31" fillId="8" borderId="17" xfId="0" applyNumberFormat="1" applyFont="1" applyFill="1" applyBorder="1" applyAlignment="1">
      <alignment horizontal="center" vertical="top"/>
    </xf>
    <xf numFmtId="0" fontId="17" fillId="2" borderId="5" xfId="0" applyFont="1" applyFill="1" applyBorder="1" applyAlignment="1">
      <alignment horizontal="center" vertical="center"/>
    </xf>
    <xf numFmtId="0" fontId="17" fillId="2" borderId="11" xfId="0" applyFont="1" applyFill="1" applyBorder="1" applyAlignment="1">
      <alignment horizontal="center" vertical="center"/>
    </xf>
    <xf numFmtId="0" fontId="17" fillId="2" borderId="25" xfId="0" applyFont="1" applyFill="1" applyBorder="1" applyAlignment="1">
      <alignment horizontal="center" vertical="center"/>
    </xf>
    <xf numFmtId="0" fontId="25" fillId="0" borderId="142" xfId="0" applyFont="1" applyFill="1" applyBorder="1" applyAlignment="1">
      <alignment horizontal="center" vertical="center" wrapText="1"/>
    </xf>
    <xf numFmtId="0" fontId="25" fillId="2" borderId="22" xfId="0" applyFont="1" applyFill="1" applyBorder="1" applyAlignment="1">
      <alignment horizontal="center" vertical="center" wrapText="1"/>
    </xf>
    <xf numFmtId="0" fontId="26" fillId="0" borderId="42" xfId="0" applyFont="1" applyBorder="1" applyAlignment="1">
      <alignment horizontal="center" vertical="center" wrapText="1"/>
    </xf>
    <xf numFmtId="0" fontId="26" fillId="0" borderId="43" xfId="0" applyFont="1" applyBorder="1" applyAlignment="1">
      <alignment horizontal="center" vertical="center" wrapText="1"/>
    </xf>
    <xf numFmtId="0" fontId="26" fillId="0" borderId="41" xfId="0" applyFont="1" applyBorder="1" applyAlignment="1">
      <alignment horizontal="center" vertical="center" wrapText="1"/>
    </xf>
    <xf numFmtId="0" fontId="20" fillId="0" borderId="52" xfId="0" applyFont="1" applyBorder="1" applyAlignment="1">
      <alignment horizontal="center" vertical="center" wrapText="1"/>
    </xf>
    <xf numFmtId="0" fontId="20" fillId="19" borderId="13" xfId="4" applyFont="1" applyFill="1" applyBorder="1" applyAlignment="1">
      <alignment horizontal="center" vertical="center" wrapText="1"/>
    </xf>
    <xf numFmtId="0" fontId="20" fillId="19" borderId="12" xfId="4" applyFont="1" applyFill="1" applyBorder="1" applyAlignment="1">
      <alignment horizontal="center" vertical="center" wrapText="1"/>
    </xf>
    <xf numFmtId="3" fontId="24" fillId="22" borderId="96" xfId="0" applyNumberFormat="1" applyFont="1" applyFill="1" applyBorder="1" applyAlignment="1">
      <alignment horizontal="center" vertical="center"/>
    </xf>
    <xf numFmtId="0" fontId="25" fillId="2" borderId="107" xfId="0" applyFont="1" applyFill="1" applyBorder="1" applyAlignment="1">
      <alignment horizontal="center" vertical="center" wrapText="1"/>
    </xf>
    <xf numFmtId="0" fontId="17" fillId="0" borderId="42" xfId="0" applyFont="1" applyFill="1" applyBorder="1" applyAlignment="1">
      <alignment horizontal="center" vertical="center" wrapText="1"/>
    </xf>
    <xf numFmtId="0" fontId="37" fillId="0" borderId="43" xfId="0" applyFont="1" applyBorder="1" applyAlignment="1">
      <alignment horizontal="center" wrapText="1"/>
    </xf>
    <xf numFmtId="0" fontId="37" fillId="0" borderId="41" xfId="0" applyFont="1" applyBorder="1" applyAlignment="1">
      <alignment horizontal="center" wrapText="1"/>
    </xf>
    <xf numFmtId="0" fontId="19" fillId="0" borderId="26" xfId="4" applyFont="1" applyFill="1" applyBorder="1" applyAlignment="1">
      <alignment horizontal="center" vertical="center" wrapText="1"/>
    </xf>
    <xf numFmtId="3" fontId="24" fillId="22" borderId="103" xfId="0" applyNumberFormat="1" applyFont="1" applyFill="1" applyBorder="1" applyAlignment="1">
      <alignment horizontal="center" vertical="center"/>
    </xf>
    <xf numFmtId="3" fontId="24" fillId="22" borderId="35" xfId="0" applyNumberFormat="1" applyFont="1" applyFill="1" applyBorder="1" applyAlignment="1">
      <alignment horizontal="center" vertical="center"/>
    </xf>
    <xf numFmtId="0" fontId="17" fillId="0" borderId="108" xfId="0" applyFont="1" applyFill="1" applyBorder="1" applyAlignment="1">
      <alignment horizontal="center" vertical="center"/>
    </xf>
    <xf numFmtId="0" fontId="17" fillId="0" borderId="21" xfId="0" applyFont="1" applyFill="1" applyBorder="1" applyAlignment="1">
      <alignment horizontal="center" vertical="center"/>
    </xf>
    <xf numFmtId="0" fontId="24" fillId="2" borderId="42" xfId="0" applyFont="1" applyFill="1" applyBorder="1" applyAlignment="1">
      <alignment horizontal="center" vertical="center" wrapText="1"/>
    </xf>
    <xf numFmtId="0" fontId="24" fillId="2" borderId="43" xfId="0" applyFont="1" applyFill="1" applyBorder="1" applyAlignment="1">
      <alignment horizontal="center" vertical="center" wrapText="1"/>
    </xf>
    <xf numFmtId="0" fontId="24" fillId="2" borderId="41" xfId="0" applyFont="1" applyFill="1" applyBorder="1" applyAlignment="1">
      <alignment horizontal="center" vertical="center" wrapText="1"/>
    </xf>
    <xf numFmtId="0" fontId="25" fillId="2" borderId="42" xfId="0" applyFont="1" applyFill="1" applyBorder="1" applyAlignment="1">
      <alignment horizontal="center" vertical="center" wrapText="1"/>
    </xf>
    <xf numFmtId="0" fontId="23" fillId="2" borderId="43" xfId="0" applyFont="1" applyFill="1" applyBorder="1" applyAlignment="1">
      <alignment horizontal="center" wrapText="1"/>
    </xf>
    <xf numFmtId="0" fontId="23" fillId="2" borderId="41" xfId="0" applyFont="1" applyFill="1" applyBorder="1" applyAlignment="1">
      <alignment horizontal="center" wrapText="1"/>
    </xf>
    <xf numFmtId="0" fontId="23" fillId="0" borderId="92" xfId="0" applyFont="1" applyBorder="1" applyAlignment="1">
      <alignment horizontal="center" vertical="center" wrapText="1"/>
    </xf>
    <xf numFmtId="0" fontId="23" fillId="0" borderId="107" xfId="0" applyFont="1" applyBorder="1" applyAlignment="1">
      <alignment horizontal="center" vertical="center" wrapText="1"/>
    </xf>
    <xf numFmtId="3" fontId="25" fillId="22" borderId="120" xfId="0" applyNumberFormat="1" applyFont="1" applyFill="1" applyBorder="1" applyAlignment="1">
      <alignment horizontal="center" vertical="center"/>
    </xf>
    <xf numFmtId="0" fontId="19" fillId="0" borderId="181" xfId="4" applyFont="1" applyFill="1" applyBorder="1" applyAlignment="1">
      <alignment horizontal="center" vertical="center" wrapText="1"/>
    </xf>
    <xf numFmtId="0" fontId="19" fillId="0" borderId="68" xfId="4" applyFont="1" applyFill="1" applyBorder="1" applyAlignment="1">
      <alignment horizontal="center" vertical="center" wrapText="1"/>
    </xf>
    <xf numFmtId="3" fontId="24" fillId="22" borderId="184" xfId="0" applyNumberFormat="1" applyFont="1" applyFill="1" applyBorder="1" applyAlignment="1">
      <alignment horizontal="center" vertical="center"/>
    </xf>
    <xf numFmtId="0" fontId="20" fillId="0" borderId="39" xfId="0" applyFont="1" applyBorder="1" applyAlignment="1">
      <alignment horizontal="center" vertical="center" wrapText="1"/>
    </xf>
    <xf numFmtId="0" fontId="18" fillId="0" borderId="4" xfId="4" applyFont="1" applyBorder="1" applyAlignment="1">
      <alignment horizontal="center" vertical="center" wrapText="1"/>
    </xf>
    <xf numFmtId="0" fontId="0" fillId="0" borderId="27" xfId="0" applyFont="1" applyBorder="1" applyAlignment="1">
      <alignment horizontal="center" vertical="center" wrapText="1"/>
    </xf>
    <xf numFmtId="0" fontId="0" fillId="0" borderId="23" xfId="0" applyFont="1" applyBorder="1" applyAlignment="1">
      <alignment horizontal="center" vertical="center" wrapText="1"/>
    </xf>
    <xf numFmtId="3" fontId="20" fillId="8" borderId="43" xfId="0" applyNumberFormat="1" applyFont="1" applyFill="1" applyBorder="1" applyAlignment="1">
      <alignment horizontal="center" vertical="center" wrapText="1"/>
    </xf>
    <xf numFmtId="3" fontId="20" fillId="8" borderId="41" xfId="0" applyNumberFormat="1" applyFont="1" applyFill="1" applyBorder="1" applyAlignment="1">
      <alignment horizontal="center" vertical="center" wrapText="1"/>
    </xf>
    <xf numFmtId="0" fontId="27" fillId="8" borderId="138" xfId="4" applyFont="1" applyFill="1" applyBorder="1" applyAlignment="1">
      <alignment horizontal="center" vertical="center"/>
    </xf>
    <xf numFmtId="0" fontId="27" fillId="8" borderId="139" xfId="4" applyFont="1" applyFill="1" applyBorder="1" applyAlignment="1">
      <alignment horizontal="center" vertical="center"/>
    </xf>
    <xf numFmtId="0" fontId="27" fillId="8" borderId="13" xfId="4" applyFont="1" applyFill="1" applyBorder="1" applyAlignment="1">
      <alignment horizontal="center" vertical="center"/>
    </xf>
    <xf numFmtId="0" fontId="27" fillId="8" borderId="12" xfId="4" applyFont="1" applyFill="1" applyBorder="1" applyAlignment="1">
      <alignment horizontal="center" vertical="center"/>
    </xf>
    <xf numFmtId="0" fontId="20" fillId="19" borderId="4" xfId="4" applyFont="1" applyFill="1" applyBorder="1" applyAlignment="1">
      <alignment horizontal="center" vertical="center" wrapText="1"/>
    </xf>
    <xf numFmtId="0" fontId="0" fillId="19" borderId="27" xfId="0" applyFont="1" applyFill="1" applyBorder="1" applyAlignment="1">
      <alignment horizontal="center" vertical="center" wrapText="1"/>
    </xf>
    <xf numFmtId="0" fontId="0" fillId="19" borderId="23" xfId="0" applyFont="1" applyFill="1" applyBorder="1" applyAlignment="1">
      <alignment horizontal="center" vertical="center" wrapText="1"/>
    </xf>
    <xf numFmtId="3" fontId="25" fillId="23" borderId="139" xfId="0" applyNumberFormat="1" applyFont="1" applyFill="1" applyBorder="1" applyAlignment="1">
      <alignment horizontal="center" vertical="center"/>
    </xf>
    <xf numFmtId="3" fontId="25" fillId="23" borderId="13" xfId="0" applyNumberFormat="1" applyFont="1" applyFill="1" applyBorder="1" applyAlignment="1">
      <alignment horizontal="center" vertical="center"/>
    </xf>
    <xf numFmtId="3" fontId="25" fillId="23" borderId="12" xfId="0" applyNumberFormat="1" applyFont="1" applyFill="1" applyBorder="1" applyAlignment="1">
      <alignment horizontal="center" vertical="center"/>
    </xf>
    <xf numFmtId="0" fontId="21" fillId="0" borderId="42" xfId="0" applyFont="1" applyFill="1" applyBorder="1" applyAlignment="1">
      <alignment horizontal="center" vertical="center" wrapText="1"/>
    </xf>
    <xf numFmtId="0" fontId="0" fillId="0" borderId="41" xfId="0" applyFont="1" applyBorder="1"/>
    <xf numFmtId="0" fontId="20" fillId="2" borderId="14" xfId="0" applyFont="1" applyFill="1" applyBorder="1" applyAlignment="1">
      <alignment horizontal="center" vertical="center" wrapText="1"/>
    </xf>
    <xf numFmtId="0" fontId="20" fillId="2" borderId="6" xfId="0" applyFont="1" applyFill="1" applyBorder="1" applyAlignment="1">
      <alignment horizontal="center" vertical="center" wrapText="1"/>
    </xf>
    <xf numFmtId="0" fontId="20" fillId="2" borderId="22" xfId="0" applyFont="1" applyFill="1" applyBorder="1" applyAlignment="1">
      <alignment horizontal="center" vertical="center" wrapText="1"/>
    </xf>
    <xf numFmtId="0" fontId="23" fillId="0" borderId="139" xfId="0" applyFont="1" applyBorder="1" applyAlignment="1">
      <alignment horizontal="center" vertical="center"/>
    </xf>
    <xf numFmtId="0" fontId="23" fillId="0" borderId="35" xfId="0" applyFont="1" applyBorder="1" applyAlignment="1">
      <alignment horizontal="center" vertical="center"/>
    </xf>
    <xf numFmtId="3" fontId="25" fillId="2" borderId="139" xfId="4" applyNumberFormat="1" applyFont="1" applyFill="1" applyBorder="1" applyAlignment="1">
      <alignment horizontal="center" vertical="center" wrapText="1"/>
    </xf>
    <xf numFmtId="3" fontId="25" fillId="2" borderId="13" xfId="4" applyNumberFormat="1" applyFont="1" applyFill="1" applyBorder="1" applyAlignment="1">
      <alignment horizontal="center" vertical="center" wrapText="1"/>
    </xf>
    <xf numFmtId="0" fontId="23" fillId="0" borderId="12" xfId="0" applyFont="1" applyBorder="1" applyAlignment="1">
      <alignment horizontal="center" vertical="center"/>
    </xf>
    <xf numFmtId="3" fontId="25" fillId="25" borderId="113" xfId="0" applyNumberFormat="1" applyFont="1" applyFill="1" applyBorder="1" applyAlignment="1">
      <alignment horizontal="center" vertical="center"/>
    </xf>
    <xf numFmtId="3" fontId="25" fillId="25" borderId="10" xfId="0" applyNumberFormat="1" applyFont="1" applyFill="1" applyBorder="1" applyAlignment="1">
      <alignment horizontal="center" vertical="center"/>
    </xf>
    <xf numFmtId="3" fontId="25" fillId="25" borderId="74" xfId="0" applyNumberFormat="1" applyFont="1" applyFill="1" applyBorder="1" applyAlignment="1">
      <alignment horizontal="center" vertical="center"/>
    </xf>
    <xf numFmtId="3" fontId="25" fillId="22" borderId="139" xfId="0" applyNumberFormat="1" applyFont="1" applyFill="1" applyBorder="1" applyAlignment="1">
      <alignment horizontal="center" vertical="top"/>
    </xf>
    <xf numFmtId="3" fontId="25" fillId="22" borderId="13" xfId="0" applyNumberFormat="1" applyFont="1" applyFill="1" applyBorder="1" applyAlignment="1">
      <alignment horizontal="center" vertical="top"/>
    </xf>
    <xf numFmtId="3" fontId="25" fillId="22" borderId="12" xfId="0" applyNumberFormat="1" applyFont="1" applyFill="1" applyBorder="1" applyAlignment="1">
      <alignment horizontal="center" vertical="top"/>
    </xf>
    <xf numFmtId="3" fontId="25" fillId="2" borderId="35" xfId="4" applyNumberFormat="1" applyFont="1" applyFill="1" applyBorder="1" applyAlignment="1">
      <alignment horizontal="center" vertical="center" wrapText="1"/>
    </xf>
    <xf numFmtId="3" fontId="25" fillId="2" borderId="12" xfId="4" applyNumberFormat="1" applyFont="1" applyFill="1" applyBorder="1" applyAlignment="1">
      <alignment horizontal="center" vertical="center" wrapText="1"/>
    </xf>
    <xf numFmtId="3" fontId="25" fillId="2" borderId="138" xfId="4" applyNumberFormat="1" applyFont="1" applyFill="1" applyBorder="1" applyAlignment="1">
      <alignment horizontal="center" vertical="center" wrapText="1"/>
    </xf>
    <xf numFmtId="0" fontId="32" fillId="0" borderId="139" xfId="0" applyFont="1" applyBorder="1" applyAlignment="1">
      <alignment horizontal="center" vertical="center"/>
    </xf>
    <xf numFmtId="0" fontId="23" fillId="0" borderId="13" xfId="0" applyFont="1" applyBorder="1" applyAlignment="1">
      <alignment horizontal="center" vertical="center"/>
    </xf>
    <xf numFmtId="3" fontId="25" fillId="25" borderId="139" xfId="0" applyNumberFormat="1" applyFont="1" applyFill="1" applyBorder="1" applyAlignment="1">
      <alignment horizontal="center" vertical="center"/>
    </xf>
    <xf numFmtId="3" fontId="25" fillId="25" borderId="13" xfId="0" applyNumberFormat="1" applyFont="1" applyFill="1" applyBorder="1" applyAlignment="1">
      <alignment horizontal="center" vertical="center"/>
    </xf>
    <xf numFmtId="3" fontId="25" fillId="25" borderId="12" xfId="0" applyNumberFormat="1" applyFont="1" applyFill="1" applyBorder="1" applyAlignment="1">
      <alignment horizontal="center" vertical="center"/>
    </xf>
    <xf numFmtId="0" fontId="21" fillId="0" borderId="67" xfId="0" applyFont="1" applyFill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/>
    </xf>
    <xf numFmtId="0" fontId="26" fillId="0" borderId="26" xfId="0" applyFont="1" applyBorder="1" applyAlignment="1">
      <alignment horizontal="center" vertical="center"/>
    </xf>
    <xf numFmtId="0" fontId="26" fillId="0" borderId="68" xfId="0" applyFont="1" applyBorder="1" applyAlignment="1">
      <alignment horizontal="center" vertical="center"/>
    </xf>
    <xf numFmtId="0" fontId="18" fillId="0" borderId="13" xfId="4" applyFont="1" applyFill="1" applyBorder="1" applyAlignment="1">
      <alignment horizontal="center" vertical="center" wrapText="1"/>
    </xf>
    <xf numFmtId="0" fontId="18" fillId="0" borderId="12" xfId="4" applyFont="1" applyFill="1" applyBorder="1" applyAlignment="1">
      <alignment horizontal="center" vertical="center" wrapText="1"/>
    </xf>
    <xf numFmtId="0" fontId="21" fillId="0" borderId="0" xfId="0" applyFont="1" applyBorder="1" applyAlignment="1">
      <alignment horizontal="center" vertical="top"/>
    </xf>
    <xf numFmtId="0" fontId="43" fillId="2" borderId="0" xfId="0" applyFont="1" applyFill="1" applyBorder="1" applyAlignment="1">
      <alignment horizontal="left" wrapText="1"/>
    </xf>
    <xf numFmtId="0" fontId="20" fillId="0" borderId="21" xfId="0" applyFont="1" applyBorder="1" applyAlignment="1">
      <alignment horizontal="center" vertical="center" wrapText="1"/>
    </xf>
    <xf numFmtId="0" fontId="21" fillId="0" borderId="14" xfId="0" applyFont="1" applyBorder="1" applyAlignment="1">
      <alignment horizontal="center" vertical="center" wrapText="1"/>
    </xf>
    <xf numFmtId="0" fontId="21" fillId="0" borderId="6" xfId="0" applyFont="1" applyBorder="1" applyAlignment="1">
      <alignment horizontal="center" vertical="center" wrapText="1"/>
    </xf>
    <xf numFmtId="0" fontId="21" fillId="0" borderId="20" xfId="0" applyFont="1" applyBorder="1" applyAlignment="1">
      <alignment horizontal="center" vertical="center" wrapText="1"/>
    </xf>
    <xf numFmtId="0" fontId="21" fillId="0" borderId="3" xfId="0" applyFont="1" applyBorder="1" applyAlignment="1">
      <alignment horizontal="center" vertical="center" wrapText="1"/>
    </xf>
    <xf numFmtId="0" fontId="21" fillId="0" borderId="0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0" fontId="17" fillId="0" borderId="4" xfId="4" applyFont="1" applyBorder="1" applyAlignment="1">
      <alignment horizontal="center" vertical="center" wrapText="1"/>
    </xf>
    <xf numFmtId="0" fontId="17" fillId="0" borderId="27" xfId="4" applyFont="1" applyBorder="1" applyAlignment="1">
      <alignment horizontal="center" vertical="center" wrapText="1"/>
    </xf>
    <xf numFmtId="0" fontId="17" fillId="0" borderId="9" xfId="4" applyFont="1" applyBorder="1" applyAlignment="1">
      <alignment horizontal="center" vertical="center" wrapText="1"/>
    </xf>
    <xf numFmtId="0" fontId="0" fillId="19" borderId="9" xfId="0" applyFont="1" applyFill="1" applyBorder="1" applyAlignment="1">
      <alignment horizontal="center" vertical="center" wrapText="1"/>
    </xf>
    <xf numFmtId="0" fontId="24" fillId="0" borderId="43" xfId="4" quotePrefix="1" applyFont="1" applyFill="1" applyBorder="1" applyAlignment="1">
      <alignment horizontal="center" vertical="center"/>
    </xf>
    <xf numFmtId="0" fontId="24" fillId="0" borderId="41" xfId="4" quotePrefix="1" applyFont="1" applyFill="1" applyBorder="1" applyAlignment="1">
      <alignment horizontal="center" vertical="center"/>
    </xf>
    <xf numFmtId="0" fontId="24" fillId="2" borderId="178" xfId="4" applyFont="1" applyFill="1" applyBorder="1" applyAlignment="1">
      <alignment horizontal="center" vertical="center" wrapText="1"/>
    </xf>
    <xf numFmtId="0" fontId="24" fillId="2" borderId="37" xfId="4" applyFont="1" applyFill="1" applyBorder="1" applyAlignment="1">
      <alignment horizontal="center" vertical="center" wrapText="1"/>
    </xf>
    <xf numFmtId="3" fontId="25" fillId="22" borderId="139" xfId="4" applyNumberFormat="1" applyFont="1" applyFill="1" applyBorder="1" applyAlignment="1">
      <alignment horizontal="center" vertical="center"/>
    </xf>
    <xf numFmtId="3" fontId="25" fillId="22" borderId="13" xfId="4" applyNumberFormat="1" applyFont="1" applyFill="1" applyBorder="1" applyAlignment="1">
      <alignment horizontal="center" vertical="center"/>
    </xf>
    <xf numFmtId="3" fontId="25" fillId="22" borderId="12" xfId="4" applyNumberFormat="1" applyFont="1" applyFill="1" applyBorder="1" applyAlignment="1">
      <alignment horizontal="center" vertical="center"/>
    </xf>
    <xf numFmtId="0" fontId="18" fillId="0" borderId="35" xfId="4" applyFont="1" applyFill="1" applyBorder="1" applyAlignment="1">
      <alignment horizontal="center" vertical="center" wrapText="1"/>
    </xf>
    <xf numFmtId="0" fontId="24" fillId="0" borderId="43" xfId="4" applyFont="1" applyFill="1" applyBorder="1" applyAlignment="1">
      <alignment horizontal="center" vertical="center"/>
    </xf>
    <xf numFmtId="0" fontId="24" fillId="0" borderId="41" xfId="4" applyFont="1" applyFill="1" applyBorder="1" applyAlignment="1">
      <alignment horizontal="center" vertical="center"/>
    </xf>
    <xf numFmtId="0" fontId="18" fillId="0" borderId="139" xfId="4" applyFont="1" applyFill="1" applyBorder="1" applyAlignment="1">
      <alignment horizontal="center" vertical="center" wrapText="1"/>
    </xf>
    <xf numFmtId="0" fontId="25" fillId="0" borderId="178" xfId="4" applyFont="1" applyFill="1" applyBorder="1" applyAlignment="1">
      <alignment horizontal="center" vertical="center" wrapText="1"/>
    </xf>
    <xf numFmtId="0" fontId="32" fillId="0" borderId="178" xfId="0" applyFont="1" applyFill="1" applyBorder="1" applyAlignment="1">
      <alignment horizontal="center" vertical="center" wrapText="1"/>
    </xf>
    <xf numFmtId="0" fontId="32" fillId="0" borderId="37" xfId="0" applyFont="1" applyFill="1" applyBorder="1" applyAlignment="1">
      <alignment horizontal="center" vertical="center" wrapText="1"/>
    </xf>
    <xf numFmtId="3" fontId="24" fillId="34" borderId="173" xfId="4" applyNumberFormat="1" applyFont="1" applyFill="1" applyBorder="1" applyAlignment="1">
      <alignment horizontal="center" vertical="center"/>
    </xf>
    <xf numFmtId="3" fontId="24" fillId="34" borderId="132" xfId="4" applyNumberFormat="1" applyFont="1" applyFill="1" applyBorder="1" applyAlignment="1">
      <alignment horizontal="center" vertical="center"/>
    </xf>
    <xf numFmtId="0" fontId="24" fillId="0" borderId="46" xfId="4" applyFont="1" applyFill="1" applyBorder="1" applyAlignment="1">
      <alignment horizontal="center" vertical="center"/>
    </xf>
    <xf numFmtId="0" fontId="24" fillId="0" borderId="10" xfId="4" applyFont="1" applyFill="1" applyBorder="1" applyAlignment="1">
      <alignment horizontal="center" vertical="center"/>
    </xf>
    <xf numFmtId="0" fontId="24" fillId="0" borderId="74" xfId="4" applyFont="1" applyFill="1" applyBorder="1" applyAlignment="1">
      <alignment horizontal="center" vertical="center"/>
    </xf>
    <xf numFmtId="0" fontId="25" fillId="2" borderId="178" xfId="4" applyFont="1" applyFill="1" applyBorder="1" applyAlignment="1">
      <alignment horizontal="center" vertical="center" wrapText="1"/>
    </xf>
    <xf numFmtId="0" fontId="32" fillId="0" borderId="178" xfId="0" applyFont="1" applyBorder="1" applyAlignment="1">
      <alignment horizontal="center" wrapText="1"/>
    </xf>
    <xf numFmtId="0" fontId="32" fillId="0" borderId="174" xfId="0" applyFont="1" applyBorder="1" applyAlignment="1">
      <alignment horizontal="center" wrapText="1"/>
    </xf>
    <xf numFmtId="0" fontId="25" fillId="2" borderId="174" xfId="4" applyFont="1" applyFill="1" applyBorder="1" applyAlignment="1">
      <alignment horizontal="center" vertical="center" wrapText="1"/>
    </xf>
    <xf numFmtId="0" fontId="25" fillId="2" borderId="149" xfId="4" applyFont="1" applyFill="1" applyBorder="1" applyAlignment="1">
      <alignment horizontal="center" vertical="center" wrapText="1"/>
    </xf>
    <xf numFmtId="0" fontId="32" fillId="0" borderId="43" xfId="0" applyFont="1" applyBorder="1" applyAlignment="1">
      <alignment vertical="center" wrapText="1"/>
    </xf>
    <xf numFmtId="0" fontId="18" fillId="0" borderId="27" xfId="0" applyFont="1" applyFill="1" applyBorder="1" applyAlignment="1">
      <alignment horizontal="center" vertical="center" wrapText="1"/>
    </xf>
    <xf numFmtId="0" fontId="18" fillId="0" borderId="173" xfId="4" applyFont="1" applyFill="1" applyBorder="1" applyAlignment="1">
      <alignment horizontal="center" vertical="center" wrapText="1"/>
    </xf>
    <xf numFmtId="0" fontId="24" fillId="2" borderId="178" xfId="4" applyFont="1" applyFill="1" applyBorder="1" applyAlignment="1">
      <alignment horizontal="center" vertical="center" wrapText="1" shrinkToFit="1"/>
    </xf>
    <xf numFmtId="0" fontId="20" fillId="2" borderId="6" xfId="4" applyFont="1" applyFill="1" applyBorder="1" applyAlignment="1">
      <alignment horizontal="center" vertical="center" wrapText="1"/>
    </xf>
    <xf numFmtId="0" fontId="20" fillId="2" borderId="6" xfId="4" applyFont="1" applyFill="1" applyBorder="1" applyAlignment="1">
      <alignment horizontal="center" vertical="center" wrapText="1" shrinkToFit="1"/>
    </xf>
    <xf numFmtId="0" fontId="0" fillId="0" borderId="6" xfId="0" applyFont="1" applyBorder="1" applyAlignment="1">
      <alignment horizontal="center" wrapText="1" shrinkToFit="1"/>
    </xf>
    <xf numFmtId="0" fontId="21" fillId="0" borderId="13" xfId="4" applyFont="1" applyFill="1" applyBorder="1" applyAlignment="1">
      <alignment horizontal="center" vertical="center" wrapText="1"/>
    </xf>
    <xf numFmtId="0" fontId="25" fillId="2" borderId="6" xfId="4" applyFont="1" applyFill="1" applyBorder="1" applyAlignment="1">
      <alignment horizontal="center" vertical="center" wrapText="1" shrinkToFit="1"/>
    </xf>
    <xf numFmtId="0" fontId="18" fillId="0" borderId="27" xfId="4" applyFont="1" applyFill="1" applyBorder="1" applyAlignment="1">
      <alignment horizontal="center" vertical="center" wrapText="1"/>
    </xf>
    <xf numFmtId="0" fontId="32" fillId="0" borderId="178" xfId="0" applyFont="1" applyBorder="1" applyAlignment="1">
      <alignment horizontal="center" vertical="center" wrapText="1"/>
    </xf>
    <xf numFmtId="0" fontId="0" fillId="0" borderId="145" xfId="0" applyFont="1" applyBorder="1"/>
    <xf numFmtId="0" fontId="18" fillId="0" borderId="23" xfId="4" applyFont="1" applyFill="1" applyBorder="1" applyAlignment="1">
      <alignment horizontal="center" vertical="center" wrapText="1"/>
    </xf>
    <xf numFmtId="0" fontId="32" fillId="0" borderId="37" xfId="0" applyFont="1" applyBorder="1" applyAlignment="1">
      <alignment horizontal="center" vertical="center" wrapText="1"/>
    </xf>
    <xf numFmtId="3" fontId="25" fillId="22" borderId="184" xfId="4" applyNumberFormat="1" applyFont="1" applyFill="1" applyBorder="1" applyAlignment="1">
      <alignment horizontal="center" vertical="center"/>
    </xf>
    <xf numFmtId="0" fontId="25" fillId="2" borderId="22" xfId="4" applyFont="1" applyFill="1" applyBorder="1" applyAlignment="1">
      <alignment horizontal="center" vertical="center" wrapText="1"/>
    </xf>
    <xf numFmtId="3" fontId="24" fillId="34" borderId="184" xfId="4" applyNumberFormat="1" applyFont="1" applyFill="1" applyBorder="1" applyAlignment="1">
      <alignment horizontal="center" vertical="center"/>
    </xf>
    <xf numFmtId="3" fontId="24" fillId="34" borderId="13" xfId="4" applyNumberFormat="1" applyFont="1" applyFill="1" applyBorder="1" applyAlignment="1">
      <alignment horizontal="center" vertical="center"/>
    </xf>
    <xf numFmtId="3" fontId="24" fillId="34" borderId="12" xfId="4" applyNumberFormat="1" applyFont="1" applyFill="1" applyBorder="1" applyAlignment="1">
      <alignment horizontal="center" vertical="center"/>
    </xf>
    <xf numFmtId="0" fontId="18" fillId="0" borderId="4" xfId="4" applyFont="1" applyFill="1" applyBorder="1" applyAlignment="1">
      <alignment horizontal="center" vertical="center" wrapText="1"/>
    </xf>
    <xf numFmtId="0" fontId="0" fillId="0" borderId="183" xfId="0" applyFont="1" applyBorder="1"/>
    <xf numFmtId="0" fontId="25" fillId="2" borderId="92" xfId="4" applyFont="1" applyFill="1" applyBorder="1" applyAlignment="1">
      <alignment horizontal="center" vertical="center" wrapText="1"/>
    </xf>
    <xf numFmtId="0" fontId="18" fillId="0" borderId="46" xfId="0" applyFont="1" applyFill="1" applyBorder="1" applyAlignment="1">
      <alignment horizontal="center" vertical="center" wrapText="1"/>
    </xf>
    <xf numFmtId="0" fontId="18" fillId="0" borderId="0" xfId="0" applyFont="1" applyAlignment="1">
      <alignment horizontal="left" vertical="center" wrapText="1"/>
    </xf>
    <xf numFmtId="0" fontId="0" fillId="0" borderId="67" xfId="0" applyFont="1" applyBorder="1" applyAlignment="1">
      <alignment horizontal="center" vertical="center" wrapText="1"/>
    </xf>
    <xf numFmtId="0" fontId="0" fillId="0" borderId="67" xfId="0" applyFont="1" applyBorder="1" applyAlignment="1">
      <alignment vertical="center"/>
    </xf>
    <xf numFmtId="0" fontId="17" fillId="32" borderId="11" xfId="0" applyFont="1" applyFill="1" applyBorder="1" applyAlignment="1">
      <alignment horizontal="center" vertical="center" wrapText="1"/>
    </xf>
    <xf numFmtId="0" fontId="18" fillId="32" borderId="10" xfId="0" applyFont="1" applyFill="1" applyBorder="1" applyAlignment="1">
      <alignment horizontal="center" vertical="center" wrapText="1"/>
    </xf>
    <xf numFmtId="3" fontId="25" fillId="32" borderId="28" xfId="4" applyNumberFormat="1" applyFont="1" applyFill="1" applyBorder="1" applyAlignment="1">
      <alignment horizontal="center" vertical="center" wrapText="1"/>
    </xf>
    <xf numFmtId="0" fontId="32" fillId="32" borderId="28" xfId="0" applyFont="1" applyFill="1" applyBorder="1" applyAlignment="1">
      <alignment horizontal="center" vertical="center" wrapText="1"/>
    </xf>
    <xf numFmtId="0" fontId="25" fillId="2" borderId="124" xfId="4" applyFont="1" applyFill="1" applyBorder="1" applyAlignment="1">
      <alignment horizontal="center" vertical="center" wrapText="1"/>
    </xf>
    <xf numFmtId="3" fontId="24" fillId="26" borderId="131" xfId="4" applyNumberFormat="1" applyFont="1" applyFill="1" applyBorder="1" applyAlignment="1">
      <alignment horizontal="center" vertical="center"/>
    </xf>
    <xf numFmtId="0" fontId="17" fillId="0" borderId="25" xfId="0" applyFont="1" applyFill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/>
    </xf>
    <xf numFmtId="0" fontId="17" fillId="0" borderId="11" xfId="0" applyFont="1" applyBorder="1" applyAlignment="1">
      <alignment horizontal="center" vertical="center"/>
    </xf>
    <xf numFmtId="0" fontId="17" fillId="0" borderId="25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 wrapText="1"/>
    </xf>
    <xf numFmtId="0" fontId="20" fillId="0" borderId="26" xfId="0" applyFont="1" applyBorder="1" applyAlignment="1">
      <alignment horizontal="center" vertical="center" wrapText="1"/>
    </xf>
    <xf numFmtId="0" fontId="20" fillId="0" borderId="68" xfId="0" applyFont="1" applyBorder="1" applyAlignment="1">
      <alignment horizontal="center" vertical="center" wrapText="1"/>
    </xf>
    <xf numFmtId="0" fontId="0" fillId="0" borderId="26" xfId="0" applyFont="1" applyBorder="1" applyAlignment="1">
      <alignment vertical="center"/>
    </xf>
    <xf numFmtId="0" fontId="26" fillId="0" borderId="5" xfId="0" applyFont="1" applyBorder="1" applyAlignment="1">
      <alignment horizontal="center" vertical="center" wrapText="1"/>
    </xf>
    <xf numFmtId="0" fontId="26" fillId="0" borderId="11" xfId="0" applyFont="1" applyBorder="1" applyAlignment="1">
      <alignment horizontal="center" vertical="center" wrapText="1"/>
    </xf>
    <xf numFmtId="0" fontId="26" fillId="0" borderId="25" xfId="0" applyFont="1" applyBorder="1" applyAlignment="1">
      <alignment horizontal="center" vertical="center" wrapText="1"/>
    </xf>
    <xf numFmtId="0" fontId="0" fillId="0" borderId="69" xfId="0" applyFont="1" applyBorder="1" applyAlignment="1">
      <alignment vertical="center"/>
    </xf>
    <xf numFmtId="0" fontId="0" fillId="0" borderId="68" xfId="0" applyFont="1" applyBorder="1" applyAlignment="1">
      <alignment vertical="center"/>
    </xf>
    <xf numFmtId="0" fontId="32" fillId="0" borderId="27" xfId="0" applyFont="1" applyBorder="1" applyAlignment="1">
      <alignment horizontal="center" vertical="center" wrapText="1"/>
    </xf>
    <xf numFmtId="0" fontId="23" fillId="0" borderId="65" xfId="0" applyFont="1" applyBorder="1" applyAlignment="1">
      <alignment horizontal="center" vertical="center" wrapText="1"/>
    </xf>
    <xf numFmtId="0" fontId="23" fillId="0" borderId="23" xfId="0" applyFont="1" applyBorder="1" applyAlignment="1">
      <alignment horizontal="center" vertical="center" wrapText="1"/>
    </xf>
    <xf numFmtId="0" fontId="0" fillId="0" borderId="69" xfId="0" applyFont="1" applyBorder="1" applyAlignment="1">
      <alignment horizontal="center" vertical="center" wrapText="1"/>
    </xf>
    <xf numFmtId="3" fontId="25" fillId="2" borderId="26" xfId="4" applyNumberFormat="1" applyFont="1" applyFill="1" applyBorder="1" applyAlignment="1">
      <alignment horizontal="center" vertical="center" wrapText="1"/>
    </xf>
    <xf numFmtId="0" fontId="0" fillId="0" borderId="85" xfId="0" applyFont="1" applyBorder="1" applyAlignment="1">
      <alignment vertical="center"/>
    </xf>
    <xf numFmtId="0" fontId="25" fillId="2" borderId="86" xfId="4" applyFont="1" applyFill="1" applyBorder="1" applyAlignment="1">
      <alignment horizontal="center" vertical="center" wrapText="1"/>
    </xf>
    <xf numFmtId="0" fontId="32" fillId="0" borderId="68" xfId="0" applyFont="1" applyBorder="1" applyAlignment="1">
      <alignment horizontal="center" vertical="center" wrapText="1"/>
    </xf>
    <xf numFmtId="3" fontId="24" fillId="26" borderId="96" xfId="4" applyNumberFormat="1" applyFont="1" applyFill="1" applyBorder="1" applyAlignment="1">
      <alignment horizontal="center" vertical="center"/>
    </xf>
    <xf numFmtId="0" fontId="18" fillId="0" borderId="67" xfId="4" applyFont="1" applyFill="1" applyBorder="1" applyAlignment="1">
      <alignment horizontal="center" vertical="center" wrapText="1"/>
    </xf>
    <xf numFmtId="0" fontId="18" fillId="0" borderId="69" xfId="4" applyFont="1" applyFill="1" applyBorder="1" applyAlignment="1">
      <alignment horizontal="center" vertical="center" wrapText="1"/>
    </xf>
    <xf numFmtId="0" fontId="0" fillId="0" borderId="41" xfId="0" applyFont="1" applyBorder="1" applyAlignment="1">
      <alignment vertical="center"/>
    </xf>
    <xf numFmtId="3" fontId="17" fillId="26" borderId="96" xfId="4" applyNumberFormat="1" applyFont="1" applyFill="1" applyBorder="1" applyAlignment="1">
      <alignment horizontal="center" vertical="center"/>
    </xf>
    <xf numFmtId="3" fontId="17" fillId="26" borderId="13" xfId="4" applyNumberFormat="1" applyFont="1" applyFill="1" applyBorder="1" applyAlignment="1">
      <alignment horizontal="center" vertical="center"/>
    </xf>
    <xf numFmtId="3" fontId="17" fillId="26" borderId="12" xfId="4" applyNumberFormat="1" applyFont="1" applyFill="1" applyBorder="1" applyAlignment="1">
      <alignment horizontal="center" vertical="center"/>
    </xf>
    <xf numFmtId="3" fontId="17" fillId="26" borderId="184" xfId="4" applyNumberFormat="1" applyFont="1" applyFill="1" applyBorder="1" applyAlignment="1">
      <alignment horizontal="center" vertical="center"/>
    </xf>
    <xf numFmtId="3" fontId="24" fillId="26" borderId="139" xfId="4" applyNumberFormat="1" applyFont="1" applyFill="1" applyBorder="1" applyAlignment="1">
      <alignment horizontal="center" vertical="center"/>
    </xf>
    <xf numFmtId="2" fontId="17" fillId="0" borderId="5" xfId="4" applyNumberFormat="1" applyFont="1" applyFill="1" applyBorder="1" applyAlignment="1">
      <alignment horizontal="center" vertical="center"/>
    </xf>
    <xf numFmtId="2" fontId="4" fillId="0" borderId="11" xfId="112" applyNumberFormat="1" applyFont="1" applyBorder="1" applyAlignment="1">
      <alignment horizontal="center" vertical="center" wrapText="1"/>
    </xf>
    <xf numFmtId="2" fontId="4" fillId="0" borderId="25" xfId="112" applyNumberFormat="1" applyFont="1" applyBorder="1" applyAlignment="1">
      <alignment horizontal="center" vertical="center" wrapText="1"/>
    </xf>
    <xf numFmtId="0" fontId="17" fillId="0" borderId="5" xfId="112" applyFont="1" applyFill="1" applyBorder="1" applyAlignment="1">
      <alignment horizontal="center" vertical="center" wrapText="1"/>
    </xf>
    <xf numFmtId="0" fontId="17" fillId="0" borderId="11" xfId="112" applyFont="1" applyFill="1" applyBorder="1" applyAlignment="1">
      <alignment horizontal="center" vertical="center" wrapText="1"/>
    </xf>
    <xf numFmtId="0" fontId="17" fillId="0" borderId="25" xfId="112" applyFont="1" applyFill="1" applyBorder="1" applyAlignment="1">
      <alignment horizontal="center" vertical="center" wrapText="1"/>
    </xf>
    <xf numFmtId="0" fontId="18" fillId="0" borderId="66" xfId="112" applyFont="1" applyFill="1" applyBorder="1" applyAlignment="1">
      <alignment horizontal="center" vertical="center" wrapText="1"/>
    </xf>
    <xf numFmtId="0" fontId="18" fillId="0" borderId="67" xfId="112" applyFont="1" applyFill="1" applyBorder="1" applyAlignment="1">
      <alignment horizontal="center" vertical="center" wrapText="1"/>
    </xf>
    <xf numFmtId="0" fontId="4" fillId="0" borderId="67" xfId="112" applyFont="1" applyBorder="1" applyAlignment="1">
      <alignment horizontal="center" vertical="center" wrapText="1"/>
    </xf>
    <xf numFmtId="0" fontId="4" fillId="0" borderId="69" xfId="112" applyFont="1" applyBorder="1" applyAlignment="1">
      <alignment horizontal="center" vertical="center" wrapText="1"/>
    </xf>
    <xf numFmtId="0" fontId="32" fillId="0" borderId="6" xfId="112" applyFont="1" applyBorder="1" applyAlignment="1">
      <alignment horizontal="center" vertical="center" wrapText="1"/>
    </xf>
    <xf numFmtId="0" fontId="32" fillId="0" borderId="22" xfId="112" applyFont="1" applyBorder="1" applyAlignment="1">
      <alignment horizontal="center" vertical="center" wrapText="1"/>
    </xf>
    <xf numFmtId="0" fontId="4" fillId="0" borderId="11" xfId="112" applyFont="1" applyBorder="1" applyAlignment="1">
      <alignment vertical="center" wrapText="1"/>
    </xf>
    <xf numFmtId="0" fontId="4" fillId="0" borderId="25" xfId="112" applyFont="1" applyBorder="1" applyAlignment="1">
      <alignment vertical="center" wrapText="1"/>
    </xf>
    <xf numFmtId="0" fontId="67" fillId="0" borderId="42" xfId="0" applyFont="1" applyFill="1" applyBorder="1" applyAlignment="1">
      <alignment horizontal="center" vertical="center" wrapText="1"/>
    </xf>
    <xf numFmtId="0" fontId="67" fillId="0" borderId="43" xfId="0" applyFont="1" applyFill="1" applyBorder="1" applyAlignment="1">
      <alignment horizontal="center" vertical="center" wrapText="1"/>
    </xf>
    <xf numFmtId="0" fontId="68" fillId="0" borderId="41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16" fillId="2" borderId="24" xfId="112" applyFont="1" applyFill="1" applyBorder="1" applyAlignment="1">
      <alignment horizontal="left" vertical="center" wrapText="1"/>
    </xf>
    <xf numFmtId="0" fontId="20" fillId="0" borderId="5" xfId="112" applyFont="1" applyBorder="1" applyAlignment="1">
      <alignment horizontal="center" vertical="center" wrapText="1"/>
    </xf>
    <xf numFmtId="0" fontId="20" fillId="0" borderId="11" xfId="112" applyFont="1" applyBorder="1" applyAlignment="1">
      <alignment horizontal="center" vertical="center" wrapText="1"/>
    </xf>
    <xf numFmtId="0" fontId="20" fillId="0" borderId="25" xfId="112" applyFont="1" applyBorder="1" applyAlignment="1">
      <alignment horizontal="center" vertical="center" wrapText="1"/>
    </xf>
    <xf numFmtId="0" fontId="19" fillId="2" borderId="2" xfId="112" applyFont="1" applyFill="1" applyBorder="1" applyAlignment="1">
      <alignment horizontal="center" vertical="center" wrapText="1"/>
    </xf>
    <xf numFmtId="0" fontId="19" fillId="2" borderId="3" xfId="112" applyFont="1" applyFill="1" applyBorder="1" applyAlignment="1">
      <alignment horizontal="center" vertical="center" wrapText="1"/>
    </xf>
    <xf numFmtId="0" fontId="19" fillId="2" borderId="4" xfId="112" applyFont="1" applyFill="1" applyBorder="1" applyAlignment="1">
      <alignment horizontal="center" vertical="center" wrapText="1"/>
    </xf>
    <xf numFmtId="0" fontId="19" fillId="2" borderId="7" xfId="112" applyFont="1" applyFill="1" applyBorder="1" applyAlignment="1">
      <alignment horizontal="center" vertical="center" wrapText="1"/>
    </xf>
    <xf numFmtId="0" fontId="19" fillId="2" borderId="8" xfId="112" applyFont="1" applyFill="1" applyBorder="1" applyAlignment="1">
      <alignment horizontal="center" vertical="center" wrapText="1"/>
    </xf>
    <xf numFmtId="0" fontId="19" fillId="2" borderId="9" xfId="112" applyFont="1" applyFill="1" applyBorder="1" applyAlignment="1">
      <alignment horizontal="center" vertical="center" wrapText="1"/>
    </xf>
    <xf numFmtId="0" fontId="4" fillId="19" borderId="27" xfId="112" applyFont="1" applyFill="1" applyBorder="1" applyAlignment="1">
      <alignment horizontal="center" vertical="center" wrapText="1"/>
    </xf>
    <xf numFmtId="0" fontId="4" fillId="19" borderId="23" xfId="112" applyFont="1" applyFill="1" applyBorder="1" applyAlignment="1">
      <alignment horizontal="center" vertical="center" wrapText="1"/>
    </xf>
    <xf numFmtId="0" fontId="24" fillId="2" borderId="2" xfId="112" applyFont="1" applyFill="1" applyBorder="1" applyAlignment="1">
      <alignment horizontal="center" vertical="center" wrapText="1"/>
    </xf>
    <xf numFmtId="0" fontId="24" fillId="2" borderId="7" xfId="112" applyFont="1" applyFill="1" applyBorder="1" applyAlignment="1">
      <alignment horizontal="center" vertical="center" wrapText="1"/>
    </xf>
    <xf numFmtId="0" fontId="78" fillId="37" borderId="88" xfId="4" applyFont="1" applyFill="1" applyBorder="1" applyAlignment="1">
      <alignment horizontal="left" vertical="center"/>
    </xf>
    <xf numFmtId="0" fontId="71" fillId="37" borderId="50" xfId="0" applyFont="1" applyFill="1" applyBorder="1" applyAlignment="1">
      <alignment vertical="center"/>
    </xf>
    <xf numFmtId="0" fontId="78" fillId="6" borderId="88" xfId="4" applyFont="1" applyFill="1" applyBorder="1" applyAlignment="1">
      <alignment horizontal="left" vertical="center"/>
    </xf>
    <xf numFmtId="0" fontId="71" fillId="6" borderId="50" xfId="0" applyFont="1" applyFill="1" applyBorder="1" applyAlignment="1">
      <alignment vertical="center"/>
    </xf>
    <xf numFmtId="0" fontId="70" fillId="2" borderId="0" xfId="0" applyFont="1" applyFill="1" applyBorder="1" applyAlignment="1">
      <alignment horizontal="center" wrapText="1"/>
    </xf>
    <xf numFmtId="0" fontId="71" fillId="0" borderId="0" xfId="0" applyFont="1" applyAlignment="1">
      <alignment horizontal="center" wrapText="1"/>
    </xf>
    <xf numFmtId="0" fontId="73" fillId="2" borderId="1" xfId="0" applyFont="1" applyFill="1" applyBorder="1" applyAlignment="1">
      <alignment horizontal="center" vertical="center"/>
    </xf>
    <xf numFmtId="0" fontId="73" fillId="2" borderId="4" xfId="0" applyFont="1" applyFill="1" applyBorder="1" applyAlignment="1">
      <alignment horizontal="center" vertical="center"/>
    </xf>
    <xf numFmtId="0" fontId="73" fillId="2" borderId="26" xfId="0" applyFont="1" applyFill="1" applyBorder="1" applyAlignment="1">
      <alignment horizontal="center" vertical="center"/>
    </xf>
    <xf numFmtId="0" fontId="73" fillId="2" borderId="27" xfId="0" applyFont="1" applyFill="1" applyBorder="1" applyAlignment="1">
      <alignment horizontal="center" vertical="center"/>
    </xf>
    <xf numFmtId="0" fontId="73" fillId="2" borderId="68" xfId="0" applyFont="1" applyFill="1" applyBorder="1" applyAlignment="1">
      <alignment horizontal="center" vertical="center"/>
    </xf>
    <xf numFmtId="0" fontId="73" fillId="2" borderId="23" xfId="0" applyFont="1" applyFill="1" applyBorder="1" applyAlignment="1">
      <alignment horizontal="center" vertical="center"/>
    </xf>
    <xf numFmtId="0" fontId="73" fillId="0" borderId="2" xfId="0" applyFont="1" applyBorder="1" applyAlignment="1">
      <alignment horizontal="center" vertical="center" wrapText="1"/>
    </xf>
    <xf numFmtId="0" fontId="73" fillId="0" borderId="10" xfId="0" applyFont="1" applyBorder="1" applyAlignment="1">
      <alignment horizontal="center" vertical="center" wrapText="1"/>
    </xf>
    <xf numFmtId="0" fontId="73" fillId="0" borderId="42" xfId="0" applyFont="1" applyBorder="1" applyAlignment="1">
      <alignment horizontal="center" vertical="center" wrapText="1"/>
    </xf>
    <xf numFmtId="0" fontId="73" fillId="0" borderId="43" xfId="0" applyFont="1" applyBorder="1" applyAlignment="1">
      <alignment horizontal="center" vertical="center" wrapText="1"/>
    </xf>
    <xf numFmtId="0" fontId="76" fillId="0" borderId="68" xfId="0" applyFont="1" applyBorder="1" applyAlignment="1">
      <alignment horizontal="center" vertical="center"/>
    </xf>
    <xf numFmtId="0" fontId="76" fillId="0" borderId="23" xfId="0" applyFont="1" applyBorder="1" applyAlignment="1">
      <alignment horizontal="center" vertical="center"/>
    </xf>
    <xf numFmtId="0" fontId="74" fillId="0" borderId="2" xfId="0" applyFont="1" applyBorder="1" applyAlignment="1">
      <alignment horizontal="center" vertical="center" wrapText="1"/>
    </xf>
    <xf numFmtId="0" fontId="74" fillId="0" borderId="3" xfId="0" applyFont="1" applyBorder="1" applyAlignment="1">
      <alignment horizontal="center" vertical="center" wrapText="1"/>
    </xf>
    <xf numFmtId="0" fontId="74" fillId="0" borderId="7" xfId="0" applyFont="1" applyBorder="1" applyAlignment="1">
      <alignment horizontal="center" vertical="center" wrapText="1"/>
    </xf>
    <xf numFmtId="0" fontId="74" fillId="0" borderId="8" xfId="0" applyFont="1" applyBorder="1" applyAlignment="1">
      <alignment horizontal="center" vertical="center" wrapText="1"/>
    </xf>
    <xf numFmtId="0" fontId="73" fillId="2" borderId="3" xfId="0" applyFont="1" applyFill="1" applyBorder="1" applyAlignment="1">
      <alignment horizontal="center" vertical="center" wrapText="1"/>
    </xf>
    <xf numFmtId="0" fontId="73" fillId="2" borderId="4" xfId="0" applyFont="1" applyFill="1" applyBorder="1" applyAlignment="1">
      <alignment horizontal="center" vertical="center" wrapText="1"/>
    </xf>
    <xf numFmtId="0" fontId="73" fillId="2" borderId="8" xfId="0" applyFont="1" applyFill="1" applyBorder="1" applyAlignment="1">
      <alignment horizontal="center" vertical="center" wrapText="1"/>
    </xf>
    <xf numFmtId="0" fontId="73" fillId="2" borderId="9" xfId="0" applyFont="1" applyFill="1" applyBorder="1" applyAlignment="1">
      <alignment horizontal="center" vertical="center" wrapText="1"/>
    </xf>
    <xf numFmtId="0" fontId="74" fillId="2" borderId="2" xfId="0" applyFont="1" applyFill="1" applyBorder="1" applyAlignment="1">
      <alignment horizontal="center" vertical="center" wrapText="1"/>
    </xf>
    <xf numFmtId="0" fontId="74" fillId="2" borderId="3" xfId="0" applyFont="1" applyFill="1" applyBorder="1" applyAlignment="1">
      <alignment horizontal="center" vertical="center" wrapText="1"/>
    </xf>
    <xf numFmtId="0" fontId="74" fillId="2" borderId="4" xfId="0" applyFont="1" applyFill="1" applyBorder="1" applyAlignment="1">
      <alignment horizontal="center" vertical="center" wrapText="1"/>
    </xf>
    <xf numFmtId="0" fontId="74" fillId="2" borderId="7" xfId="0" applyFont="1" applyFill="1" applyBorder="1" applyAlignment="1">
      <alignment horizontal="center" vertical="center" wrapText="1"/>
    </xf>
    <xf numFmtId="0" fontId="74" fillId="2" borderId="8" xfId="0" applyFont="1" applyFill="1" applyBorder="1" applyAlignment="1">
      <alignment horizontal="center" vertical="center" wrapText="1"/>
    </xf>
    <xf numFmtId="0" fontId="74" fillId="2" borderId="9" xfId="0" applyFont="1" applyFill="1" applyBorder="1" applyAlignment="1">
      <alignment horizontal="center" vertical="center" wrapText="1"/>
    </xf>
    <xf numFmtId="0" fontId="78" fillId="6" borderId="88" xfId="4" applyFont="1" applyFill="1" applyBorder="1" applyAlignment="1">
      <alignment horizontal="left" vertical="center" wrapText="1"/>
    </xf>
    <xf numFmtId="0" fontId="71" fillId="6" borderId="50" xfId="0" applyFont="1" applyFill="1" applyBorder="1" applyAlignment="1">
      <alignment vertical="center" wrapText="1"/>
    </xf>
    <xf numFmtId="0" fontId="109" fillId="4" borderId="85" xfId="4" applyFont="1" applyFill="1" applyBorder="1" applyAlignment="1">
      <alignment horizontal="left" vertical="center"/>
    </xf>
    <xf numFmtId="0" fontId="110" fillId="4" borderId="9" xfId="0" applyFont="1" applyFill="1" applyBorder="1" applyAlignment="1">
      <alignment vertical="center"/>
    </xf>
    <xf numFmtId="0" fontId="109" fillId="6" borderId="84" xfId="4" applyFont="1" applyFill="1" applyBorder="1" applyAlignment="1">
      <alignment horizontal="left" vertical="center"/>
    </xf>
    <xf numFmtId="0" fontId="110" fillId="6" borderId="29" xfId="0" applyFont="1" applyFill="1" applyBorder="1" applyAlignment="1">
      <alignment vertical="center"/>
    </xf>
    <xf numFmtId="0" fontId="104" fillId="66" borderId="180" xfId="4" applyFont="1" applyFill="1" applyBorder="1" applyAlignment="1">
      <alignment horizontal="left" vertical="center"/>
    </xf>
    <xf numFmtId="0" fontId="42" fillId="66" borderId="174" xfId="0" applyFont="1" applyFill="1" applyBorder="1" applyAlignment="1">
      <alignment vertical="center"/>
    </xf>
    <xf numFmtId="0" fontId="109" fillId="6" borderId="85" xfId="4" applyFont="1" applyFill="1" applyBorder="1" applyAlignment="1">
      <alignment horizontal="left" vertical="center"/>
    </xf>
    <xf numFmtId="0" fontId="110" fillId="6" borderId="9" xfId="0" applyFont="1" applyFill="1" applyBorder="1" applyAlignment="1">
      <alignment vertical="center"/>
    </xf>
    <xf numFmtId="0" fontId="109" fillId="66" borderId="180" xfId="4" applyFont="1" applyFill="1" applyBorder="1" applyAlignment="1">
      <alignment horizontal="left" vertical="center"/>
    </xf>
    <xf numFmtId="0" fontId="110" fillId="66" borderId="174" xfId="0" applyFont="1" applyFill="1" applyBorder="1" applyAlignment="1">
      <alignment vertical="center"/>
    </xf>
    <xf numFmtId="0" fontId="78" fillId="37" borderId="68" xfId="4" applyFont="1" applyFill="1" applyBorder="1" applyAlignment="1">
      <alignment horizontal="left" vertical="center" wrapText="1"/>
    </xf>
    <xf numFmtId="0" fontId="71" fillId="37" borderId="23" xfId="0" applyFont="1" applyFill="1" applyBorder="1" applyAlignment="1">
      <alignment vertical="center" wrapText="1"/>
    </xf>
    <xf numFmtId="0" fontId="78" fillId="37" borderId="88" xfId="4" applyFont="1" applyFill="1" applyBorder="1" applyAlignment="1">
      <alignment horizontal="left" vertical="center" wrapText="1"/>
    </xf>
    <xf numFmtId="0" fontId="71" fillId="37" borderId="50" xfId="0" applyFont="1" applyFill="1" applyBorder="1" applyAlignment="1">
      <alignment vertical="center" wrapText="1"/>
    </xf>
    <xf numFmtId="0" fontId="82" fillId="0" borderId="1" xfId="4" applyFont="1" applyFill="1" applyBorder="1" applyAlignment="1">
      <alignment horizontal="center" vertical="center" wrapText="1"/>
    </xf>
    <xf numFmtId="0" fontId="82" fillId="0" borderId="4" xfId="4" applyFont="1" applyFill="1" applyBorder="1" applyAlignment="1">
      <alignment horizontal="center" vertical="center" wrapText="1"/>
    </xf>
    <xf numFmtId="0" fontId="81" fillId="37" borderId="88" xfId="0" applyFont="1" applyFill="1" applyBorder="1" applyAlignment="1">
      <alignment horizontal="left" vertical="center"/>
    </xf>
    <xf numFmtId="0" fontId="81" fillId="37" borderId="50" xfId="0" applyFont="1" applyFill="1" applyBorder="1" applyAlignment="1">
      <alignment horizontal="left" vertical="center"/>
    </xf>
  </cellXfs>
  <cellStyles count="847">
    <cellStyle name="Dziesiętny" xfId="1" builtinId="3"/>
    <cellStyle name="Dziesiętny 2" xfId="7"/>
    <cellStyle name="Dziesiętny 3" xfId="8"/>
    <cellStyle name="Dziesiętny 3 2" xfId="9"/>
    <cellStyle name="Dziesiętny 4" xfId="10"/>
    <cellStyle name="Dziesiętny 4 2" xfId="11"/>
    <cellStyle name="Hiperłącze 2" xfId="12"/>
    <cellStyle name="Normalny" xfId="0" builtinId="0"/>
    <cellStyle name="Normalny 2" xfId="5"/>
    <cellStyle name="Normalny 2 2" xfId="13"/>
    <cellStyle name="Normalny 2 2 2" xfId="14"/>
    <cellStyle name="Normalny 2 2 2 2" xfId="15"/>
    <cellStyle name="Normalny 2 3" xfId="16"/>
    <cellStyle name="Normalny 2 4" xfId="17"/>
    <cellStyle name="Normalny 3" xfId="18"/>
    <cellStyle name="Normalny 3 2" xfId="19"/>
    <cellStyle name="Normalny 3 3" xfId="115"/>
    <cellStyle name="Normalny 3 4" xfId="160"/>
    <cellStyle name="Normalny 3 4 2" xfId="526"/>
    <cellStyle name="Normalny 3 5" xfId="482"/>
    <cellStyle name="Normalny 4" xfId="20"/>
    <cellStyle name="Normalny 5" xfId="21"/>
    <cellStyle name="Normalny 6" xfId="22"/>
    <cellStyle name="Normalny 7" xfId="112"/>
    <cellStyle name="Normalny 7 2" xfId="229"/>
    <cellStyle name="Normalny 8" xfId="152"/>
    <cellStyle name="Normalny_INFO dot  spłaty poręczonych kredytów spzoz wg stanu na 12 07 2010" xfId="3"/>
    <cellStyle name="Normalny_INFO dot  spłaty poręczonych kredytów spzoz wg stanu na 12 07 2010 2" xfId="113"/>
    <cellStyle name="Normalny_Kopia WPI_zest_u_marszal_05_09_06_nowe" xfId="4"/>
    <cellStyle name="Normalny_WPI Drogi i Transport 2007-2010_DIN" xfId="6"/>
    <cellStyle name="Normalny_WPI Drogi i Transport 2007-2010_DIN 2" xfId="114"/>
    <cellStyle name="Procentowy" xfId="2" builtinId="5"/>
    <cellStyle name="Procentowy 2" xfId="23"/>
    <cellStyle name="Procentowy 3" xfId="24"/>
    <cellStyle name="Procentowy 3 2" xfId="25"/>
    <cellStyle name="Procentowy 4" xfId="26"/>
    <cellStyle name="Procentowy 4 2" xfId="27"/>
    <cellStyle name="S0" xfId="28"/>
    <cellStyle name="S1" xfId="29"/>
    <cellStyle name="S10" xfId="30"/>
    <cellStyle name="S11" xfId="31"/>
    <cellStyle name="S12" xfId="32"/>
    <cellStyle name="S13" xfId="33"/>
    <cellStyle name="S14" xfId="34"/>
    <cellStyle name="S15" xfId="35"/>
    <cellStyle name="S16" xfId="36"/>
    <cellStyle name="S17" xfId="37"/>
    <cellStyle name="S18" xfId="38"/>
    <cellStyle name="S19" xfId="39"/>
    <cellStyle name="S2" xfId="40"/>
    <cellStyle name="S20" xfId="41"/>
    <cellStyle name="S21" xfId="42"/>
    <cellStyle name="S22" xfId="43"/>
    <cellStyle name="S23" xfId="44"/>
    <cellStyle name="S24" xfId="45"/>
    <cellStyle name="S25" xfId="46"/>
    <cellStyle name="S26" xfId="47"/>
    <cellStyle name="S27" xfId="48"/>
    <cellStyle name="S28" xfId="49"/>
    <cellStyle name="S29" xfId="50"/>
    <cellStyle name="S3" xfId="51"/>
    <cellStyle name="S30" xfId="52"/>
    <cellStyle name="S31" xfId="53"/>
    <cellStyle name="S32" xfId="54"/>
    <cellStyle name="S33" xfId="55"/>
    <cellStyle name="S34" xfId="56"/>
    <cellStyle name="S35" xfId="57"/>
    <cellStyle name="S36" xfId="58"/>
    <cellStyle name="S37" xfId="59"/>
    <cellStyle name="S38" xfId="60"/>
    <cellStyle name="S39" xfId="61"/>
    <cellStyle name="S4" xfId="62"/>
    <cellStyle name="S40" xfId="63"/>
    <cellStyle name="S41" xfId="64"/>
    <cellStyle name="S42" xfId="65"/>
    <cellStyle name="S43" xfId="66"/>
    <cellStyle name="S44" xfId="67"/>
    <cellStyle name="S5" xfId="68"/>
    <cellStyle name="S6" xfId="69"/>
    <cellStyle name="S7" xfId="70"/>
    <cellStyle name="S8" xfId="71"/>
    <cellStyle name="S9" xfId="72"/>
    <cellStyle name="SAPBEXaggData" xfId="73"/>
    <cellStyle name="SAPBEXaggData 2" xfId="116"/>
    <cellStyle name="SAPBEXaggData 2 2" xfId="230"/>
    <cellStyle name="SAPBEXaggData 2 2 2" xfId="595"/>
    <cellStyle name="SAPBEXaggData 2 3" xfId="303"/>
    <cellStyle name="SAPBEXaggData 2 3 2" xfId="668"/>
    <cellStyle name="SAPBEXaggData 2 4" xfId="371"/>
    <cellStyle name="SAPBEXaggData 2 4 2" xfId="736"/>
    <cellStyle name="SAPBEXaggData 2 5" xfId="340"/>
    <cellStyle name="SAPBEXaggData 2 5 2" xfId="705"/>
    <cellStyle name="SAPBEXaggData 2 6" xfId="411"/>
    <cellStyle name="SAPBEXaggData 2 6 2" xfId="776"/>
    <cellStyle name="SAPBEXaggData 2 7" xfId="186"/>
    <cellStyle name="SAPBEXaggData 2 7 2" xfId="552"/>
    <cellStyle name="SAPBEXaggData 2 8" xfId="483"/>
    <cellStyle name="SAPBEXaggData 3" xfId="192"/>
    <cellStyle name="SAPBEXaggData 3 2" xfId="558"/>
    <cellStyle name="SAPBEXaggData 4" xfId="157"/>
    <cellStyle name="SAPBEXaggData 4 2" xfId="523"/>
    <cellStyle name="SAPBEXaggData 5" xfId="161"/>
    <cellStyle name="SAPBEXaggData 5 2" xfId="527"/>
    <cellStyle name="SAPBEXaggDataEmph" xfId="74"/>
    <cellStyle name="SAPBEXaggDataEmph 2" xfId="117"/>
    <cellStyle name="SAPBEXaggDataEmph 2 2" xfId="231"/>
    <cellStyle name="SAPBEXaggDataEmph 2 2 2" xfId="596"/>
    <cellStyle name="SAPBEXaggDataEmph 2 3" xfId="304"/>
    <cellStyle name="SAPBEXaggDataEmph 2 3 2" xfId="669"/>
    <cellStyle name="SAPBEXaggDataEmph 2 4" xfId="372"/>
    <cellStyle name="SAPBEXaggDataEmph 2 4 2" xfId="737"/>
    <cellStyle name="SAPBEXaggDataEmph 2 5" xfId="341"/>
    <cellStyle name="SAPBEXaggDataEmph 2 5 2" xfId="706"/>
    <cellStyle name="SAPBEXaggDataEmph 2 6" xfId="412"/>
    <cellStyle name="SAPBEXaggDataEmph 2 6 2" xfId="777"/>
    <cellStyle name="SAPBEXaggDataEmph 2 7" xfId="447"/>
    <cellStyle name="SAPBEXaggDataEmph 2 7 2" xfId="812"/>
    <cellStyle name="SAPBEXaggDataEmph 2 8" xfId="484"/>
    <cellStyle name="SAPBEXaggDataEmph 3" xfId="193"/>
    <cellStyle name="SAPBEXaggDataEmph 3 2" xfId="559"/>
    <cellStyle name="SAPBEXaggDataEmph 4" xfId="156"/>
    <cellStyle name="SAPBEXaggDataEmph 4 2" xfId="522"/>
    <cellStyle name="SAPBEXaggDataEmph 5" xfId="162"/>
    <cellStyle name="SAPBEXaggDataEmph 5 2" xfId="528"/>
    <cellStyle name="SAPBEXaggItem" xfId="75"/>
    <cellStyle name="SAPBEXaggItem 2" xfId="118"/>
    <cellStyle name="SAPBEXaggItem 2 2" xfId="232"/>
    <cellStyle name="SAPBEXaggItem 2 2 2" xfId="597"/>
    <cellStyle name="SAPBEXaggItem 2 3" xfId="305"/>
    <cellStyle name="SAPBEXaggItem 2 3 2" xfId="670"/>
    <cellStyle name="SAPBEXaggItem 2 4" xfId="373"/>
    <cellStyle name="SAPBEXaggItem 2 4 2" xfId="738"/>
    <cellStyle name="SAPBEXaggItem 2 5" xfId="342"/>
    <cellStyle name="SAPBEXaggItem 2 5 2" xfId="707"/>
    <cellStyle name="SAPBEXaggItem 2 6" xfId="413"/>
    <cellStyle name="SAPBEXaggItem 2 6 2" xfId="778"/>
    <cellStyle name="SAPBEXaggItem 2 7" xfId="448"/>
    <cellStyle name="SAPBEXaggItem 2 7 2" xfId="813"/>
    <cellStyle name="SAPBEXaggItem 2 8" xfId="485"/>
    <cellStyle name="SAPBEXaggItem 3" xfId="194"/>
    <cellStyle name="SAPBEXaggItem 3 2" xfId="560"/>
    <cellStyle name="SAPBEXaggItem 4" xfId="155"/>
    <cellStyle name="SAPBEXaggItem 4 2" xfId="521"/>
    <cellStyle name="SAPBEXaggItem 5" xfId="163"/>
    <cellStyle name="SAPBEXaggItem 5 2" xfId="529"/>
    <cellStyle name="SAPBEXaggItemX" xfId="76"/>
    <cellStyle name="SAPBEXaggItemX 2" xfId="119"/>
    <cellStyle name="SAPBEXaggItemX 2 2" xfId="233"/>
    <cellStyle name="SAPBEXaggItemX 2 2 2" xfId="598"/>
    <cellStyle name="SAPBEXaggItemX 2 3" xfId="306"/>
    <cellStyle name="SAPBEXaggItemX 2 3 2" xfId="671"/>
    <cellStyle name="SAPBEXaggItemX 2 4" xfId="374"/>
    <cellStyle name="SAPBEXaggItemX 2 4 2" xfId="739"/>
    <cellStyle name="SAPBEXaggItemX 2 5" xfId="343"/>
    <cellStyle name="SAPBEXaggItemX 2 5 2" xfId="708"/>
    <cellStyle name="SAPBEXaggItemX 2 6" xfId="414"/>
    <cellStyle name="SAPBEXaggItemX 2 6 2" xfId="779"/>
    <cellStyle name="SAPBEXaggItemX 2 7" xfId="449"/>
    <cellStyle name="SAPBEXaggItemX 2 7 2" xfId="814"/>
    <cellStyle name="SAPBEXaggItemX 2 8" xfId="486"/>
    <cellStyle name="SAPBEXaggItemX 3" xfId="195"/>
    <cellStyle name="SAPBEXaggItemX 3 2" xfId="561"/>
    <cellStyle name="SAPBEXaggItemX 4" xfId="153"/>
    <cellStyle name="SAPBEXaggItemX 4 2" xfId="519"/>
    <cellStyle name="SAPBEXaggItemX 5" xfId="164"/>
    <cellStyle name="SAPBEXaggItemX 5 2" xfId="530"/>
    <cellStyle name="SAPBEXchaText" xfId="77"/>
    <cellStyle name="SAPBEXchaText 2" xfId="120"/>
    <cellStyle name="SAPBEXchaText 2 2" xfId="234"/>
    <cellStyle name="SAPBEXchaText 2 2 2" xfId="599"/>
    <cellStyle name="SAPBEXchaText 2 3" xfId="307"/>
    <cellStyle name="SAPBEXchaText 2 3 2" xfId="672"/>
    <cellStyle name="SAPBEXchaText 2 4" xfId="375"/>
    <cellStyle name="SAPBEXchaText 2 4 2" xfId="740"/>
    <cellStyle name="SAPBEXchaText 2 5" xfId="344"/>
    <cellStyle name="SAPBEXchaText 2 5 2" xfId="709"/>
    <cellStyle name="SAPBEXchaText 2 6" xfId="415"/>
    <cellStyle name="SAPBEXchaText 2 6 2" xfId="780"/>
    <cellStyle name="SAPBEXchaText 2 7" xfId="450"/>
    <cellStyle name="SAPBEXchaText 2 7 2" xfId="815"/>
    <cellStyle name="SAPBEXchaText 2 8" xfId="487"/>
    <cellStyle name="SAPBEXchaText 3" xfId="196"/>
    <cellStyle name="SAPBEXchaText 3 2" xfId="562"/>
    <cellStyle name="SAPBEXchaText 4" xfId="266"/>
    <cellStyle name="SAPBEXchaText 4 2" xfId="631"/>
    <cellStyle name="SAPBEXchaText 5" xfId="165"/>
    <cellStyle name="SAPBEXchaText 5 2" xfId="531"/>
    <cellStyle name="SAPBEXexcBad7" xfId="78"/>
    <cellStyle name="SAPBEXexcBad7 2" xfId="121"/>
    <cellStyle name="SAPBEXexcBad7 2 2" xfId="235"/>
    <cellStyle name="SAPBEXexcBad7 2 2 2" xfId="600"/>
    <cellStyle name="SAPBEXexcBad7 2 3" xfId="308"/>
    <cellStyle name="SAPBEXexcBad7 2 3 2" xfId="673"/>
    <cellStyle name="SAPBEXexcBad7 2 4" xfId="376"/>
    <cellStyle name="SAPBEXexcBad7 2 4 2" xfId="741"/>
    <cellStyle name="SAPBEXexcBad7 2 5" xfId="345"/>
    <cellStyle name="SAPBEXexcBad7 2 5 2" xfId="710"/>
    <cellStyle name="SAPBEXexcBad7 2 6" xfId="416"/>
    <cellStyle name="SAPBEXexcBad7 2 6 2" xfId="781"/>
    <cellStyle name="SAPBEXexcBad7 2 7" xfId="451"/>
    <cellStyle name="SAPBEXexcBad7 2 7 2" xfId="816"/>
    <cellStyle name="SAPBEXexcBad7 2 8" xfId="488"/>
    <cellStyle name="SAPBEXexcBad7 3" xfId="197"/>
    <cellStyle name="SAPBEXexcBad7 3 2" xfId="563"/>
    <cellStyle name="SAPBEXexcBad7 4" xfId="267"/>
    <cellStyle name="SAPBEXexcBad7 4 2" xfId="632"/>
    <cellStyle name="SAPBEXexcBad7 5" xfId="166"/>
    <cellStyle name="SAPBEXexcBad7 5 2" xfId="532"/>
    <cellStyle name="SAPBEXexcBad8" xfId="79"/>
    <cellStyle name="SAPBEXexcBad8 2" xfId="122"/>
    <cellStyle name="SAPBEXexcBad8 2 2" xfId="236"/>
    <cellStyle name="SAPBEXexcBad8 2 2 2" xfId="601"/>
    <cellStyle name="SAPBEXexcBad8 2 3" xfId="309"/>
    <cellStyle name="SAPBEXexcBad8 2 3 2" xfId="674"/>
    <cellStyle name="SAPBEXexcBad8 2 4" xfId="377"/>
    <cellStyle name="SAPBEXexcBad8 2 4 2" xfId="742"/>
    <cellStyle name="SAPBEXexcBad8 2 5" xfId="346"/>
    <cellStyle name="SAPBEXexcBad8 2 5 2" xfId="711"/>
    <cellStyle name="SAPBEXexcBad8 2 6" xfId="417"/>
    <cellStyle name="SAPBEXexcBad8 2 6 2" xfId="782"/>
    <cellStyle name="SAPBEXexcBad8 2 7" xfId="452"/>
    <cellStyle name="SAPBEXexcBad8 2 7 2" xfId="817"/>
    <cellStyle name="SAPBEXexcBad8 2 8" xfId="489"/>
    <cellStyle name="SAPBEXexcBad8 3" xfId="198"/>
    <cellStyle name="SAPBEXexcBad8 3 2" xfId="564"/>
    <cellStyle name="SAPBEXexcBad8 4" xfId="268"/>
    <cellStyle name="SAPBEXexcBad8 4 2" xfId="633"/>
    <cellStyle name="SAPBEXexcBad8 5" xfId="167"/>
    <cellStyle name="SAPBEXexcBad8 5 2" xfId="533"/>
    <cellStyle name="SAPBEXexcBad9" xfId="80"/>
    <cellStyle name="SAPBEXexcBad9 2" xfId="123"/>
    <cellStyle name="SAPBEXexcBad9 2 2" xfId="237"/>
    <cellStyle name="SAPBEXexcBad9 2 2 2" xfId="602"/>
    <cellStyle name="SAPBEXexcBad9 2 3" xfId="310"/>
    <cellStyle name="SAPBEXexcBad9 2 3 2" xfId="675"/>
    <cellStyle name="SAPBEXexcBad9 2 4" xfId="378"/>
    <cellStyle name="SAPBEXexcBad9 2 4 2" xfId="743"/>
    <cellStyle name="SAPBEXexcBad9 2 5" xfId="368"/>
    <cellStyle name="SAPBEXexcBad9 2 5 2" xfId="733"/>
    <cellStyle name="SAPBEXexcBad9 2 6" xfId="418"/>
    <cellStyle name="SAPBEXexcBad9 2 6 2" xfId="783"/>
    <cellStyle name="SAPBEXexcBad9 2 7" xfId="453"/>
    <cellStyle name="SAPBEXexcBad9 2 7 2" xfId="818"/>
    <cellStyle name="SAPBEXexcBad9 2 8" xfId="490"/>
    <cellStyle name="SAPBEXexcBad9 3" xfId="199"/>
    <cellStyle name="SAPBEXexcBad9 3 2" xfId="565"/>
    <cellStyle name="SAPBEXexcBad9 4" xfId="269"/>
    <cellStyle name="SAPBEXexcBad9 4 2" xfId="634"/>
    <cellStyle name="SAPBEXexcBad9 5" xfId="168"/>
    <cellStyle name="SAPBEXexcBad9 5 2" xfId="534"/>
    <cellStyle name="SAPBEXexcCritical4" xfId="81"/>
    <cellStyle name="SAPBEXexcCritical4 2" xfId="124"/>
    <cellStyle name="SAPBEXexcCritical4 2 2" xfId="238"/>
    <cellStyle name="SAPBEXexcCritical4 2 2 2" xfId="603"/>
    <cellStyle name="SAPBEXexcCritical4 2 3" xfId="311"/>
    <cellStyle name="SAPBEXexcCritical4 2 3 2" xfId="676"/>
    <cellStyle name="SAPBEXexcCritical4 2 4" xfId="379"/>
    <cellStyle name="SAPBEXexcCritical4 2 4 2" xfId="744"/>
    <cellStyle name="SAPBEXexcCritical4 2 5" xfId="154"/>
    <cellStyle name="SAPBEXexcCritical4 2 5 2" xfId="520"/>
    <cellStyle name="SAPBEXexcCritical4 2 6" xfId="419"/>
    <cellStyle name="SAPBEXexcCritical4 2 6 2" xfId="784"/>
    <cellStyle name="SAPBEXexcCritical4 2 7" xfId="454"/>
    <cellStyle name="SAPBEXexcCritical4 2 7 2" xfId="819"/>
    <cellStyle name="SAPBEXexcCritical4 2 8" xfId="491"/>
    <cellStyle name="SAPBEXexcCritical4 3" xfId="200"/>
    <cellStyle name="SAPBEXexcCritical4 3 2" xfId="566"/>
    <cellStyle name="SAPBEXexcCritical4 4" xfId="270"/>
    <cellStyle name="SAPBEXexcCritical4 4 2" xfId="635"/>
    <cellStyle name="SAPBEXexcCritical4 5" xfId="169"/>
    <cellStyle name="SAPBEXexcCritical4 5 2" xfId="535"/>
    <cellStyle name="SAPBEXexcCritical5" xfId="82"/>
    <cellStyle name="SAPBEXexcCritical5 2" xfId="125"/>
    <cellStyle name="SAPBEXexcCritical5 2 2" xfId="239"/>
    <cellStyle name="SAPBEXexcCritical5 2 2 2" xfId="604"/>
    <cellStyle name="SAPBEXexcCritical5 2 3" xfId="312"/>
    <cellStyle name="SAPBEXexcCritical5 2 3 2" xfId="677"/>
    <cellStyle name="SAPBEXexcCritical5 2 4" xfId="380"/>
    <cellStyle name="SAPBEXexcCritical5 2 4 2" xfId="745"/>
    <cellStyle name="SAPBEXexcCritical5 2 5" xfId="364"/>
    <cellStyle name="SAPBEXexcCritical5 2 5 2" xfId="729"/>
    <cellStyle name="SAPBEXexcCritical5 2 6" xfId="420"/>
    <cellStyle name="SAPBEXexcCritical5 2 6 2" xfId="785"/>
    <cellStyle name="SAPBEXexcCritical5 2 7" xfId="455"/>
    <cellStyle name="SAPBEXexcCritical5 2 7 2" xfId="820"/>
    <cellStyle name="SAPBEXexcCritical5 2 8" xfId="492"/>
    <cellStyle name="SAPBEXexcCritical5 3" xfId="201"/>
    <cellStyle name="SAPBEXexcCritical5 3 2" xfId="567"/>
    <cellStyle name="SAPBEXexcCritical5 4" xfId="271"/>
    <cellStyle name="SAPBEXexcCritical5 4 2" xfId="636"/>
    <cellStyle name="SAPBEXexcCritical5 5" xfId="170"/>
    <cellStyle name="SAPBEXexcCritical5 5 2" xfId="536"/>
    <cellStyle name="SAPBEXexcCritical6" xfId="83"/>
    <cellStyle name="SAPBEXexcCritical6 2" xfId="126"/>
    <cellStyle name="SAPBEXexcCritical6 2 2" xfId="240"/>
    <cellStyle name="SAPBEXexcCritical6 2 2 2" xfId="605"/>
    <cellStyle name="SAPBEXexcCritical6 2 3" xfId="313"/>
    <cellStyle name="SAPBEXexcCritical6 2 3 2" xfId="678"/>
    <cellStyle name="SAPBEXexcCritical6 2 4" xfId="381"/>
    <cellStyle name="SAPBEXexcCritical6 2 4 2" xfId="746"/>
    <cellStyle name="SAPBEXexcCritical6 2 5" xfId="366"/>
    <cellStyle name="SAPBEXexcCritical6 2 5 2" xfId="731"/>
    <cellStyle name="SAPBEXexcCritical6 2 6" xfId="421"/>
    <cellStyle name="SAPBEXexcCritical6 2 6 2" xfId="786"/>
    <cellStyle name="SAPBEXexcCritical6 2 7" xfId="456"/>
    <cellStyle name="SAPBEXexcCritical6 2 7 2" xfId="821"/>
    <cellStyle name="SAPBEXexcCritical6 2 8" xfId="493"/>
    <cellStyle name="SAPBEXexcCritical6 3" xfId="202"/>
    <cellStyle name="SAPBEXexcCritical6 3 2" xfId="568"/>
    <cellStyle name="SAPBEXexcCritical6 4" xfId="272"/>
    <cellStyle name="SAPBEXexcCritical6 4 2" xfId="637"/>
    <cellStyle name="SAPBEXexcCritical6 5" xfId="171"/>
    <cellStyle name="SAPBEXexcCritical6 5 2" xfId="537"/>
    <cellStyle name="SAPBEXexcGood1" xfId="84"/>
    <cellStyle name="SAPBEXexcGood1 2" xfId="127"/>
    <cellStyle name="SAPBEXexcGood1 2 2" xfId="241"/>
    <cellStyle name="SAPBEXexcGood1 2 2 2" xfId="606"/>
    <cellStyle name="SAPBEXexcGood1 2 3" xfId="314"/>
    <cellStyle name="SAPBEXexcGood1 2 3 2" xfId="679"/>
    <cellStyle name="SAPBEXexcGood1 2 4" xfId="382"/>
    <cellStyle name="SAPBEXexcGood1 2 4 2" xfId="747"/>
    <cellStyle name="SAPBEXexcGood1 2 5" xfId="158"/>
    <cellStyle name="SAPBEXexcGood1 2 5 2" xfId="524"/>
    <cellStyle name="SAPBEXexcGood1 2 6" xfId="422"/>
    <cellStyle name="SAPBEXexcGood1 2 6 2" xfId="787"/>
    <cellStyle name="SAPBEXexcGood1 2 7" xfId="457"/>
    <cellStyle name="SAPBEXexcGood1 2 7 2" xfId="822"/>
    <cellStyle name="SAPBEXexcGood1 2 8" xfId="494"/>
    <cellStyle name="SAPBEXexcGood1 3" xfId="203"/>
    <cellStyle name="SAPBEXexcGood1 3 2" xfId="569"/>
    <cellStyle name="SAPBEXexcGood1 4" xfId="273"/>
    <cellStyle name="SAPBEXexcGood1 4 2" xfId="638"/>
    <cellStyle name="SAPBEXexcGood1 5" xfId="172"/>
    <cellStyle name="SAPBEXexcGood1 5 2" xfId="538"/>
    <cellStyle name="SAPBEXexcGood2" xfId="85"/>
    <cellStyle name="SAPBEXexcGood2 2" xfId="128"/>
    <cellStyle name="SAPBEXexcGood2 2 2" xfId="242"/>
    <cellStyle name="SAPBEXexcGood2 2 2 2" xfId="607"/>
    <cellStyle name="SAPBEXexcGood2 2 3" xfId="315"/>
    <cellStyle name="SAPBEXexcGood2 2 3 2" xfId="680"/>
    <cellStyle name="SAPBEXexcGood2 2 4" xfId="383"/>
    <cellStyle name="SAPBEXexcGood2 2 4 2" xfId="748"/>
    <cellStyle name="SAPBEXexcGood2 2 5" xfId="367"/>
    <cellStyle name="SAPBEXexcGood2 2 5 2" xfId="732"/>
    <cellStyle name="SAPBEXexcGood2 2 6" xfId="423"/>
    <cellStyle name="SAPBEXexcGood2 2 6 2" xfId="788"/>
    <cellStyle name="SAPBEXexcGood2 2 7" xfId="458"/>
    <cellStyle name="SAPBEXexcGood2 2 7 2" xfId="823"/>
    <cellStyle name="SAPBEXexcGood2 2 8" xfId="495"/>
    <cellStyle name="SAPBEXexcGood2 3" xfId="204"/>
    <cellStyle name="SAPBEXexcGood2 3 2" xfId="570"/>
    <cellStyle name="SAPBEXexcGood2 4" xfId="274"/>
    <cellStyle name="SAPBEXexcGood2 4 2" xfId="639"/>
    <cellStyle name="SAPBEXexcGood2 5" xfId="173"/>
    <cellStyle name="SAPBEXexcGood2 5 2" xfId="539"/>
    <cellStyle name="SAPBEXexcGood3" xfId="86"/>
    <cellStyle name="SAPBEXexcGood3 2" xfId="129"/>
    <cellStyle name="SAPBEXexcGood3 2 2" xfId="243"/>
    <cellStyle name="SAPBEXexcGood3 2 2 2" xfId="608"/>
    <cellStyle name="SAPBEXexcGood3 2 3" xfId="316"/>
    <cellStyle name="SAPBEXexcGood3 2 3 2" xfId="681"/>
    <cellStyle name="SAPBEXexcGood3 2 4" xfId="384"/>
    <cellStyle name="SAPBEXexcGood3 2 4 2" xfId="749"/>
    <cellStyle name="SAPBEXexcGood3 2 5" xfId="409"/>
    <cellStyle name="SAPBEXexcGood3 2 5 2" xfId="774"/>
    <cellStyle name="SAPBEXexcGood3 2 6" xfId="424"/>
    <cellStyle name="SAPBEXexcGood3 2 6 2" xfId="789"/>
    <cellStyle name="SAPBEXexcGood3 2 7" xfId="459"/>
    <cellStyle name="SAPBEXexcGood3 2 7 2" xfId="824"/>
    <cellStyle name="SAPBEXexcGood3 2 8" xfId="496"/>
    <cellStyle name="SAPBEXexcGood3 3" xfId="205"/>
    <cellStyle name="SAPBEXexcGood3 3 2" xfId="571"/>
    <cellStyle name="SAPBEXexcGood3 4" xfId="275"/>
    <cellStyle name="SAPBEXexcGood3 4 2" xfId="640"/>
    <cellStyle name="SAPBEXexcGood3 5" xfId="174"/>
    <cellStyle name="SAPBEXexcGood3 5 2" xfId="540"/>
    <cellStyle name="SAPBEXfilterDrill" xfId="87"/>
    <cellStyle name="SAPBEXfilterDrill 2" xfId="130"/>
    <cellStyle name="SAPBEXfilterDrill 2 2" xfId="244"/>
    <cellStyle name="SAPBEXfilterDrill 2 2 2" xfId="609"/>
    <cellStyle name="SAPBEXfilterDrill 2 3" xfId="317"/>
    <cellStyle name="SAPBEXfilterDrill 2 3 2" xfId="682"/>
    <cellStyle name="SAPBEXfilterDrill 2 4" xfId="385"/>
    <cellStyle name="SAPBEXfilterDrill 2 4 2" xfId="750"/>
    <cellStyle name="SAPBEXfilterDrill 2 5" xfId="159"/>
    <cellStyle name="SAPBEXfilterDrill 2 5 2" xfId="525"/>
    <cellStyle name="SAPBEXfilterDrill 2 6" xfId="425"/>
    <cellStyle name="SAPBEXfilterDrill 2 6 2" xfId="790"/>
    <cellStyle name="SAPBEXfilterDrill 2 7" xfId="460"/>
    <cellStyle name="SAPBEXfilterDrill 2 7 2" xfId="825"/>
    <cellStyle name="SAPBEXfilterDrill 2 8" xfId="497"/>
    <cellStyle name="SAPBEXfilterDrill 3" xfId="206"/>
    <cellStyle name="SAPBEXfilterDrill 3 2" xfId="572"/>
    <cellStyle name="SAPBEXfilterDrill 4" xfId="276"/>
    <cellStyle name="SAPBEXfilterDrill 4 2" xfId="641"/>
    <cellStyle name="SAPBEXfilterDrill 5" xfId="175"/>
    <cellStyle name="SAPBEXfilterDrill 5 2" xfId="541"/>
    <cellStyle name="SAPBEXfilterItem" xfId="88"/>
    <cellStyle name="SAPBEXfilterItem 2" xfId="131"/>
    <cellStyle name="SAPBEXfilterItem 2 2" xfId="245"/>
    <cellStyle name="SAPBEXfilterItem 2 2 2" xfId="610"/>
    <cellStyle name="SAPBEXfilterItem 2 3" xfId="318"/>
    <cellStyle name="SAPBEXfilterItem 2 3 2" xfId="683"/>
    <cellStyle name="SAPBEXfilterItem 2 4" xfId="386"/>
    <cellStyle name="SAPBEXfilterItem 2 4 2" xfId="751"/>
    <cellStyle name="SAPBEXfilterItem 2 5" xfId="408"/>
    <cellStyle name="SAPBEXfilterItem 2 5 2" xfId="773"/>
    <cellStyle name="SAPBEXfilterItem 2 6" xfId="348"/>
    <cellStyle name="SAPBEXfilterItem 2 6 2" xfId="713"/>
    <cellStyle name="SAPBEXfilterItem 2 7" xfId="426"/>
    <cellStyle name="SAPBEXfilterItem 2 7 2" xfId="791"/>
    <cellStyle name="SAPBEXfilterItem 2 8" xfId="461"/>
    <cellStyle name="SAPBEXfilterItem 2 8 2" xfId="826"/>
    <cellStyle name="SAPBEXfilterItem 2 9" xfId="498"/>
    <cellStyle name="SAPBEXfilterItem 3" xfId="207"/>
    <cellStyle name="SAPBEXfilterItem 3 2" xfId="573"/>
    <cellStyle name="SAPBEXfilterItem 4" xfId="277"/>
    <cellStyle name="SAPBEXfilterItem 4 2" xfId="642"/>
    <cellStyle name="SAPBEXfilterItem 5" xfId="347"/>
    <cellStyle name="SAPBEXfilterItem 5 2" xfId="712"/>
    <cellStyle name="SAPBEXfilterItem 6" xfId="278"/>
    <cellStyle name="SAPBEXfilterItem 6 2" xfId="643"/>
    <cellStyle name="SAPBEXfilterItem 7" xfId="407"/>
    <cellStyle name="SAPBEXfilterItem 7 2" xfId="772"/>
    <cellStyle name="SAPBEXfilterText" xfId="89"/>
    <cellStyle name="SAPBEXformats" xfId="90"/>
    <cellStyle name="SAPBEXformats 2" xfId="132"/>
    <cellStyle name="SAPBEXformats 2 2" xfId="246"/>
    <cellStyle name="SAPBEXformats 2 2 2" xfId="611"/>
    <cellStyle name="SAPBEXformats 2 3" xfId="319"/>
    <cellStyle name="SAPBEXformats 2 3 2" xfId="684"/>
    <cellStyle name="SAPBEXformats 2 4" xfId="387"/>
    <cellStyle name="SAPBEXformats 2 4 2" xfId="752"/>
    <cellStyle name="SAPBEXformats 2 5" xfId="349"/>
    <cellStyle name="SAPBEXformats 2 5 2" xfId="714"/>
    <cellStyle name="SAPBEXformats 2 6" xfId="427"/>
    <cellStyle name="SAPBEXformats 2 6 2" xfId="792"/>
    <cellStyle name="SAPBEXformats 2 7" xfId="462"/>
    <cellStyle name="SAPBEXformats 2 7 2" xfId="827"/>
    <cellStyle name="SAPBEXformats 2 8" xfId="499"/>
    <cellStyle name="SAPBEXformats 3" xfId="208"/>
    <cellStyle name="SAPBEXformats 3 2" xfId="574"/>
    <cellStyle name="SAPBEXformats 4" xfId="279"/>
    <cellStyle name="SAPBEXformats 4 2" xfId="644"/>
    <cellStyle name="SAPBEXformats 5" xfId="188"/>
    <cellStyle name="SAPBEXformats 5 2" xfId="554"/>
    <cellStyle name="SAPBEXheaderItem" xfId="91"/>
    <cellStyle name="SAPBEXheaderItem 2" xfId="133"/>
    <cellStyle name="SAPBEXheaderItem 2 2" xfId="247"/>
    <cellStyle name="SAPBEXheaderItem 2 2 2" xfId="612"/>
    <cellStyle name="SAPBEXheaderItem 2 3" xfId="320"/>
    <cellStyle name="SAPBEXheaderItem 2 3 2" xfId="685"/>
    <cellStyle name="SAPBEXheaderItem 2 4" xfId="388"/>
    <cellStyle name="SAPBEXheaderItem 2 4 2" xfId="753"/>
    <cellStyle name="SAPBEXheaderItem 2 5" xfId="350"/>
    <cellStyle name="SAPBEXheaderItem 2 5 2" xfId="715"/>
    <cellStyle name="SAPBEXheaderItem 2 6" xfId="428"/>
    <cellStyle name="SAPBEXheaderItem 2 6 2" xfId="793"/>
    <cellStyle name="SAPBEXheaderItem 2 7" xfId="463"/>
    <cellStyle name="SAPBEXheaderItem 2 7 2" xfId="828"/>
    <cellStyle name="SAPBEXheaderItem 2 8" xfId="500"/>
    <cellStyle name="SAPBEXheaderItem 3" xfId="209"/>
    <cellStyle name="SAPBEXheaderItem 3 2" xfId="575"/>
    <cellStyle name="SAPBEXheaderItem 4" xfId="280"/>
    <cellStyle name="SAPBEXheaderItem 4 2" xfId="645"/>
    <cellStyle name="SAPBEXheaderItem 5" xfId="190"/>
    <cellStyle name="SAPBEXheaderItem 5 2" xfId="556"/>
    <cellStyle name="SAPBEXheaderText" xfId="92"/>
    <cellStyle name="SAPBEXheaderText 2" xfId="134"/>
    <cellStyle name="SAPBEXheaderText 2 2" xfId="248"/>
    <cellStyle name="SAPBEXheaderText 2 2 2" xfId="613"/>
    <cellStyle name="SAPBEXheaderText 2 3" xfId="321"/>
    <cellStyle name="SAPBEXheaderText 2 3 2" xfId="686"/>
    <cellStyle name="SAPBEXheaderText 2 4" xfId="389"/>
    <cellStyle name="SAPBEXheaderText 2 4 2" xfId="754"/>
    <cellStyle name="SAPBEXheaderText 2 5" xfId="298"/>
    <cellStyle name="SAPBEXheaderText 2 5 2" xfId="663"/>
    <cellStyle name="SAPBEXheaderText 2 6" xfId="429"/>
    <cellStyle name="SAPBEXheaderText 2 6 2" xfId="794"/>
    <cellStyle name="SAPBEXheaderText 2 7" xfId="464"/>
    <cellStyle name="SAPBEXheaderText 2 7 2" xfId="829"/>
    <cellStyle name="SAPBEXheaderText 2 8" xfId="501"/>
    <cellStyle name="SAPBEXheaderText 3" xfId="210"/>
    <cellStyle name="SAPBEXheaderText 3 2" xfId="576"/>
    <cellStyle name="SAPBEXheaderText 4" xfId="281"/>
    <cellStyle name="SAPBEXheaderText 4 2" xfId="646"/>
    <cellStyle name="SAPBEXheaderText 5" xfId="301"/>
    <cellStyle name="SAPBEXheaderText 5 2" xfId="666"/>
    <cellStyle name="SAPBEXHLevel0" xfId="93"/>
    <cellStyle name="SAPBEXHLevel0 2" xfId="135"/>
    <cellStyle name="SAPBEXHLevel0 2 2" xfId="249"/>
    <cellStyle name="SAPBEXHLevel0 2 2 2" xfId="614"/>
    <cellStyle name="SAPBEXHLevel0 2 3" xfId="322"/>
    <cellStyle name="SAPBEXHLevel0 2 3 2" xfId="687"/>
    <cellStyle name="SAPBEXHLevel0 2 4" xfId="390"/>
    <cellStyle name="SAPBEXHLevel0 2 4 2" xfId="755"/>
    <cellStyle name="SAPBEXHLevel0 2 5" xfId="351"/>
    <cellStyle name="SAPBEXHLevel0 2 5 2" xfId="716"/>
    <cellStyle name="SAPBEXHLevel0 2 6" xfId="430"/>
    <cellStyle name="SAPBEXHLevel0 2 6 2" xfId="795"/>
    <cellStyle name="SAPBEXHLevel0 2 7" xfId="465"/>
    <cellStyle name="SAPBEXHLevel0 2 7 2" xfId="830"/>
    <cellStyle name="SAPBEXHLevel0 2 8" xfId="502"/>
    <cellStyle name="SAPBEXHLevel0 3" xfId="211"/>
    <cellStyle name="SAPBEXHLevel0 3 2" xfId="577"/>
    <cellStyle name="SAPBEXHLevel0 4" xfId="282"/>
    <cellStyle name="SAPBEXHLevel0 4 2" xfId="647"/>
    <cellStyle name="SAPBEXHLevel0 5" xfId="191"/>
    <cellStyle name="SAPBEXHLevel0 5 2" xfId="557"/>
    <cellStyle name="SAPBEXHLevel0X" xfId="94"/>
    <cellStyle name="SAPBEXHLevel0X 2" xfId="136"/>
    <cellStyle name="SAPBEXHLevel0X 2 2" xfId="250"/>
    <cellStyle name="SAPBEXHLevel0X 2 2 2" xfId="615"/>
    <cellStyle name="SAPBEXHLevel0X 2 3" xfId="323"/>
    <cellStyle name="SAPBEXHLevel0X 2 3 2" xfId="688"/>
    <cellStyle name="SAPBEXHLevel0X 2 4" xfId="391"/>
    <cellStyle name="SAPBEXHLevel0X 2 4 2" xfId="756"/>
    <cellStyle name="SAPBEXHLevel0X 2 5" xfId="352"/>
    <cellStyle name="SAPBEXHLevel0X 2 5 2" xfId="717"/>
    <cellStyle name="SAPBEXHLevel0X 2 6" xfId="431"/>
    <cellStyle name="SAPBEXHLevel0X 2 6 2" xfId="796"/>
    <cellStyle name="SAPBEXHLevel0X 2 7" xfId="466"/>
    <cellStyle name="SAPBEXHLevel0X 2 7 2" xfId="831"/>
    <cellStyle name="SAPBEXHLevel0X 2 8" xfId="503"/>
    <cellStyle name="SAPBEXHLevel0X 3" xfId="212"/>
    <cellStyle name="SAPBEXHLevel0X 3 2" xfId="578"/>
    <cellStyle name="SAPBEXHLevel0X 4" xfId="283"/>
    <cellStyle name="SAPBEXHLevel0X 4 2" xfId="648"/>
    <cellStyle name="SAPBEXHLevel0X 5" xfId="339"/>
    <cellStyle name="SAPBEXHLevel0X 5 2" xfId="704"/>
    <cellStyle name="SAPBEXHLevel1" xfId="95"/>
    <cellStyle name="SAPBEXHLevel1 2" xfId="137"/>
    <cellStyle name="SAPBEXHLevel1 2 2" xfId="251"/>
    <cellStyle name="SAPBEXHLevel1 2 2 2" xfId="616"/>
    <cellStyle name="SAPBEXHLevel1 2 3" xfId="324"/>
    <cellStyle name="SAPBEXHLevel1 2 3 2" xfId="689"/>
    <cellStyle name="SAPBEXHLevel1 2 4" xfId="392"/>
    <cellStyle name="SAPBEXHLevel1 2 4 2" xfId="757"/>
    <cellStyle name="SAPBEXHLevel1 2 5" xfId="353"/>
    <cellStyle name="SAPBEXHLevel1 2 5 2" xfId="718"/>
    <cellStyle name="SAPBEXHLevel1 2 6" xfId="432"/>
    <cellStyle name="SAPBEXHLevel1 2 6 2" xfId="797"/>
    <cellStyle name="SAPBEXHLevel1 2 7" xfId="467"/>
    <cellStyle name="SAPBEXHLevel1 2 7 2" xfId="832"/>
    <cellStyle name="SAPBEXHLevel1 2 8" xfId="504"/>
    <cellStyle name="SAPBEXHLevel1 3" xfId="213"/>
    <cellStyle name="SAPBEXHLevel1 3 2" xfId="579"/>
    <cellStyle name="SAPBEXHLevel1 4" xfId="284"/>
    <cellStyle name="SAPBEXHLevel1 4 2" xfId="649"/>
    <cellStyle name="SAPBEXHLevel1 5" xfId="300"/>
    <cellStyle name="SAPBEXHLevel1 5 2" xfId="665"/>
    <cellStyle name="SAPBEXHLevel1X" xfId="96"/>
    <cellStyle name="SAPBEXHLevel1X 2" xfId="138"/>
    <cellStyle name="SAPBEXHLevel1X 2 2" xfId="252"/>
    <cellStyle name="SAPBEXHLevel1X 2 2 2" xfId="617"/>
    <cellStyle name="SAPBEXHLevel1X 2 3" xfId="325"/>
    <cellStyle name="SAPBEXHLevel1X 2 3 2" xfId="690"/>
    <cellStyle name="SAPBEXHLevel1X 2 4" xfId="393"/>
    <cellStyle name="SAPBEXHLevel1X 2 4 2" xfId="758"/>
    <cellStyle name="SAPBEXHLevel1X 2 5" xfId="354"/>
    <cellStyle name="SAPBEXHLevel1X 2 5 2" xfId="719"/>
    <cellStyle name="SAPBEXHLevel1X 2 6" xfId="433"/>
    <cellStyle name="SAPBEXHLevel1X 2 6 2" xfId="798"/>
    <cellStyle name="SAPBEXHLevel1X 2 7" xfId="468"/>
    <cellStyle name="SAPBEXHLevel1X 2 7 2" xfId="833"/>
    <cellStyle name="SAPBEXHLevel1X 2 8" xfId="505"/>
    <cellStyle name="SAPBEXHLevel1X 3" xfId="214"/>
    <cellStyle name="SAPBEXHLevel1X 3 2" xfId="580"/>
    <cellStyle name="SAPBEXHLevel1X 4" xfId="285"/>
    <cellStyle name="SAPBEXHLevel1X 4 2" xfId="650"/>
    <cellStyle name="SAPBEXHLevel1X 5" xfId="176"/>
    <cellStyle name="SAPBEXHLevel1X 5 2" xfId="542"/>
    <cellStyle name="SAPBEXHLevel2" xfId="97"/>
    <cellStyle name="SAPBEXHLevel2 2" xfId="139"/>
    <cellStyle name="SAPBEXHLevel2 2 2" xfId="253"/>
    <cellStyle name="SAPBEXHLevel2 2 2 2" xfId="618"/>
    <cellStyle name="SAPBEXHLevel2 2 3" xfId="326"/>
    <cellStyle name="SAPBEXHLevel2 2 3 2" xfId="691"/>
    <cellStyle name="SAPBEXHLevel2 2 4" xfId="394"/>
    <cellStyle name="SAPBEXHLevel2 2 4 2" xfId="759"/>
    <cellStyle name="SAPBEXHLevel2 2 5" xfId="355"/>
    <cellStyle name="SAPBEXHLevel2 2 5 2" xfId="720"/>
    <cellStyle name="SAPBEXHLevel2 2 6" xfId="434"/>
    <cellStyle name="SAPBEXHLevel2 2 6 2" xfId="799"/>
    <cellStyle name="SAPBEXHLevel2 2 7" xfId="469"/>
    <cellStyle name="SAPBEXHLevel2 2 7 2" xfId="834"/>
    <cellStyle name="SAPBEXHLevel2 2 8" xfId="506"/>
    <cellStyle name="SAPBEXHLevel2 3" xfId="215"/>
    <cellStyle name="SAPBEXHLevel2 3 2" xfId="581"/>
    <cellStyle name="SAPBEXHLevel2 4" xfId="286"/>
    <cellStyle name="SAPBEXHLevel2 4 2" xfId="651"/>
    <cellStyle name="SAPBEXHLevel2 5" xfId="177"/>
    <cellStyle name="SAPBEXHLevel2 5 2" xfId="543"/>
    <cellStyle name="SAPBEXHLevel2X" xfId="98"/>
    <cellStyle name="SAPBEXHLevel2X 2" xfId="140"/>
    <cellStyle name="SAPBEXHLevel2X 2 2" xfId="254"/>
    <cellStyle name="SAPBEXHLevel2X 2 2 2" xfId="619"/>
    <cellStyle name="SAPBEXHLevel2X 2 3" xfId="327"/>
    <cellStyle name="SAPBEXHLevel2X 2 3 2" xfId="692"/>
    <cellStyle name="SAPBEXHLevel2X 2 4" xfId="395"/>
    <cellStyle name="SAPBEXHLevel2X 2 4 2" xfId="760"/>
    <cellStyle name="SAPBEXHLevel2X 2 5" xfId="356"/>
    <cellStyle name="SAPBEXHLevel2X 2 5 2" xfId="721"/>
    <cellStyle name="SAPBEXHLevel2X 2 6" xfId="435"/>
    <cellStyle name="SAPBEXHLevel2X 2 6 2" xfId="800"/>
    <cellStyle name="SAPBEXHLevel2X 2 7" xfId="470"/>
    <cellStyle name="SAPBEXHLevel2X 2 7 2" xfId="835"/>
    <cellStyle name="SAPBEXHLevel2X 2 8" xfId="507"/>
    <cellStyle name="SAPBEXHLevel2X 3" xfId="216"/>
    <cellStyle name="SAPBEXHLevel2X 3 2" xfId="582"/>
    <cellStyle name="SAPBEXHLevel2X 4" xfId="287"/>
    <cellStyle name="SAPBEXHLevel2X 4 2" xfId="652"/>
    <cellStyle name="SAPBEXHLevel2X 5" xfId="178"/>
    <cellStyle name="SAPBEXHLevel2X 5 2" xfId="544"/>
    <cellStyle name="SAPBEXHLevel3" xfId="99"/>
    <cellStyle name="SAPBEXHLevel3 2" xfId="141"/>
    <cellStyle name="SAPBEXHLevel3 2 2" xfId="255"/>
    <cellStyle name="SAPBEXHLevel3 2 2 2" xfId="620"/>
    <cellStyle name="SAPBEXHLevel3 2 3" xfId="328"/>
    <cellStyle name="SAPBEXHLevel3 2 3 2" xfId="693"/>
    <cellStyle name="SAPBEXHLevel3 2 4" xfId="396"/>
    <cellStyle name="SAPBEXHLevel3 2 4 2" xfId="761"/>
    <cellStyle name="SAPBEXHLevel3 2 5" xfId="357"/>
    <cellStyle name="SAPBEXHLevel3 2 5 2" xfId="722"/>
    <cellStyle name="SAPBEXHLevel3 2 6" xfId="436"/>
    <cellStyle name="SAPBEXHLevel3 2 6 2" xfId="801"/>
    <cellStyle name="SAPBEXHLevel3 2 7" xfId="471"/>
    <cellStyle name="SAPBEXHLevel3 2 7 2" xfId="836"/>
    <cellStyle name="SAPBEXHLevel3 2 8" xfId="508"/>
    <cellStyle name="SAPBEXHLevel3 3" xfId="217"/>
    <cellStyle name="SAPBEXHLevel3 3 2" xfId="583"/>
    <cellStyle name="SAPBEXHLevel3 4" xfId="288"/>
    <cellStyle name="SAPBEXHLevel3 4 2" xfId="653"/>
    <cellStyle name="SAPBEXHLevel3 5" xfId="302"/>
    <cellStyle name="SAPBEXHLevel3 5 2" xfId="667"/>
    <cellStyle name="SAPBEXHLevel3X" xfId="100"/>
    <cellStyle name="SAPBEXHLevel3X 2" xfId="142"/>
    <cellStyle name="SAPBEXHLevel3X 2 2" xfId="256"/>
    <cellStyle name="SAPBEXHLevel3X 2 2 2" xfId="621"/>
    <cellStyle name="SAPBEXHLevel3X 2 3" xfId="329"/>
    <cellStyle name="SAPBEXHLevel3X 2 3 2" xfId="694"/>
    <cellStyle name="SAPBEXHLevel3X 2 4" xfId="397"/>
    <cellStyle name="SAPBEXHLevel3X 2 4 2" xfId="762"/>
    <cellStyle name="SAPBEXHLevel3X 2 5" xfId="365"/>
    <cellStyle name="SAPBEXHLevel3X 2 5 2" xfId="730"/>
    <cellStyle name="SAPBEXHLevel3X 2 6" xfId="437"/>
    <cellStyle name="SAPBEXHLevel3X 2 6 2" xfId="802"/>
    <cellStyle name="SAPBEXHLevel3X 2 7" xfId="472"/>
    <cellStyle name="SAPBEXHLevel3X 2 7 2" xfId="837"/>
    <cellStyle name="SAPBEXHLevel3X 2 8" xfId="509"/>
    <cellStyle name="SAPBEXHLevel3X 3" xfId="218"/>
    <cellStyle name="SAPBEXHLevel3X 3 2" xfId="584"/>
    <cellStyle name="SAPBEXHLevel3X 4" xfId="289"/>
    <cellStyle name="SAPBEXHLevel3X 4 2" xfId="654"/>
    <cellStyle name="SAPBEXHLevel3X 5" xfId="179"/>
    <cellStyle name="SAPBEXHLevel3X 5 2" xfId="545"/>
    <cellStyle name="SAPBEXresData" xfId="101"/>
    <cellStyle name="SAPBEXresData 2" xfId="143"/>
    <cellStyle name="SAPBEXresData 2 2" xfId="257"/>
    <cellStyle name="SAPBEXresData 2 2 2" xfId="622"/>
    <cellStyle name="SAPBEXresData 2 3" xfId="330"/>
    <cellStyle name="SAPBEXresData 2 3 2" xfId="695"/>
    <cellStyle name="SAPBEXresData 2 4" xfId="398"/>
    <cellStyle name="SAPBEXresData 2 4 2" xfId="763"/>
    <cellStyle name="SAPBEXresData 2 5" xfId="370"/>
    <cellStyle name="SAPBEXresData 2 5 2" xfId="735"/>
    <cellStyle name="SAPBEXresData 2 6" xfId="438"/>
    <cellStyle name="SAPBEXresData 2 6 2" xfId="803"/>
    <cellStyle name="SAPBEXresData 2 7" xfId="473"/>
    <cellStyle name="SAPBEXresData 2 7 2" xfId="838"/>
    <cellStyle name="SAPBEXresData 2 8" xfId="510"/>
    <cellStyle name="SAPBEXresData 3" xfId="219"/>
    <cellStyle name="SAPBEXresData 3 2" xfId="585"/>
    <cellStyle name="SAPBEXresData 4" xfId="290"/>
    <cellStyle name="SAPBEXresData 4 2" xfId="655"/>
    <cellStyle name="SAPBEXresData 5" xfId="180"/>
    <cellStyle name="SAPBEXresData 5 2" xfId="546"/>
    <cellStyle name="SAPBEXresDataEmph" xfId="102"/>
    <cellStyle name="SAPBEXresDataEmph 2" xfId="144"/>
    <cellStyle name="SAPBEXresDataEmph 2 2" xfId="258"/>
    <cellStyle name="SAPBEXresDataEmph 2 2 2" xfId="623"/>
    <cellStyle name="SAPBEXresDataEmph 2 3" xfId="331"/>
    <cellStyle name="SAPBEXresDataEmph 2 3 2" xfId="696"/>
    <cellStyle name="SAPBEXresDataEmph 2 4" xfId="399"/>
    <cellStyle name="SAPBEXresDataEmph 2 4 2" xfId="764"/>
    <cellStyle name="SAPBEXresDataEmph 2 5" xfId="358"/>
    <cellStyle name="SAPBEXresDataEmph 2 5 2" xfId="723"/>
    <cellStyle name="SAPBEXresDataEmph 2 6" xfId="439"/>
    <cellStyle name="SAPBEXresDataEmph 2 6 2" xfId="804"/>
    <cellStyle name="SAPBEXresDataEmph 2 7" xfId="474"/>
    <cellStyle name="SAPBEXresDataEmph 2 7 2" xfId="839"/>
    <cellStyle name="SAPBEXresDataEmph 2 8" xfId="511"/>
    <cellStyle name="SAPBEXresDataEmph 3" xfId="220"/>
    <cellStyle name="SAPBEXresDataEmph 3 2" xfId="586"/>
    <cellStyle name="SAPBEXresDataEmph 4" xfId="291"/>
    <cellStyle name="SAPBEXresDataEmph 4 2" xfId="656"/>
    <cellStyle name="SAPBEXresDataEmph 5" xfId="181"/>
    <cellStyle name="SAPBEXresDataEmph 5 2" xfId="547"/>
    <cellStyle name="SAPBEXresItem" xfId="103"/>
    <cellStyle name="SAPBEXresItem 2" xfId="145"/>
    <cellStyle name="SAPBEXresItem 2 2" xfId="259"/>
    <cellStyle name="SAPBEXresItem 2 2 2" xfId="624"/>
    <cellStyle name="SAPBEXresItem 2 3" xfId="332"/>
    <cellStyle name="SAPBEXresItem 2 3 2" xfId="697"/>
    <cellStyle name="SAPBEXresItem 2 4" xfId="400"/>
    <cellStyle name="SAPBEXresItem 2 4 2" xfId="765"/>
    <cellStyle name="SAPBEXresItem 2 5" xfId="359"/>
    <cellStyle name="SAPBEXresItem 2 5 2" xfId="724"/>
    <cellStyle name="SAPBEXresItem 2 6" xfId="440"/>
    <cellStyle name="SAPBEXresItem 2 6 2" xfId="805"/>
    <cellStyle name="SAPBEXresItem 2 7" xfId="475"/>
    <cellStyle name="SAPBEXresItem 2 7 2" xfId="840"/>
    <cellStyle name="SAPBEXresItem 2 8" xfId="512"/>
    <cellStyle name="SAPBEXresItem 3" xfId="221"/>
    <cellStyle name="SAPBEXresItem 3 2" xfId="587"/>
    <cellStyle name="SAPBEXresItem 4" xfId="292"/>
    <cellStyle name="SAPBEXresItem 4 2" xfId="657"/>
    <cellStyle name="SAPBEXresItem 5" xfId="182"/>
    <cellStyle name="SAPBEXresItem 5 2" xfId="548"/>
    <cellStyle name="SAPBEXresItemX" xfId="104"/>
    <cellStyle name="SAPBEXresItemX 2" xfId="146"/>
    <cellStyle name="SAPBEXresItemX 2 2" xfId="260"/>
    <cellStyle name="SAPBEXresItemX 2 2 2" xfId="625"/>
    <cellStyle name="SAPBEXresItemX 2 3" xfId="333"/>
    <cellStyle name="SAPBEXresItemX 2 3 2" xfId="698"/>
    <cellStyle name="SAPBEXresItemX 2 4" xfId="401"/>
    <cellStyle name="SAPBEXresItemX 2 4 2" xfId="766"/>
    <cellStyle name="SAPBEXresItemX 2 5" xfId="360"/>
    <cellStyle name="SAPBEXresItemX 2 5 2" xfId="725"/>
    <cellStyle name="SAPBEXresItemX 2 6" xfId="441"/>
    <cellStyle name="SAPBEXresItemX 2 6 2" xfId="806"/>
    <cellStyle name="SAPBEXresItemX 2 7" xfId="476"/>
    <cellStyle name="SAPBEXresItemX 2 7 2" xfId="841"/>
    <cellStyle name="SAPBEXresItemX 2 8" xfId="513"/>
    <cellStyle name="SAPBEXresItemX 3" xfId="222"/>
    <cellStyle name="SAPBEXresItemX 3 2" xfId="588"/>
    <cellStyle name="SAPBEXresItemX 4" xfId="293"/>
    <cellStyle name="SAPBEXresItemX 4 2" xfId="658"/>
    <cellStyle name="SAPBEXresItemX 5" xfId="183"/>
    <cellStyle name="SAPBEXresItemX 5 2" xfId="549"/>
    <cellStyle name="SAPBEXstdData" xfId="105"/>
    <cellStyle name="SAPBEXstdData 2" xfId="147"/>
    <cellStyle name="SAPBEXstdData 2 2" xfId="261"/>
    <cellStyle name="SAPBEXstdData 2 2 2" xfId="626"/>
    <cellStyle name="SAPBEXstdData 2 3" xfId="334"/>
    <cellStyle name="SAPBEXstdData 2 3 2" xfId="699"/>
    <cellStyle name="SAPBEXstdData 2 4" xfId="402"/>
    <cellStyle name="SAPBEXstdData 2 4 2" xfId="767"/>
    <cellStyle name="SAPBEXstdData 2 5" xfId="361"/>
    <cellStyle name="SAPBEXstdData 2 5 2" xfId="726"/>
    <cellStyle name="SAPBEXstdData 2 6" xfId="442"/>
    <cellStyle name="SAPBEXstdData 2 6 2" xfId="807"/>
    <cellStyle name="SAPBEXstdData 2 7" xfId="477"/>
    <cellStyle name="SAPBEXstdData 2 7 2" xfId="842"/>
    <cellStyle name="SAPBEXstdData 2 8" xfId="514"/>
    <cellStyle name="SAPBEXstdData 3" xfId="223"/>
    <cellStyle name="SAPBEXstdData 3 2" xfId="589"/>
    <cellStyle name="SAPBEXstdData 4" xfId="294"/>
    <cellStyle name="SAPBEXstdData 4 2" xfId="659"/>
    <cellStyle name="SAPBEXstdData 5" xfId="184"/>
    <cellStyle name="SAPBEXstdData 5 2" xfId="550"/>
    <cellStyle name="SAPBEXstdDataEmph" xfId="106"/>
    <cellStyle name="SAPBEXstdDataEmph 2" xfId="148"/>
    <cellStyle name="SAPBEXstdDataEmph 2 2" xfId="262"/>
    <cellStyle name="SAPBEXstdDataEmph 2 2 2" xfId="627"/>
    <cellStyle name="SAPBEXstdDataEmph 2 3" xfId="335"/>
    <cellStyle name="SAPBEXstdDataEmph 2 3 2" xfId="700"/>
    <cellStyle name="SAPBEXstdDataEmph 2 4" xfId="403"/>
    <cellStyle name="SAPBEXstdDataEmph 2 4 2" xfId="768"/>
    <cellStyle name="SAPBEXstdDataEmph 2 5" xfId="362"/>
    <cellStyle name="SAPBEXstdDataEmph 2 5 2" xfId="727"/>
    <cellStyle name="SAPBEXstdDataEmph 2 6" xfId="443"/>
    <cellStyle name="SAPBEXstdDataEmph 2 6 2" xfId="808"/>
    <cellStyle name="SAPBEXstdDataEmph 2 7" xfId="478"/>
    <cellStyle name="SAPBEXstdDataEmph 2 7 2" xfId="843"/>
    <cellStyle name="SAPBEXstdDataEmph 2 8" xfId="515"/>
    <cellStyle name="SAPBEXstdDataEmph 3" xfId="224"/>
    <cellStyle name="SAPBEXstdDataEmph 3 2" xfId="590"/>
    <cellStyle name="SAPBEXstdDataEmph 4" xfId="295"/>
    <cellStyle name="SAPBEXstdDataEmph 4 2" xfId="660"/>
    <cellStyle name="SAPBEXstdDataEmph 5" xfId="185"/>
    <cellStyle name="SAPBEXstdDataEmph 5 2" xfId="551"/>
    <cellStyle name="SAPBEXstdItem" xfId="107"/>
    <cellStyle name="SAPBEXstdItem 2" xfId="149"/>
    <cellStyle name="SAPBEXstdItem 2 2" xfId="263"/>
    <cellStyle name="SAPBEXstdItem 2 2 2" xfId="628"/>
    <cellStyle name="SAPBEXstdItem 2 3" xfId="336"/>
    <cellStyle name="SAPBEXstdItem 2 3 2" xfId="701"/>
    <cellStyle name="SAPBEXstdItem 2 4" xfId="404"/>
    <cellStyle name="SAPBEXstdItem 2 4 2" xfId="769"/>
    <cellStyle name="SAPBEXstdItem 2 5" xfId="363"/>
    <cellStyle name="SAPBEXstdItem 2 5 2" xfId="728"/>
    <cellStyle name="SAPBEXstdItem 2 6" xfId="444"/>
    <cellStyle name="SAPBEXstdItem 2 6 2" xfId="809"/>
    <cellStyle name="SAPBEXstdItem 2 7" xfId="479"/>
    <cellStyle name="SAPBEXstdItem 2 7 2" xfId="844"/>
    <cellStyle name="SAPBEXstdItem 2 8" xfId="516"/>
    <cellStyle name="SAPBEXstdItem 3" xfId="225"/>
    <cellStyle name="SAPBEXstdItem 3 2" xfId="591"/>
    <cellStyle name="SAPBEXstdItem 4" xfId="296"/>
    <cellStyle name="SAPBEXstdItem 4 2" xfId="661"/>
    <cellStyle name="SAPBEXstdItem 5" xfId="189"/>
    <cellStyle name="SAPBEXstdItem 5 2" xfId="555"/>
    <cellStyle name="SAPBEXstdItemX" xfId="108"/>
    <cellStyle name="SAPBEXstdItemX 2" xfId="150"/>
    <cellStyle name="SAPBEXstdItemX 2 2" xfId="264"/>
    <cellStyle name="SAPBEXstdItemX 2 2 2" xfId="629"/>
    <cellStyle name="SAPBEXstdItemX 2 3" xfId="337"/>
    <cellStyle name="SAPBEXstdItemX 2 3 2" xfId="702"/>
    <cellStyle name="SAPBEXstdItemX 2 4" xfId="405"/>
    <cellStyle name="SAPBEXstdItemX 2 4 2" xfId="770"/>
    <cellStyle name="SAPBEXstdItemX 2 5" xfId="369"/>
    <cellStyle name="SAPBEXstdItemX 2 5 2" xfId="734"/>
    <cellStyle name="SAPBEXstdItemX 2 6" xfId="445"/>
    <cellStyle name="SAPBEXstdItemX 2 6 2" xfId="810"/>
    <cellStyle name="SAPBEXstdItemX 2 7" xfId="480"/>
    <cellStyle name="SAPBEXstdItemX 2 7 2" xfId="845"/>
    <cellStyle name="SAPBEXstdItemX 2 8" xfId="517"/>
    <cellStyle name="SAPBEXstdItemX 3" xfId="226"/>
    <cellStyle name="SAPBEXstdItemX 3 2" xfId="592"/>
    <cellStyle name="SAPBEXstdItemX 4" xfId="297"/>
    <cellStyle name="SAPBEXstdItemX 4 2" xfId="662"/>
    <cellStyle name="SAPBEXstdItemX 5" xfId="228"/>
    <cellStyle name="SAPBEXstdItemX 5 2" xfId="594"/>
    <cellStyle name="SAPBEXtitle" xfId="109"/>
    <cellStyle name="SAPBEXundefined" xfId="110"/>
    <cellStyle name="SAPBEXundefined 2" xfId="151"/>
    <cellStyle name="SAPBEXundefined 2 2" xfId="265"/>
    <cellStyle name="SAPBEXundefined 2 2 2" xfId="630"/>
    <cellStyle name="SAPBEXundefined 2 3" xfId="338"/>
    <cellStyle name="SAPBEXundefined 2 3 2" xfId="703"/>
    <cellStyle name="SAPBEXundefined 2 4" xfId="406"/>
    <cellStyle name="SAPBEXundefined 2 4 2" xfId="771"/>
    <cellStyle name="SAPBEXundefined 2 5" xfId="410"/>
    <cellStyle name="SAPBEXundefined 2 5 2" xfId="775"/>
    <cellStyle name="SAPBEXundefined 2 6" xfId="446"/>
    <cellStyle name="SAPBEXundefined 2 6 2" xfId="811"/>
    <cellStyle name="SAPBEXundefined 2 7" xfId="481"/>
    <cellStyle name="SAPBEXundefined 2 7 2" xfId="846"/>
    <cellStyle name="SAPBEXundefined 2 8" xfId="518"/>
    <cellStyle name="SAPBEXundefined 3" xfId="227"/>
    <cellStyle name="SAPBEXundefined 3 2" xfId="593"/>
    <cellStyle name="SAPBEXundefined 4" xfId="299"/>
    <cellStyle name="SAPBEXundefined 4 2" xfId="664"/>
    <cellStyle name="SAPBEXundefined 5" xfId="187"/>
    <cellStyle name="SAPBEXundefined 5 2" xfId="553"/>
    <cellStyle name="Walutowy 2" xfId="111"/>
  </cellStyles>
  <dxfs count="0"/>
  <tableStyles count="0" defaultTableStyle="TableStyleMedium2" defaultPivotStyle="PivotStyleLight16"/>
  <colors>
    <mruColors>
      <color rgb="FF0000FF"/>
      <color rgb="FFFF0000"/>
      <color rgb="FF00CC00"/>
      <color rgb="FF00FF99"/>
      <color rgb="FF000000"/>
      <color rgb="FF66FF66"/>
      <color rgb="FF00FFFF"/>
      <color rgb="FF33CCFF"/>
      <color rgb="FFCCFF66"/>
      <color rgb="FF66FF3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0</xdr:colOff>
      <xdr:row>66</xdr:row>
      <xdr:rowOff>0</xdr:rowOff>
    </xdr:from>
    <xdr:to>
      <xdr:col>28</xdr:col>
      <xdr:colOff>0</xdr:colOff>
      <xdr:row>66</xdr:row>
      <xdr:rowOff>0</xdr:rowOff>
    </xdr:to>
    <xdr:sp macro="" textlink="">
      <xdr:nvSpPr>
        <xdr:cNvPr id="2" name="AutoShape 1"/>
        <xdr:cNvSpPr>
          <a:spLocks noChangeArrowheads="1"/>
        </xdr:cNvSpPr>
      </xdr:nvSpPr>
      <xdr:spPr bwMode="auto">
        <a:xfrm rot="4832260">
          <a:off x="16478250" y="9829800"/>
          <a:ext cx="0" cy="0"/>
        </a:xfrm>
        <a:prstGeom prst="curvedUpArrow">
          <a:avLst>
            <a:gd name="adj1" fmla="val -2147483648"/>
            <a:gd name="adj2" fmla="val -2147483648"/>
            <a:gd name="adj3" fmla="val -2147483648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13"/>
  </sheetPr>
  <dimension ref="A1:AA1112"/>
  <sheetViews>
    <sheetView showGridLines="0" tabSelected="1" zoomScaleNormal="100" zoomScaleSheetLayoutView="100" workbookViewId="0">
      <selection activeCell="P17" sqref="P16:P17"/>
    </sheetView>
  </sheetViews>
  <sheetFormatPr defaultColWidth="9.140625" defaultRowHeight="12.75" outlineLevelCol="1"/>
  <cols>
    <col min="1" max="1" width="43" style="2488" customWidth="1"/>
    <col min="2" max="2" width="13" style="2488" hidden="1" customWidth="1"/>
    <col min="3" max="3" width="11.85546875" style="2985" hidden="1" customWidth="1"/>
    <col min="4" max="4" width="12.28515625" style="2966" hidden="1" customWidth="1"/>
    <col min="5" max="5" width="11.85546875" style="2966" hidden="1" customWidth="1"/>
    <col min="6" max="6" width="12.5703125" style="2967" hidden="1" customWidth="1"/>
    <col min="7" max="8" width="12.85546875" style="2489" hidden="1" customWidth="1"/>
    <col min="9" max="9" width="13" style="2489" hidden="1" customWidth="1"/>
    <col min="10" max="10" width="16" style="2489" customWidth="1"/>
    <col min="11" max="11" width="13.5703125" style="2489" hidden="1" customWidth="1"/>
    <col min="12" max="12" width="13.28515625" style="2489" hidden="1" customWidth="1"/>
    <col min="13" max="15" width="13.85546875" style="2489" customWidth="1"/>
    <col min="16" max="16" width="13" style="2489" customWidth="1"/>
    <col min="17" max="17" width="12.85546875" style="2489" customWidth="1"/>
    <col min="18" max="19" width="13.140625" style="2489" customWidth="1"/>
    <col min="20" max="20" width="14.42578125" style="2489" customWidth="1"/>
    <col min="21" max="21" width="16.140625" style="2488" customWidth="1"/>
    <col min="22" max="22" width="14.5703125" style="2492" customWidth="1" outlineLevel="1"/>
    <col min="23" max="23" width="13.85546875" style="2492" hidden="1" customWidth="1" outlineLevel="1"/>
    <col min="24" max="24" width="14.7109375" style="2488" hidden="1" customWidth="1"/>
    <col min="25" max="25" width="14.28515625" style="2488" hidden="1" customWidth="1"/>
    <col min="26" max="26" width="0" style="2488" hidden="1" customWidth="1"/>
    <col min="27" max="27" width="9.7109375" style="2488" hidden="1" customWidth="1"/>
    <col min="28" max="29" width="0" style="2488" hidden="1" customWidth="1"/>
    <col min="30" max="16384" width="9.140625" style="2488"/>
  </cols>
  <sheetData>
    <row r="1" spans="1:25" ht="23.25" customHeight="1">
      <c r="A1" s="2487" t="s">
        <v>484</v>
      </c>
      <c r="C1" s="2489"/>
      <c r="D1" s="2489"/>
      <c r="E1" s="2489"/>
      <c r="F1" s="2489"/>
      <c r="M1" s="2490"/>
      <c r="P1" s="2491"/>
      <c r="R1" s="2491"/>
      <c r="S1" s="2491"/>
      <c r="T1" s="2491"/>
    </row>
    <row r="2" spans="1:25" ht="15">
      <c r="C2" s="2489"/>
      <c r="D2" s="2489"/>
      <c r="E2" s="2489"/>
      <c r="F2" s="2489"/>
      <c r="M2" s="2493"/>
      <c r="N2" s="2494"/>
      <c r="O2" s="2494"/>
      <c r="P2" s="2494"/>
      <c r="Q2" s="2491" t="s">
        <v>529</v>
      </c>
      <c r="R2" s="2494"/>
      <c r="S2" s="2494"/>
      <c r="T2" s="2494"/>
      <c r="U2" s="2493"/>
    </row>
    <row r="3" spans="1:25" ht="12.75" customHeight="1">
      <c r="C3" s="2489"/>
      <c r="D3" s="2489"/>
      <c r="E3" s="2489"/>
      <c r="F3" s="2489"/>
      <c r="M3" s="2493"/>
      <c r="N3" s="2494"/>
      <c r="O3" s="2494"/>
      <c r="P3" s="2494"/>
      <c r="Q3" s="2494"/>
      <c r="R3" s="2494"/>
      <c r="S3" s="2494"/>
      <c r="T3" s="2494"/>
      <c r="U3" s="2493"/>
    </row>
    <row r="4" spans="1:25" ht="12.75" customHeight="1">
      <c r="C4" s="2489"/>
      <c r="D4" s="2489"/>
      <c r="E4" s="2489"/>
      <c r="F4" s="2489"/>
      <c r="L4" s="2495"/>
      <c r="M4" s="2493"/>
      <c r="N4" s="2493"/>
      <c r="O4" s="2493"/>
      <c r="P4" s="2493"/>
      <c r="Q4" s="2493"/>
      <c r="R4" s="2493"/>
      <c r="S4" s="2493"/>
      <c r="T4" s="2493"/>
      <c r="U4" s="2493"/>
    </row>
    <row r="5" spans="1:25" ht="72" customHeight="1">
      <c r="A5" s="3568" t="s">
        <v>0</v>
      </c>
      <c r="B5" s="3568"/>
      <c r="C5" s="3568"/>
      <c r="D5" s="3568"/>
      <c r="E5" s="3568"/>
      <c r="F5" s="3568"/>
      <c r="G5" s="3568"/>
      <c r="H5" s="3568"/>
      <c r="I5" s="3568"/>
      <c r="J5" s="3568"/>
      <c r="K5" s="3568"/>
      <c r="L5" s="3568"/>
      <c r="M5" s="3568"/>
      <c r="N5" s="3568"/>
      <c r="O5" s="3568"/>
      <c r="P5" s="3568"/>
      <c r="Q5" s="3568"/>
      <c r="R5" s="3568"/>
      <c r="S5" s="3568"/>
      <c r="T5" s="3568"/>
      <c r="U5" s="3568"/>
      <c r="V5" s="2496"/>
    </row>
    <row r="6" spans="1:25" ht="3.75" customHeight="1">
      <c r="A6" s="2497"/>
      <c r="B6" s="2497"/>
      <c r="C6" s="2497"/>
      <c r="D6" s="2498"/>
      <c r="E6" s="2498"/>
      <c r="F6" s="2498"/>
      <c r="G6" s="2497"/>
      <c r="H6" s="2497"/>
      <c r="I6" s="2497"/>
      <c r="J6" s="2497"/>
      <c r="K6" s="2497"/>
      <c r="L6" s="2498"/>
      <c r="M6" s="2497"/>
      <c r="N6" s="2497"/>
      <c r="O6" s="2497"/>
      <c r="P6" s="2497"/>
      <c r="Q6" s="2497"/>
      <c r="R6" s="2497"/>
      <c r="S6" s="2497"/>
      <c r="T6" s="2497"/>
      <c r="U6" s="2497"/>
    </row>
    <row r="7" spans="1:25" ht="39.75" customHeight="1" thickBot="1">
      <c r="A7" s="3569" t="s">
        <v>1</v>
      </c>
      <c r="B7" s="3569"/>
      <c r="C7" s="3569"/>
      <c r="D7" s="3569"/>
      <c r="E7" s="3569"/>
      <c r="F7" s="3569"/>
      <c r="G7" s="3569"/>
      <c r="H7" s="3569"/>
      <c r="I7" s="3569"/>
      <c r="J7" s="3569"/>
      <c r="K7" s="3569"/>
      <c r="L7" s="3569"/>
      <c r="M7" s="3570"/>
      <c r="N7" s="3569"/>
      <c r="O7" s="3569"/>
      <c r="P7" s="3569"/>
      <c r="Q7" s="3569"/>
      <c r="R7" s="3569"/>
      <c r="S7" s="3569"/>
      <c r="T7" s="3569"/>
      <c r="U7" s="3569"/>
      <c r="V7" s="2499"/>
    </row>
    <row r="8" spans="1:25" s="2489" customFormat="1" ht="24.75" customHeight="1">
      <c r="A8" s="2500"/>
      <c r="B8" s="424"/>
      <c r="C8" s="425"/>
      <c r="D8" s="425"/>
      <c r="E8" s="425"/>
      <c r="F8" s="425"/>
      <c r="G8" s="425"/>
      <c r="H8" s="425"/>
      <c r="I8" s="425"/>
      <c r="J8" s="3574" t="s">
        <v>338</v>
      </c>
      <c r="K8" s="3582" t="s">
        <v>347</v>
      </c>
      <c r="L8" s="3574"/>
      <c r="M8" s="3580" t="s">
        <v>494</v>
      </c>
      <c r="N8" s="3576" t="s">
        <v>492</v>
      </c>
      <c r="O8" s="3576"/>
      <c r="P8" s="3576"/>
      <c r="Q8" s="3576"/>
      <c r="R8" s="3576"/>
      <c r="S8" s="3576"/>
      <c r="T8" s="3577"/>
      <c r="U8" s="3571" t="s">
        <v>3</v>
      </c>
      <c r="V8" s="3586" t="s">
        <v>530</v>
      </c>
      <c r="W8" s="2501"/>
    </row>
    <row r="9" spans="1:25" ht="27" customHeight="1">
      <c r="A9" s="2502" t="s">
        <v>4</v>
      </c>
      <c r="B9" s="331"/>
      <c r="C9" s="332"/>
      <c r="D9" s="332"/>
      <c r="E9" s="332"/>
      <c r="F9" s="332"/>
      <c r="G9" s="332"/>
      <c r="H9" s="332"/>
      <c r="I9" s="332"/>
      <c r="J9" s="3575"/>
      <c r="K9" s="3583"/>
      <c r="L9" s="3575"/>
      <c r="M9" s="3581"/>
      <c r="N9" s="3578"/>
      <c r="O9" s="3578"/>
      <c r="P9" s="3578"/>
      <c r="Q9" s="3578"/>
      <c r="R9" s="3578"/>
      <c r="S9" s="3578"/>
      <c r="T9" s="3579"/>
      <c r="U9" s="3572"/>
      <c r="V9" s="3587"/>
      <c r="W9" s="2501" t="s">
        <v>2</v>
      </c>
    </row>
    <row r="10" spans="1:25" ht="19.5" customHeight="1" thickBot="1">
      <c r="A10" s="2502"/>
      <c r="B10" s="2503" t="s">
        <v>5</v>
      </c>
      <c r="C10" s="2504" t="s">
        <v>6</v>
      </c>
      <c r="D10" s="2504" t="s">
        <v>7</v>
      </c>
      <c r="E10" s="2504" t="s">
        <v>8</v>
      </c>
      <c r="F10" s="2505" t="s">
        <v>9</v>
      </c>
      <c r="G10" s="2505" t="s">
        <v>10</v>
      </c>
      <c r="H10" s="2505" t="s">
        <v>11</v>
      </c>
      <c r="I10" s="2505" t="s">
        <v>12</v>
      </c>
      <c r="J10" s="2506" t="s">
        <v>493</v>
      </c>
      <c r="K10" s="2507" t="s">
        <v>13</v>
      </c>
      <c r="L10" s="2508" t="s">
        <v>14</v>
      </c>
      <c r="M10" s="2508" t="s">
        <v>15</v>
      </c>
      <c r="N10" s="2509" t="s">
        <v>16</v>
      </c>
      <c r="O10" s="2509" t="s">
        <v>17</v>
      </c>
      <c r="P10" s="2509" t="s">
        <v>259</v>
      </c>
      <c r="Q10" s="2509" t="s">
        <v>263</v>
      </c>
      <c r="R10" s="2509" t="s">
        <v>324</v>
      </c>
      <c r="S10" s="2509" t="s">
        <v>325</v>
      </c>
      <c r="T10" s="2510" t="s">
        <v>323</v>
      </c>
      <c r="U10" s="3573"/>
      <c r="V10" s="3587"/>
      <c r="W10" s="299"/>
      <c r="X10" s="2511"/>
    </row>
    <row r="11" spans="1:25" ht="13.5" customHeight="1" thickBot="1">
      <c r="A11" s="2512">
        <v>1</v>
      </c>
      <c r="B11" s="2513"/>
      <c r="C11" s="2514"/>
      <c r="D11" s="2515"/>
      <c r="E11" s="2515"/>
      <c r="F11" s="2516"/>
      <c r="G11" s="2516"/>
      <c r="H11" s="2516"/>
      <c r="I11" s="2516"/>
      <c r="J11" s="2516">
        <v>2</v>
      </c>
      <c r="K11" s="2517" t="s">
        <v>326</v>
      </c>
      <c r="L11" s="2516" t="s">
        <v>326</v>
      </c>
      <c r="M11" s="2516">
        <v>3</v>
      </c>
      <c r="N11" s="2518">
        <v>4</v>
      </c>
      <c r="O11" s="2516">
        <v>5</v>
      </c>
      <c r="P11" s="2519">
        <v>6</v>
      </c>
      <c r="Q11" s="2520">
        <v>7</v>
      </c>
      <c r="R11" s="2521">
        <v>8</v>
      </c>
      <c r="S11" s="2516">
        <v>9</v>
      </c>
      <c r="T11" s="2521">
        <v>10</v>
      </c>
      <c r="U11" s="2522">
        <v>11</v>
      </c>
      <c r="V11" s="2523">
        <v>12</v>
      </c>
      <c r="X11" s="3584" t="s">
        <v>54</v>
      </c>
      <c r="Y11" s="3585"/>
    </row>
    <row r="12" spans="1:25" s="2532" customFormat="1" ht="18.75" customHeight="1">
      <c r="A12" s="2524" t="s">
        <v>18</v>
      </c>
      <c r="B12" s="2525">
        <f>+B13+B14</f>
        <v>332845</v>
      </c>
      <c r="C12" s="2525">
        <f t="shared" ref="C12:O12" si="0">+C13+C14</f>
        <v>46426</v>
      </c>
      <c r="D12" s="2525">
        <f t="shared" si="0"/>
        <v>105437</v>
      </c>
      <c r="E12" s="2525">
        <f t="shared" si="0"/>
        <v>8829</v>
      </c>
      <c r="F12" s="2525">
        <f t="shared" si="0"/>
        <v>1709311.3</v>
      </c>
      <c r="G12" s="2525">
        <f t="shared" si="0"/>
        <v>16043618.300000001</v>
      </c>
      <c r="H12" s="2525">
        <f t="shared" si="0"/>
        <v>29461026</v>
      </c>
      <c r="I12" s="2525">
        <f t="shared" si="0"/>
        <v>45451807</v>
      </c>
      <c r="J12" s="2525">
        <f>+J13+J14</f>
        <v>198457920</v>
      </c>
      <c r="K12" s="2526">
        <f t="shared" si="0"/>
        <v>57128808</v>
      </c>
      <c r="L12" s="2525">
        <f t="shared" si="0"/>
        <v>48351131</v>
      </c>
      <c r="M12" s="2525">
        <f t="shared" si="0"/>
        <v>79148961</v>
      </c>
      <c r="N12" s="2525">
        <f t="shared" si="0"/>
        <v>411004528</v>
      </c>
      <c r="O12" s="2525">
        <f t="shared" si="0"/>
        <v>366698969</v>
      </c>
      <c r="P12" s="2525">
        <f t="shared" ref="P12:V12" si="1">+P13+P14</f>
        <v>92448507</v>
      </c>
      <c r="Q12" s="2525">
        <f t="shared" si="1"/>
        <v>80586161</v>
      </c>
      <c r="R12" s="2525">
        <f t="shared" si="1"/>
        <v>39747415</v>
      </c>
      <c r="S12" s="2525">
        <f t="shared" si="1"/>
        <v>37534222</v>
      </c>
      <c r="T12" s="2525">
        <f t="shared" si="1"/>
        <v>35659574</v>
      </c>
      <c r="U12" s="2527">
        <f>+U13+U14</f>
        <v>1341286257</v>
      </c>
      <c r="V12" s="2528">
        <f t="shared" si="1"/>
        <v>1063679376</v>
      </c>
      <c r="W12" s="2529"/>
      <c r="X12" s="2530">
        <f>T12+S12+R12+Q12+P12+O12+N12+M12+L12+J12</f>
        <v>1389637388</v>
      </c>
      <c r="Y12" s="2531">
        <f>U12-X12</f>
        <v>-48351131</v>
      </c>
    </row>
    <row r="13" spans="1:25" s="2532" customFormat="1" ht="17.25" customHeight="1">
      <c r="A13" s="2533" t="s">
        <v>19</v>
      </c>
      <c r="B13" s="2534">
        <f>+'Tab. 6B Polit społ i rozwój prz'!E9+'Tab. 6D - Oświata'!E11+'Tab. 6A -Drogi'!E10+'Tab. 6E - Administracja'!E11+'Tab. 6G - Roln i ochrona środ.'!E10+'Tab. 6H - Kultura fiz. i turyst'!E9+'Tab.6I - Planow. przestrz.'!E10</f>
        <v>0</v>
      </c>
      <c r="C13" s="2535">
        <f>+'Tab. 6B Polit społ i rozwój prz'!F9+'Tab. 6D - Oświata'!F11+'Tab. 6A -Drogi'!F10+'Tab. 6E - Administracja'!F11+'Tab. 6G - Roln i ochrona środ.'!F10+'Tab. 6H - Kultura fiz. i turyst'!F9+'Tab.6I - Planow. przestrz.'!F10</f>
        <v>0</v>
      </c>
      <c r="D13" s="2535">
        <f>+'Tab. 6B Polit społ i rozwój prz'!G9+'Tab. 6D - Oświata'!G11+'Tab. 6A -Drogi'!G10+'Tab. 6E - Administracja'!G11+'Tab. 6G - Roln i ochrona środ.'!G10+'Tab. 6H - Kultura fiz. i turyst'!G9+'Tab.6I - Planow. przestrz.'!G10</f>
        <v>0</v>
      </c>
      <c r="E13" s="2535">
        <f>+'Tab. 6B Polit społ i rozwój prz'!H9+'Tab. 6D - Oświata'!H11+'Tab. 6A -Drogi'!H10+'Tab. 6E - Administracja'!H11+'Tab. 6G - Roln i ochrona środ.'!H10+'Tab. 6H - Kultura fiz. i turyst'!H9+'Tab.6I - Planow. przestrz.'!H10</f>
        <v>0</v>
      </c>
      <c r="F13" s="2534">
        <f>+'Tab. 6B Polit społ i rozwój prz'!I9+'Tab. 6D - Oświata'!I11+'Tab. 6A -Drogi'!I10+'Tab. 6E - Administracja'!I11+'Tab. 6G - Roln i ochrona środ.'!I10+'Tab. 6H - Kultura fiz. i turyst'!I9+'Tab.6I - Planow. przestrz.'!I10+0.3</f>
        <v>0.3</v>
      </c>
      <c r="G13" s="2534">
        <f>+'Tab. 6B Polit społ i rozwój prz'!J9+'Tab. 6D - Oświata'!J11+'Tab. 6A -Drogi'!J10+'Tab. 6E - Administracja'!J11+'Tab. 6G - Roln i ochrona środ.'!J10+'Tab. 6H - Kultura fiz. i turyst'!J9+'Tab.6I - Planow. przestrz.'!J10+0.3</f>
        <v>0.3</v>
      </c>
      <c r="H13" s="2534">
        <f>+'Tab. 6B Polit społ i rozwój prz'!K9+'Tab. 6D - Oświata'!K11+'Tab. 6A -Drogi'!K10+'Tab. 6E - Administracja'!K11+'Tab. 6G - Roln i ochrona środ.'!K10+'Tab. 6H - Kultura fiz. i turyst'!K9+'Tab.6I - Planow. przestrz.'!K10</f>
        <v>0</v>
      </c>
      <c r="I13" s="2534">
        <f>+'Tab. 6B Polit społ i rozwój prz'!L9+'Tab. 6D - Oświata'!L11+'Tab. 6A -Drogi'!L10+'Tab. 6E - Administracja'!L11+'Tab. 6G - Roln i ochrona środ.'!L10+'Tab. 6H - Kultura fiz. i turyst'!L9+'Tab.6I - Planow. przestrz.'!L10</f>
        <v>131442</v>
      </c>
      <c r="J13" s="2534">
        <f>+'Tab. 6B Polit społ i rozwój prz'!M9+'Tab. 6D - Oświata'!M11+'Tab. 6A -Drogi'!M10+'Tab. 6E - Administracja'!M11+'Tab. 6G - Roln i ochrona środ.'!M10+'Tab. 6H - Kultura fiz. i turyst'!M9+'Tab.6I - Planow. przestrz.'!M10</f>
        <v>4598146</v>
      </c>
      <c r="K13" s="2536">
        <f>+'Tab. 6B Polit społ i rozwój prz'!N9+'Tab. 6D - Oświata'!N11+'Tab. 6A -Drogi'!N10+'Tab. 6E - Administracja'!N11+'Tab. 6G - Roln i ochrona środ.'!N10+'Tab. 6H - Kultura fiz. i turyst'!N9+'Tab.6I - Planow. przestrz.'!N10</f>
        <v>175457</v>
      </c>
      <c r="L13" s="2535">
        <f>+'Tab. 6B Polit społ i rozwój prz'!O9+'Tab. 6D - Oświata'!O11+'Tab. 6A -Drogi'!O10+'Tab. 6E - Administracja'!O11+'Tab. 6G - Roln i ochrona środ.'!O10+'Tab. 6H - Kultura fiz. i turyst'!O9+'Tab.6I - Planow. przestrz.'!O10</f>
        <v>4311873</v>
      </c>
      <c r="M13" s="2534">
        <f>+'Tab. 6B Polit społ i rozwój prz'!P9+'Tab. 6D - Oświata'!P11+'Tab. 6A -Drogi'!P10+'Tab. 6E - Administracja'!P11+'Tab. 6G - Roln i ochrona środ.'!P10+'Tab. 6H - Kultura fiz. i turyst'!P9+'Tab.6I - Planow. przestrz.'!P10</f>
        <v>40386014</v>
      </c>
      <c r="N13" s="2534">
        <f>+'Tab. 6B Polit społ i rozwój prz'!Q9+'Tab. 6D - Oświata'!Q11+'Tab. 6A -Drogi'!Q10+'Tab. 6E - Administracja'!Q11+'Tab. 6G - Roln i ochrona środ.'!Q10+'Tab. 6H - Kultura fiz. i turyst'!Q9+'Tab.6I - Planow. przestrz.'!Q10</f>
        <v>54749979</v>
      </c>
      <c r="O13" s="2534">
        <f>+'Tab. 6B Polit społ i rozwój prz'!R9+'Tab. 6D - Oświata'!R11+'Tab. 6A -Drogi'!R10+'Tab. 6E - Administracja'!R11+'Tab. 6G - Roln i ochrona środ.'!R10+'Tab. 6H - Kultura fiz. i turyst'!R9+'Tab.6I - Planow. przestrz.'!R10</f>
        <v>49533589</v>
      </c>
      <c r="P13" s="2534">
        <f>+'Tab. 6B Polit społ i rozwój prz'!S9+'Tab. 6D - Oświata'!S11+'Tab. 6A -Drogi'!S10+'Tab. 6E - Administracja'!S11+'Tab. 6G - Roln i ochrona środ.'!S10+'Tab. 6H - Kultura fiz. i turyst'!S9+'Tab.6I - Planow. przestrz.'!S10</f>
        <v>44702212</v>
      </c>
      <c r="Q13" s="2534">
        <f>+'Tab. 6B Polit społ i rozwój prz'!T9+'Tab. 6D - Oświata'!T11+'Tab. 6A -Drogi'!T10+'Tab. 6E - Administracja'!T11+'Tab. 6G - Roln i ochrona środ.'!T10+'Tab. 6H - Kultura fiz. i turyst'!T9+'Tab.6I - Planow. przestrz.'!T10</f>
        <v>43233390</v>
      </c>
      <c r="R13" s="2534">
        <f>+'Tab. 6B Polit społ i rozwój prz'!U9+'Tab. 6D - Oświata'!U11+'Tab. 6A -Drogi'!U10+'Tab. 6E - Administracja'!U11+'Tab. 6G - Roln i ochrona środ.'!U10+'Tab. 6H - Kultura fiz. i turyst'!U9+'Tab.6I - Planow. przestrz.'!U10</f>
        <v>39585915</v>
      </c>
      <c r="S13" s="2534">
        <f>+'Tab. 6B Polit społ i rozwój prz'!V9+'Tab. 6D - Oświata'!V11+'Tab. 6A -Drogi'!V10+'Tab. 6E - Administracja'!V11+'Tab. 6G - Roln i ochrona środ.'!V10+'Tab. 6H - Kultura fiz. i turyst'!V9+'Tab.6I - Planow. przestrz.'!V10</f>
        <v>37372722</v>
      </c>
      <c r="T13" s="2534">
        <f>+'Tab. 6B Polit społ i rozwój prz'!W9+'Tab. 6D - Oświata'!W11+'Tab. 6A -Drogi'!W10+'Tab. 6E - Administracja'!W11+'Tab. 6G - Roln i ochrona środ.'!W10+'Tab. 6H - Kultura fiz. i turyst'!W9+'Tab.6I - Planow. przestrz.'!W10</f>
        <v>35498074</v>
      </c>
      <c r="U13" s="2537">
        <f>'Tab. 6A -Drogi'!D10+'Tab. 6B Polit społ i rozwój prz'!D9+'Tab. 6D - Oświata'!D11+'Tab. 6E - Administracja'!D11+'Tab. 6G - Roln i ochrona środ.'!D10+'Tab. 6H - Kultura fiz. i turyst'!D9+'Tab.6I - Planow. przestrz.'!D10</f>
        <v>349660041</v>
      </c>
      <c r="V13" s="3235">
        <f>SUM(N13:T13)</f>
        <v>304675881</v>
      </c>
      <c r="W13" s="864">
        <f>V13-N13-O13-P13-Q13-R13-S13-T13</f>
        <v>0</v>
      </c>
      <c r="X13" s="897">
        <f>T13+S13+R13+Q13+P13+O13+N13+M13+L13+J13</f>
        <v>353971914</v>
      </c>
      <c r="Y13" s="898">
        <f>U13-X13</f>
        <v>-4311873</v>
      </c>
    </row>
    <row r="14" spans="1:25" s="2532" customFormat="1" ht="17.25" customHeight="1" thickBot="1">
      <c r="A14" s="2539" t="s">
        <v>20</v>
      </c>
      <c r="B14" s="2540">
        <f>+'Tab. 6D - Oświata'!E12+'Tab. 6A -Drogi'!E11+'Tab. 6E - Administracja'!E12+'Tab. 6G - Roln i ochrona środ.'!E11+'Tab. 6H - Kultura fiz. i turyst'!E10+'Tab. 6B Polit społ i rozwój prz'!E10+'Tab.6I - Planow. przestrz.'!E11</f>
        <v>332845</v>
      </c>
      <c r="C14" s="2541">
        <f>+'Tab. 6D - Oświata'!F12+'Tab. 6A -Drogi'!F11+'Tab. 6E - Administracja'!F12+'Tab. 6G - Roln i ochrona środ.'!F11+'Tab. 6H - Kultura fiz. i turyst'!F10+'Tab.6I - Planow. przestrz.'!F11</f>
        <v>46426</v>
      </c>
      <c r="D14" s="2541">
        <f>+'Tab. 6D - Oświata'!G12+'Tab. 6A -Drogi'!G11+'Tab. 6E - Administracja'!G12+'Tab. 6G - Roln i ochrona środ.'!G11+'Tab. 6H - Kultura fiz. i turyst'!G10+'Tab.6I - Planow. przestrz.'!G11</f>
        <v>105437</v>
      </c>
      <c r="E14" s="2541">
        <f>+'Tab. 6D - Oświata'!H12+'Tab. 6A -Drogi'!H11+'Tab. 6E - Administracja'!H12+'Tab. 6G - Roln i ochrona środ.'!H11+'Tab. 6H - Kultura fiz. i turyst'!H10+'Tab.6I - Planow. przestrz.'!H11</f>
        <v>8829</v>
      </c>
      <c r="F14" s="2540">
        <f>+'Tab. 6D - Oświata'!I12+'Tab. 6A -Drogi'!I11+'Tab. 6E - Administracja'!I12+'Tab. 6G - Roln i ochrona środ.'!I11+'Tab. 6H - Kultura fiz. i turyst'!I10+'Tab. 6B Polit społ i rozwój prz'!I10+'Tab.6I - Planow. przestrz.'!I11</f>
        <v>1709311</v>
      </c>
      <c r="G14" s="2540">
        <f>+'Tab. 6D - Oświata'!J12+'Tab. 6A -Drogi'!J11+'Tab. 6E - Administracja'!J12+'Tab. 6G - Roln i ochrona środ.'!J11+'Tab. 6H - Kultura fiz. i turyst'!J10+'Tab.6I - Planow. przestrz.'!J11+'Tab. 6B Polit społ i rozwój prz'!J10</f>
        <v>16043618</v>
      </c>
      <c r="H14" s="2540">
        <f>+'Tab. 6D - Oświata'!K12+'Tab. 6A -Drogi'!K11+'Tab. 6E - Administracja'!K12+'Tab. 6G - Roln i ochrona środ.'!K11+'Tab. 6H - Kultura fiz. i turyst'!K10+'Tab.6I - Planow. przestrz.'!K11+'Tab. 6B Polit społ i rozwój prz'!K10</f>
        <v>29461026</v>
      </c>
      <c r="I14" s="2540">
        <f>+'Tab. 6D - Oświata'!L12+'Tab. 6A -Drogi'!L11+'Tab. 6E - Administracja'!L12+'Tab. 6G - Roln i ochrona środ.'!L11+'Tab. 6H - Kultura fiz. i turyst'!L10+'Tab.6I - Planow. przestrz.'!L11+'Tab. 6B Polit społ i rozwój prz'!L10</f>
        <v>45320365</v>
      </c>
      <c r="J14" s="2540">
        <f>+'Tab. 6D - Oświata'!M12+'Tab. 6A -Drogi'!M11+'Tab. 6E - Administracja'!M12+'Tab. 6G - Roln i ochrona środ.'!M11+'Tab. 6H - Kultura fiz. i turyst'!M10+'Tab. 6B Polit społ i rozwój prz'!M10+'Tab.6I - Planow. przestrz.'!M11</f>
        <v>193859774</v>
      </c>
      <c r="K14" s="2542">
        <f>+'Tab. 6D - Oświata'!N12+'Tab. 6A -Drogi'!N11+'Tab. 6E - Administracja'!N12+'Tab. 6G - Roln i ochrona środ.'!N11+'Tab. 6H - Kultura fiz. i turyst'!N10+'Tab. 6B Polit społ i rozwój prz'!N10+'Tab.6I - Planow. przestrz.'!N11</f>
        <v>56953351</v>
      </c>
      <c r="L14" s="2541">
        <f>+'Tab. 6D - Oświata'!O12+'Tab. 6A -Drogi'!O11+'Tab. 6E - Administracja'!O12+'Tab. 6G - Roln i ochrona środ.'!O11+'Tab. 6H - Kultura fiz. i turyst'!O10+'Tab. 6B Polit społ i rozwój prz'!O10+'Tab.6I - Planow. przestrz.'!O11</f>
        <v>44039258</v>
      </c>
      <c r="M14" s="2540">
        <f>+'Tab. 6D - Oświata'!P12+'Tab. 6A -Drogi'!P11+'Tab. 6E - Administracja'!P12+'Tab. 6G - Roln i ochrona środ.'!P11+'Tab. 6H - Kultura fiz. i turyst'!P10+'Tab. 6B Polit społ i rozwój prz'!P10+'Tab.6I - Planow. przestrz.'!P11</f>
        <v>38762947</v>
      </c>
      <c r="N14" s="2540">
        <f>+'Tab. 6D - Oświata'!Q12+'Tab. 6A -Drogi'!Q11+'Tab. 6E - Administracja'!Q12+'Tab. 6G - Roln i ochrona środ.'!Q11+'Tab. 6H - Kultura fiz. i turyst'!Q10+'Tab. 6B Polit społ i rozwój prz'!Q10+'Tab.6I - Planow. przestrz.'!Q11</f>
        <v>356254549</v>
      </c>
      <c r="O14" s="2540">
        <f>+'Tab. 6D - Oświata'!R12+'Tab. 6A -Drogi'!R11+'Tab. 6E - Administracja'!R12+'Tab. 6G - Roln i ochrona środ.'!R11+'Tab. 6H - Kultura fiz. i turyst'!R10+'Tab. 6B Polit społ i rozwój prz'!R10+'Tab.6I - Planow. przestrz.'!R11</f>
        <v>317165380</v>
      </c>
      <c r="P14" s="2540">
        <f>+'Tab. 6D - Oświata'!S12+'Tab. 6A -Drogi'!S11+'Tab. 6E - Administracja'!S12+'Tab. 6G - Roln i ochrona środ.'!S11+'Tab. 6H - Kultura fiz. i turyst'!S10+'Tab. 6B Polit społ i rozwój prz'!S10+'Tab.6I - Planow. przestrz.'!S11</f>
        <v>47746295</v>
      </c>
      <c r="Q14" s="2540">
        <f>+'Tab. 6D - Oświata'!T12+'Tab. 6A -Drogi'!T11+'Tab. 6E - Administracja'!T12+'Tab. 6G - Roln i ochrona środ.'!T11+'Tab. 6H - Kultura fiz. i turyst'!T10+'Tab. 6B Polit społ i rozwój prz'!T10+'Tab.6I - Planow. przestrz.'!T11</f>
        <v>37352771</v>
      </c>
      <c r="R14" s="2540">
        <f>+'Tab. 6D - Oświata'!U12+'Tab. 6A -Drogi'!U11+'Tab. 6E - Administracja'!U12+'Tab. 6G - Roln i ochrona środ.'!U11+'Tab. 6H - Kultura fiz. i turyst'!U10+'Tab. 6B Polit społ i rozwój prz'!U10+'Tab.6I - Planow. przestrz.'!U11</f>
        <v>161500</v>
      </c>
      <c r="S14" s="2540">
        <f>+'Tab. 6D - Oświata'!V12+'Tab. 6A -Drogi'!V11+'Tab. 6E - Administracja'!V12+'Tab. 6G - Roln i ochrona środ.'!V11+'Tab. 6H - Kultura fiz. i turyst'!V10+'Tab. 6B Polit społ i rozwój prz'!V10+'Tab.6I - Planow. przestrz.'!V11</f>
        <v>161500</v>
      </c>
      <c r="T14" s="2540">
        <f>+'Tab. 6D - Oświata'!W12+'Tab. 6A -Drogi'!W11+'Tab. 6E - Administracja'!W12+'Tab. 6G - Roln i ochrona środ.'!W11+'Tab. 6H - Kultura fiz. i turyst'!W10+'Tab. 6B Polit społ i rozwój prz'!W10+'Tab.6I - Planow. przestrz.'!W11</f>
        <v>161500</v>
      </c>
      <c r="U14" s="2543">
        <f>'Tab. 6A -Drogi'!D11+'Tab. 6B Polit społ i rozwój prz'!D10+'Tab. 6D - Oświata'!D12+'Tab. 6E - Administracja'!D12+'Tab. 6G - Roln i ochrona środ.'!D11+'Tab. 6H - Kultura fiz. i turyst'!D10+'Tab.6I - Planow. przestrz.'!D11</f>
        <v>991626216</v>
      </c>
      <c r="V14" s="3236">
        <f>SUM(N14:T14)</f>
        <v>759003495</v>
      </c>
      <c r="W14" s="864">
        <f>V14-N14-O14-P14-Q14-R14-S14-T14</f>
        <v>0</v>
      </c>
      <c r="X14" s="897">
        <f>T14+S14+R14+Q14+P14+O14+N14+M14+L14+J14</f>
        <v>1035665474</v>
      </c>
      <c r="Y14" s="898">
        <f>U14-X14</f>
        <v>-44039258</v>
      </c>
    </row>
    <row r="15" spans="1:25" s="899" customFormat="1">
      <c r="A15" s="2544"/>
      <c r="B15" s="2545"/>
      <c r="C15" s="2545"/>
      <c r="D15" s="2545"/>
      <c r="E15" s="2545"/>
      <c r="F15" s="2545"/>
      <c r="G15" s="2545"/>
      <c r="H15" s="2545"/>
      <c r="I15" s="2545"/>
      <c r="J15" s="2545"/>
      <c r="K15" s="2545"/>
      <c r="L15" s="2545"/>
      <c r="M15" s="2545"/>
      <c r="N15" s="2545"/>
      <c r="O15" s="2545"/>
      <c r="P15" s="2545"/>
      <c r="Q15" s="2545"/>
      <c r="R15" s="2545"/>
      <c r="S15" s="2545"/>
      <c r="T15" s="2545"/>
      <c r="U15" s="2545"/>
      <c r="V15" s="2545"/>
      <c r="W15" s="896"/>
      <c r="X15" s="897">
        <f t="shared" ref="X15:X31" si="2">T15+S15+R15+Q15+P15+O15+N15+M15+L15+J15</f>
        <v>0</v>
      </c>
      <c r="Y15" s="898">
        <f t="shared" ref="Y15:Y31" si="3">U15-X15</f>
        <v>0</v>
      </c>
    </row>
    <row r="16" spans="1:25" s="2552" customFormat="1" ht="18" customHeight="1">
      <c r="A16" s="2546" t="s">
        <v>21</v>
      </c>
      <c r="B16" s="2547" t="e">
        <f t="shared" ref="B16:V16" si="4">+B17+B26</f>
        <v>#REF!</v>
      </c>
      <c r="C16" s="2547" t="e">
        <f t="shared" si="4"/>
        <v>#REF!</v>
      </c>
      <c r="D16" s="2548" t="e">
        <f t="shared" si="4"/>
        <v>#REF!</v>
      </c>
      <c r="E16" s="2548" t="e">
        <f t="shared" si="4"/>
        <v>#REF!</v>
      </c>
      <c r="F16" s="2548" t="e">
        <f t="shared" si="4"/>
        <v>#REF!</v>
      </c>
      <c r="G16" s="2548" t="e">
        <f t="shared" si="4"/>
        <v>#REF!</v>
      </c>
      <c r="H16" s="2548" t="e">
        <f t="shared" si="4"/>
        <v>#REF!</v>
      </c>
      <c r="I16" s="2548" t="e">
        <f t="shared" si="4"/>
        <v>#REF!</v>
      </c>
      <c r="J16" s="2548">
        <f t="shared" si="4"/>
        <v>198457920.30000001</v>
      </c>
      <c r="K16" s="2549">
        <f t="shared" si="4"/>
        <v>57128808</v>
      </c>
      <c r="L16" s="2548">
        <f t="shared" si="4"/>
        <v>48351131</v>
      </c>
      <c r="M16" s="2548">
        <f>+M17+M26</f>
        <v>79540077</v>
      </c>
      <c r="N16" s="2548">
        <f t="shared" si="4"/>
        <v>411628835</v>
      </c>
      <c r="O16" s="2548">
        <f t="shared" si="4"/>
        <v>366944242</v>
      </c>
      <c r="P16" s="2548">
        <f t="shared" si="4"/>
        <v>92512526</v>
      </c>
      <c r="Q16" s="2548">
        <f t="shared" si="4"/>
        <v>80650180</v>
      </c>
      <c r="R16" s="2548">
        <f t="shared" si="4"/>
        <v>39811434</v>
      </c>
      <c r="S16" s="2548">
        <f t="shared" si="4"/>
        <v>37598240</v>
      </c>
      <c r="T16" s="2548">
        <f t="shared" si="4"/>
        <v>35723592</v>
      </c>
      <c r="U16" s="2550">
        <f>+U17+U26</f>
        <v>1342867046.3</v>
      </c>
      <c r="V16" s="2551">
        <f t="shared" si="4"/>
        <v>1063679376</v>
      </c>
      <c r="W16" s="864"/>
      <c r="X16" s="897">
        <f>T16+S16+R16+Q16+P16+O16+N16+M16+L16+J16</f>
        <v>1391218177.3</v>
      </c>
      <c r="Y16" s="898">
        <f>U16-X16</f>
        <v>-48351131</v>
      </c>
    </row>
    <row r="17" spans="1:25" s="2558" customFormat="1" ht="17.25" customHeight="1">
      <c r="A17" s="2553" t="s">
        <v>22</v>
      </c>
      <c r="B17" s="2554" t="e">
        <f>SUM(B18:B24)</f>
        <v>#REF!</v>
      </c>
      <c r="C17" s="2554" t="e">
        <f t="shared" ref="C17:I17" si="5">SUM(C18:C24)</f>
        <v>#REF!</v>
      </c>
      <c r="D17" s="2554" t="e">
        <f t="shared" si="5"/>
        <v>#REF!</v>
      </c>
      <c r="E17" s="2554" t="e">
        <f t="shared" si="5"/>
        <v>#REF!</v>
      </c>
      <c r="F17" s="2554" t="e">
        <f t="shared" si="5"/>
        <v>#REF!</v>
      </c>
      <c r="G17" s="2554" t="e">
        <f t="shared" si="5"/>
        <v>#REF!</v>
      </c>
      <c r="H17" s="2554" t="e">
        <f t="shared" si="5"/>
        <v>#REF!</v>
      </c>
      <c r="I17" s="2554" t="e">
        <f t="shared" si="5"/>
        <v>#REF!</v>
      </c>
      <c r="J17" s="2554">
        <f t="shared" ref="J17:T17" si="6">SUM(J18:J25)</f>
        <v>43645351.299999997</v>
      </c>
      <c r="K17" s="2555">
        <f t="shared" si="6"/>
        <v>10248016</v>
      </c>
      <c r="L17" s="2554">
        <f t="shared" si="6"/>
        <v>3937721</v>
      </c>
      <c r="M17" s="2554">
        <f>SUM(M18:M25)</f>
        <v>12050933</v>
      </c>
      <c r="N17" s="2554">
        <f t="shared" si="6"/>
        <v>76262120</v>
      </c>
      <c r="O17" s="2554">
        <f t="shared" si="6"/>
        <v>67590624</v>
      </c>
      <c r="P17" s="2554">
        <f>SUM(P18:P25)</f>
        <v>19714032</v>
      </c>
      <c r="Q17" s="2554">
        <f t="shared" si="6"/>
        <v>13627341</v>
      </c>
      <c r="R17" s="2554">
        <f>SUM(R18:R25)</f>
        <v>7327805</v>
      </c>
      <c r="S17" s="2554">
        <f t="shared" si="6"/>
        <v>5386561</v>
      </c>
      <c r="T17" s="2554">
        <f t="shared" si="6"/>
        <v>4921078</v>
      </c>
      <c r="U17" s="2556">
        <f>SUM(U18:U25)</f>
        <v>250525845.30000001</v>
      </c>
      <c r="V17" s="2557">
        <f>SUM(V18:V25)</f>
        <v>193639888</v>
      </c>
      <c r="W17" s="864"/>
      <c r="X17" s="897">
        <f>T17+S17+R17+Q17+P17+O17+N17+M17+L17+J17</f>
        <v>254463566.30000001</v>
      </c>
      <c r="Y17" s="898">
        <f t="shared" si="3"/>
        <v>-3937721</v>
      </c>
    </row>
    <row r="18" spans="1:25" s="899" customFormat="1" ht="14.25" customHeight="1">
      <c r="A18" s="2559" t="s">
        <v>23</v>
      </c>
      <c r="B18" s="2560">
        <f>+'Tab. 6B Polit społ i rozwój prz'!E13+'Tab. 6D - Oświata'!E15+'Tab. 6A -Drogi'!E14+'Tab. 6E - Administracja'!E15+'Tab. 6G - Roln i ochrona środ.'!E14+'Tab. 6H - Kultura fiz. i turyst'!E13+'Tab.6I - Planow. przestrz.'!E14</f>
        <v>208397</v>
      </c>
      <c r="C18" s="2560">
        <f>+'Tab. 6B Polit społ i rozwój prz'!F13+'Tab. 6D - Oświata'!F15+'Tab. 6A -Drogi'!F14+'Tab. 6E - Administracja'!F15+'Tab. 6G - Roln i ochrona środ.'!F14+'Tab. 6H - Kultura fiz. i turyst'!F13+'Tab.6I - Planow. przestrz.'!F14</f>
        <v>46426</v>
      </c>
      <c r="D18" s="2560">
        <f>+'Tab. 6B Polit społ i rozwój prz'!G13+'Tab. 6D - Oświata'!G15+'Tab. 6A -Drogi'!G14+'Tab. 6E - Administracja'!G15+'Tab. 6G - Roln i ochrona środ.'!G14+'Tab. 6H - Kultura fiz. i turyst'!G13+'Tab.6I - Planow. przestrz.'!G14</f>
        <v>105437</v>
      </c>
      <c r="E18" s="2560">
        <f>+'Tab. 6B Polit społ i rozwój prz'!H13+'Tab. 6D - Oświata'!H15+'Tab. 6A -Drogi'!H14+'Tab. 6E - Administracja'!H15+'Tab. 6G - Roln i ochrona środ.'!H14+'Tab. 6H - Kultura fiz. i turyst'!H13+'Tab.6I - Planow. przestrz.'!H14</f>
        <v>0</v>
      </c>
      <c r="F18" s="2560">
        <f>+'Tab. 6B Polit społ i rozwój prz'!I13+'Tab. 6D - Oświata'!I15+'Tab. 6A -Drogi'!I14+'Tab. 6E - Administracja'!I15+'Tab. 6G - Roln i ochrona środ.'!I14+'Tab. 6H - Kultura fiz. i turyst'!I13+'Tab.6I - Planow. przestrz.'!I14</f>
        <v>699012</v>
      </c>
      <c r="G18" s="2560">
        <f>+'Tab. 6B Polit społ i rozwój prz'!J13+'Tab. 6D - Oświata'!J15+'Tab. 6A -Drogi'!J14+'Tab. 6E - Administracja'!J15+'Tab. 6G - Roln i ochrona środ.'!J14+'Tab. 6H - Kultura fiz. i turyst'!J13+'Tab.6I - Planow. przestrz.'!J14</f>
        <v>381008</v>
      </c>
      <c r="H18" s="2560">
        <f>+'Tab. 6B Polit społ i rozwój prz'!K13+'Tab. 6D - Oświata'!K15+'Tab. 6A -Drogi'!K14+'Tab. 6E - Administracja'!K15+'Tab. 6G - Roln i ochrona środ.'!K14+'Tab. 6H - Kultura fiz. i turyst'!K13+'Tab.6I - Planow. przestrz.'!K14</f>
        <v>1680948</v>
      </c>
      <c r="I18" s="2560">
        <f>+'Tab. 6B Polit społ i rozwój prz'!L13+'Tab. 6D - Oświata'!L15+'Tab. 6A -Drogi'!L14+'Tab. 6E - Administracja'!L15+'Tab. 6G - Roln i ochrona środ.'!L14+'Tab. 6H - Kultura fiz. i turyst'!L13+'Tab.6I - Planow. przestrz.'!L14+0.3</f>
        <v>2096248.3</v>
      </c>
      <c r="J18" s="2560">
        <f>+'Tab. 6B Polit społ i rozwój prz'!M13+'Tab. 6D - Oświata'!M15+'Tab. 6A -Drogi'!M14+'Tab. 6E - Administracja'!M15+'Tab. 6G - Roln i ochrona środ.'!M14+'Tab. 6H - Kultura fiz. i turyst'!M13+'Tab.6I - Planow. przestrz.'!M14+0.3</f>
        <v>14596260.300000001</v>
      </c>
      <c r="K18" s="2561">
        <f>+'Tab. 6B Polit społ i rozwój prz'!N13+'Tab. 6D - Oświata'!N15+'Tab. 6A -Drogi'!N14+'Tab. 6E - Administracja'!N15+'Tab. 6G - Roln i ochrona środ.'!N14+'Tab. 6H - Kultura fiz. i turyst'!N13+'Tab.6I - Planow. przestrz.'!N14</f>
        <v>6847601</v>
      </c>
      <c r="L18" s="2560">
        <f>+'Tab. 6B Polit społ i rozwój prz'!O13+'Tab. 6D - Oświata'!O15+'Tab. 6A -Drogi'!O14+'Tab. 6E - Administracja'!O15+'Tab. 6G - Roln i ochrona środ.'!O14+'Tab. 6H - Kultura fiz. i turyst'!O13+'Tab.6I - Planow. przestrz.'!O14</f>
        <v>2683091</v>
      </c>
      <c r="M18" s="2560">
        <f>+'Tab. 6B Polit społ i rozwój prz'!P13+'Tab. 6D - Oświata'!P15+'Tab. 6A -Drogi'!P14+'Tab. 6E - Administracja'!P15+'Tab. 6G - Roln i ochrona środ.'!P14+'Tab. 6H - Kultura fiz. i turyst'!P13+'Tab.6I - Planow. przestrz.'!P14</f>
        <v>6966002</v>
      </c>
      <c r="N18" s="2560">
        <f>+'Tab. 6B Polit społ i rozwój prz'!Q13+'Tab. 6D - Oświata'!Q15+'Tab. 6A -Drogi'!Q14+'Tab. 6E - Administracja'!Q15+'Tab. 6G - Roln i ochrona środ.'!Q14+'Tab. 6H - Kultura fiz. i turyst'!Q13+'Tab.6I - Planow. przestrz.'!Q14</f>
        <v>43959036</v>
      </c>
      <c r="O18" s="2560">
        <f>+'Tab. 6B Polit społ i rozwój prz'!R13+'Tab. 6D - Oświata'!R15+'Tab. 6A -Drogi'!R14+'Tab. 6E - Administracja'!R15+'Tab. 6G - Roln i ochrona środ.'!R14+'Tab. 6H - Kultura fiz. i turyst'!R13+'Tab.6I - Planow. przestrz.'!R14</f>
        <v>44445255</v>
      </c>
      <c r="P18" s="2560">
        <f>+'Tab. 6B Polit społ i rozwój prz'!S13+'Tab. 6D - Oświata'!S15+'Tab. 6A -Drogi'!S14+'Tab. 6E - Administracja'!S15+'Tab. 6G - Roln i ochrona środ.'!S14+'Tab. 6H - Kultura fiz. i turyst'!S13+'Tab.6I - Planow. przestrz.'!S14</f>
        <v>14489205</v>
      </c>
      <c r="Q18" s="2560">
        <f>+'Tab. 6B Polit społ i rozwój prz'!T13+'Tab. 6D - Oświata'!T15+'Tab. 6A -Drogi'!T14+'Tab. 6E - Administracja'!T15+'Tab. 6G - Roln i ochrona środ.'!T14+'Tab. 6H - Kultura fiz. i turyst'!T13+'Tab.6I - Planow. przestrz.'!T14</f>
        <v>8598788</v>
      </c>
      <c r="R18" s="2560">
        <f>+'Tab. 6B Polit społ i rozwój prz'!U13+'Tab. 6D - Oświata'!U15+'Tab. 6A -Drogi'!U14+'Tab. 6E - Administracja'!U15+'Tab. 6G - Roln i ochrona środ.'!U14+'Tab. 6H - Kultura fiz. i turyst'!U13+'Tab.6I - Planow. przestrz.'!U14</f>
        <v>6274372</v>
      </c>
      <c r="S18" s="2560">
        <f>+'Tab. 6B Polit społ i rozwój prz'!V13+'Tab. 6D - Oświata'!V15+'Tab. 6A -Drogi'!V14+'Tab. 6E - Administracja'!V15+'Tab. 6G - Roln i ochrona środ.'!V14+'Tab. 6H - Kultura fiz. i turyst'!V13+'Tab.6I - Planow. przestrz.'!V14</f>
        <v>4333129</v>
      </c>
      <c r="T18" s="2560">
        <f>+'Tab. 6B Polit społ i rozwój prz'!W13+'Tab. 6D - Oświata'!W15+'Tab. 6A -Drogi'!W14+'Tab. 6E - Administracja'!W15+'Tab. 6G - Roln i ochrona środ.'!W14+'Tab. 6H - Kultura fiz. i turyst'!W13+'Tab.6I - Planow. przestrz.'!W14</f>
        <v>4362353</v>
      </c>
      <c r="U18" s="2562">
        <f>J18+M18+N18+O18+P18+Q18+R18+S18+T18</f>
        <v>148024400.30000001</v>
      </c>
      <c r="V18" s="2538">
        <f>SUM(N18:T18)</f>
        <v>126462138</v>
      </c>
      <c r="W18" s="864"/>
      <c r="X18" s="897">
        <f t="shared" si="2"/>
        <v>150707491.30000001</v>
      </c>
      <c r="Y18" s="898">
        <f t="shared" si="3"/>
        <v>-2683091</v>
      </c>
    </row>
    <row r="19" spans="1:25" s="899" customFormat="1" ht="15.75" customHeight="1">
      <c r="A19" s="900" t="s">
        <v>24</v>
      </c>
      <c r="B19" s="2560" t="e">
        <f>+'Tab. 6B Polit społ i rozwój prz'!E14+'Tab. 6A -Drogi'!E15+'Tab. 6E - Administracja'!E16+'Tab. 6G - Roln i ochrona środ.'!E15</f>
        <v>#REF!</v>
      </c>
      <c r="C19" s="2560" t="e">
        <f>+'Tab. 6B Polit społ i rozwój prz'!F14+'Tab. 6A -Drogi'!F15+'Tab. 6E - Administracja'!F16+'Tab. 6G - Roln i ochrona środ.'!F15</f>
        <v>#REF!</v>
      </c>
      <c r="D19" s="2560" t="e">
        <f>+'Tab. 6B Polit społ i rozwój prz'!G14+'Tab. 6A -Drogi'!G15+'Tab. 6E - Administracja'!G16+'Tab. 6G - Roln i ochrona środ.'!G15</f>
        <v>#REF!</v>
      </c>
      <c r="E19" s="2560" t="e">
        <f>+'Tab. 6B Polit społ i rozwój prz'!H14+'Tab. 6A -Drogi'!H15+'Tab. 6E - Administracja'!H16+'Tab. 6G - Roln i ochrona środ.'!H15</f>
        <v>#REF!</v>
      </c>
      <c r="F19" s="2560" t="e">
        <f>+'Tab. 6B Polit społ i rozwój prz'!I14+'Tab. 6A -Drogi'!I15+'Tab. 6E - Administracja'!I16+'Tab. 6G - Roln i ochrona środ.'!I15</f>
        <v>#REF!</v>
      </c>
      <c r="G19" s="2560" t="e">
        <f>+'Tab. 6B Polit społ i rozwój prz'!J14+'Tab. 6A -Drogi'!J15+'Tab. 6E - Administracja'!J16+'Tab. 6G - Roln i ochrona środ.'!J15</f>
        <v>#REF!</v>
      </c>
      <c r="H19" s="2560" t="e">
        <f>+'Tab. 6B Polit społ i rozwój prz'!K14+'Tab. 6A -Drogi'!K15+'Tab. 6E - Administracja'!K16+'Tab. 6G - Roln i ochrona środ.'!K15</f>
        <v>#REF!</v>
      </c>
      <c r="I19" s="2560" t="e">
        <f>+'Tab. 6B Polit społ i rozwój prz'!L14+'Tab. 6A -Drogi'!L15+'Tab. 6E - Administracja'!L16+'Tab. 6G - Roln i ochrona środ.'!L15</f>
        <v>#REF!</v>
      </c>
      <c r="J19" s="2560">
        <f>+'Tab. 6B Polit społ i rozwój prz'!M14+'Tab. 6A -Drogi'!M15+'Tab. 6E - Administracja'!M16+'Tab. 6G - Roln i ochrona środ.'!M15+'Tab.6I - Planow. przestrz.'!M15</f>
        <v>948349</v>
      </c>
      <c r="K19" s="2560">
        <f>+'Tab. 6B Polit społ i rozwój prz'!N14+'Tab. 6A -Drogi'!N15+'Tab. 6E - Administracja'!N16+'Tab. 6G - Roln i ochrona środ.'!N15+'Tab.6I - Planow. przestrz.'!N15</f>
        <v>0</v>
      </c>
      <c r="L19" s="2560">
        <f>+'Tab. 6B Polit społ i rozwój prz'!O14+'Tab. 6A -Drogi'!O15+'Tab. 6E - Administracja'!O16+'Tab. 6G - Roln i ochrona środ.'!O15+'Tab.6I - Planow. przestrz.'!O15</f>
        <v>948349</v>
      </c>
      <c r="M19" s="2560">
        <f>+'Tab. 6B Polit społ i rozwój prz'!P14+'Tab. 6A -Drogi'!P15+'Tab. 6E - Administracja'!P16+'Tab. 6G - Roln i ochrona środ.'!P15+'Tab.6I - Planow. przestrz.'!P15</f>
        <v>1654478</v>
      </c>
      <c r="N19" s="2560">
        <f>+'Tab. 6B Polit społ i rozwój prz'!Q14+'Tab. 6A -Drogi'!Q15+'Tab. 6E - Administracja'!Q16+'Tab. 6G - Roln i ochrona środ.'!Q15+'Tab.6I - Planow. przestrz.'!Q15</f>
        <v>2386019</v>
      </c>
      <c r="O19" s="2560">
        <f>+'Tab. 6B Polit społ i rozwój prz'!R14+'Tab. 6A -Drogi'!R15+'Tab. 6E - Administracja'!R16+'Tab. 6G - Roln i ochrona środ.'!R15+'Tab.6I - Planow. przestrz.'!R15</f>
        <v>1648351</v>
      </c>
      <c r="P19" s="2560">
        <f>+'Tab. 6B Polit społ i rozwój prz'!S14+'Tab. 6A -Drogi'!S15+'Tab. 6E - Administracja'!S16+'Tab. 6G - Roln i ochrona środ.'!S15+'Tab.6I - Planow. przestrz.'!S15</f>
        <v>1151570</v>
      </c>
      <c r="Q19" s="2560">
        <f>+'Tab. 6B Polit społ i rozwój prz'!T14+'Tab. 6A -Drogi'!T15+'Tab. 6E - Administracja'!T16+'Tab. 6G - Roln i ochrona środ.'!T15+'Tab.6I - Planow. przestrz.'!T15</f>
        <v>1216734</v>
      </c>
      <c r="R19" s="2560">
        <f>+'Tab. 6B Polit społ i rozwój prz'!U14+'Tab. 6A -Drogi'!U15+'Tab. 6E - Administracja'!U16+'Tab. 6G - Roln i ochrona środ.'!U15+'Tab.6I - Planow. przestrz.'!U15</f>
        <v>989414</v>
      </c>
      <c r="S19" s="2560">
        <f>+'Tab. 6B Polit społ i rozwój prz'!V14+'Tab. 6A -Drogi'!V15+'Tab. 6E - Administracja'!V16+'Tab. 6G - Roln i ochrona środ.'!V15+'Tab.6I - Planow. przestrz.'!V15</f>
        <v>989414</v>
      </c>
      <c r="T19" s="2560">
        <f>+'Tab. 6B Polit społ i rozwój prz'!W14+'Tab. 6A -Drogi'!W15+'Tab. 6E - Administracja'!W16+'Tab. 6G - Roln i ochrona środ.'!W15+'Tab.6I - Planow. przestrz.'!W15</f>
        <v>494707</v>
      </c>
      <c r="U19" s="2562">
        <f>J19+M19+N19+O19+P19+Q19+R19+S19+T19</f>
        <v>11479036</v>
      </c>
      <c r="V19" s="2538">
        <f>SUM(N19:T19)</f>
        <v>8876209</v>
      </c>
      <c r="W19" s="864"/>
      <c r="X19" s="897">
        <f t="shared" si="2"/>
        <v>12427385</v>
      </c>
      <c r="Y19" s="898">
        <f t="shared" si="3"/>
        <v>-948349</v>
      </c>
    </row>
    <row r="20" spans="1:25" s="899" customFormat="1" ht="13.5" hidden="1" customHeight="1">
      <c r="A20" s="900" t="s">
        <v>25</v>
      </c>
      <c r="B20" s="2560">
        <f>+'Tab. 6G - Roln i ochrona środ.'!E16</f>
        <v>0</v>
      </c>
      <c r="C20" s="2560">
        <f>+'Tab. 6G - Roln i ochrona środ.'!F16</f>
        <v>0</v>
      </c>
      <c r="D20" s="2560">
        <f>+'Tab. 6G - Roln i ochrona środ.'!G16</f>
        <v>0</v>
      </c>
      <c r="E20" s="2560">
        <f>+'Tab. 6G - Roln i ochrona środ.'!H16</f>
        <v>0</v>
      </c>
      <c r="F20" s="2560">
        <f>+'Tab. 6G - Roln i ochrona środ.'!I16</f>
        <v>0</v>
      </c>
      <c r="G20" s="2560">
        <f>+'Tab. 6G - Roln i ochrona środ.'!J16</f>
        <v>0</v>
      </c>
      <c r="H20" s="2560">
        <f>+'Tab. 6G - Roln i ochrona środ.'!K16</f>
        <v>0</v>
      </c>
      <c r="I20" s="2560">
        <f>+'Tab. 6G - Roln i ochrona środ.'!L16</f>
        <v>0</v>
      </c>
      <c r="J20" s="2560">
        <f>+'Tab. 6G - Roln i ochrona środ.'!M16</f>
        <v>0</v>
      </c>
      <c r="K20" s="2561">
        <f>+'Tab. 6G - Roln i ochrona środ.'!N16</f>
        <v>0</v>
      </c>
      <c r="L20" s="2560">
        <f>+'Tab. 6G - Roln i ochrona środ.'!O16</f>
        <v>0</v>
      </c>
      <c r="M20" s="2563">
        <f>+'Tab. 6G - Roln i ochrona środ.'!P16</f>
        <v>0</v>
      </c>
      <c r="N20" s="2563">
        <f>+'Tab. 6G - Roln i ochrona środ.'!Q16</f>
        <v>0</v>
      </c>
      <c r="O20" s="2563">
        <f>+'Tab. 6G - Roln i ochrona środ.'!R16</f>
        <v>0</v>
      </c>
      <c r="P20" s="2563">
        <f>+'Tab. 6G - Roln i ochrona środ.'!S16</f>
        <v>0</v>
      </c>
      <c r="Q20" s="2563">
        <f>+'Tab. 6G - Roln i ochrona środ.'!T16</f>
        <v>0</v>
      </c>
      <c r="R20" s="2563">
        <f>+'Tab. 6G - Roln i ochrona środ.'!U16</f>
        <v>0</v>
      </c>
      <c r="S20" s="2563">
        <f>+'Tab. 6G - Roln i ochrona środ.'!V16</f>
        <v>0</v>
      </c>
      <c r="T20" s="2563">
        <f>+'Tab. 6G - Roln i ochrona środ.'!W16</f>
        <v>0</v>
      </c>
      <c r="U20" s="2562">
        <f t="shared" ref="U20" si="7">J20+L20+M20+N20+O20+P20+Q20+R20+S20+T20</f>
        <v>0</v>
      </c>
      <c r="V20" s="2538">
        <f t="shared" ref="V20" si="8">SUM(M20:T20)</f>
        <v>0</v>
      </c>
      <c r="W20" s="864"/>
      <c r="X20" s="897">
        <f t="shared" si="2"/>
        <v>0</v>
      </c>
      <c r="Y20" s="898">
        <f t="shared" si="3"/>
        <v>0</v>
      </c>
    </row>
    <row r="21" spans="1:25" s="899" customFormat="1" ht="15.75" customHeight="1">
      <c r="A21" s="900" t="s">
        <v>26</v>
      </c>
      <c r="B21" s="333">
        <f>+'Tab. 6A -Drogi'!E16</f>
        <v>0</v>
      </c>
      <c r="C21" s="333">
        <f>+'Tab. 6A -Drogi'!F16</f>
        <v>0</v>
      </c>
      <c r="D21" s="333">
        <f>+'Tab. 6A -Drogi'!G16</f>
        <v>0</v>
      </c>
      <c r="E21" s="333">
        <f>+'Tab. 6A -Drogi'!H16</f>
        <v>0</v>
      </c>
      <c r="F21" s="333">
        <f>+'Tab. 6A -Drogi'!I16</f>
        <v>0</v>
      </c>
      <c r="G21" s="333">
        <f>+'Tab. 6A -Drogi'!J16</f>
        <v>2000000</v>
      </c>
      <c r="H21" s="333">
        <f>+'Tab. 6A -Drogi'!K16</f>
        <v>5512742</v>
      </c>
      <c r="I21" s="333">
        <f>+'Tab. 6A -Drogi'!L16</f>
        <v>34125</v>
      </c>
      <c r="J21" s="333">
        <f>+'Tab. 6A -Drogi'!M16</f>
        <v>9354695</v>
      </c>
      <c r="K21" s="2564">
        <f>+'Tab. 6A -Drogi'!N16</f>
        <v>1807828</v>
      </c>
      <c r="L21" s="2565">
        <f>+'Tab. 6A -Drogi'!O16</f>
        <v>0</v>
      </c>
      <c r="M21" s="2560">
        <f>+'Tab. 6A -Drogi'!P16</f>
        <v>1000000</v>
      </c>
      <c r="N21" s="2560">
        <f>+'Tab. 6A -Drogi'!Q16</f>
        <v>5395843</v>
      </c>
      <c r="O21" s="2560">
        <f>+'Tab. 6A -Drogi'!R16</f>
        <v>4774157</v>
      </c>
      <c r="P21" s="2565">
        <f>+'Tab. 6A -Drogi'!S16</f>
        <v>0</v>
      </c>
      <c r="Q21" s="2565">
        <f>+'Tab. 6A -Drogi'!T16</f>
        <v>0</v>
      </c>
      <c r="R21" s="2565">
        <f>+'Tab. 6A -Drogi'!U16</f>
        <v>0</v>
      </c>
      <c r="S21" s="2565">
        <f>+'Tab. 6A -Drogi'!V16</f>
        <v>0</v>
      </c>
      <c r="T21" s="2565">
        <f>+'Tab. 6A -Drogi'!W16</f>
        <v>0</v>
      </c>
      <c r="U21" s="2562">
        <f>J21+M21+N21+O21+P21+Q21+R21+S21+T21</f>
        <v>20524695</v>
      </c>
      <c r="V21" s="2538">
        <f>SUM(N21:T21)</f>
        <v>10170000</v>
      </c>
      <c r="W21" s="864"/>
      <c r="X21" s="897">
        <f t="shared" si="2"/>
        <v>20524695</v>
      </c>
      <c r="Y21" s="898">
        <f t="shared" si="3"/>
        <v>0</v>
      </c>
    </row>
    <row r="22" spans="1:25" s="899" customFormat="1" ht="15.75" customHeight="1">
      <c r="A22" s="900" t="s">
        <v>27</v>
      </c>
      <c r="B22" s="2566">
        <f>+'Tab. 6A -Drogi'!E17+'Tab. 6G - Roln i ochrona środ.'!E17</f>
        <v>0</v>
      </c>
      <c r="C22" s="2566">
        <f>+'Tab. 6A -Drogi'!F17+'Tab. 6G - Roln i ochrona środ.'!F17</f>
        <v>0</v>
      </c>
      <c r="D22" s="2566">
        <f>+'Tab. 6A -Drogi'!G17+'Tab. 6G - Roln i ochrona środ.'!G17</f>
        <v>0</v>
      </c>
      <c r="E22" s="2566">
        <f>+'Tab. 6A -Drogi'!H17+'Tab. 6G - Roln i ochrona środ.'!H17</f>
        <v>0</v>
      </c>
      <c r="F22" s="2566">
        <f>+'Tab. 6A -Drogi'!I17+'Tab. 6G - Roln i ochrona środ.'!I17</f>
        <v>0</v>
      </c>
      <c r="G22" s="2566">
        <f>+'Tab. 6A -Drogi'!J17+'Tab. 6G - Roln i ochrona środ.'!J17</f>
        <v>0</v>
      </c>
      <c r="H22" s="2567">
        <f>+'Tab. 6A -Drogi'!K17+'Tab. 6G - Roln i ochrona środ.'!K17</f>
        <v>3801777</v>
      </c>
      <c r="I22" s="2567">
        <f>+'Tab. 6A -Drogi'!L17+'Tab. 6G - Roln i ochrona środ.'!L17</f>
        <v>3261339</v>
      </c>
      <c r="J22" s="2567">
        <f>+'Tab. 6A -Drogi'!M17+'Tab. 6G - Roln i ochrona środ.'!M17+'Tab. 6E - Administracja'!M17</f>
        <v>7366366</v>
      </c>
      <c r="K22" s="2567">
        <f>+'Tab. 6A -Drogi'!N17+'Tab. 6G - Roln i ochrona środ.'!N17+'Tab. 6E - Administracja'!N17</f>
        <v>0</v>
      </c>
      <c r="L22" s="2567">
        <f>+'Tab. 6A -Drogi'!O17+'Tab. 6G - Roln i ochrona środ.'!O17+'Tab. 6E - Administracja'!O17</f>
        <v>303250</v>
      </c>
      <c r="M22" s="2567">
        <f>+'Tab. 6A -Drogi'!P17+'Tab. 6G - Roln i ochrona środ.'!P17+'Tab. 6E - Administracja'!P17</f>
        <v>2039337</v>
      </c>
      <c r="N22" s="2567">
        <f>+'Tab. 6A -Drogi'!Q17+'Tab. 6G - Roln i ochrona środ.'!Q17+'Tab. 6E - Administracja'!Q17</f>
        <v>23896915</v>
      </c>
      <c r="O22" s="2567">
        <f>+'Tab. 6A -Drogi'!R17+'Tab. 6G - Roln i ochrona środ.'!R17+'Tab. 6E - Administracja'!R17</f>
        <v>16477588</v>
      </c>
      <c r="P22" s="2567">
        <f>+'Tab. 6A -Drogi'!S17+'Tab. 6G - Roln i ochrona środ.'!S17+'Tab. 6E - Administracja'!S17</f>
        <v>4009238</v>
      </c>
      <c r="Q22" s="2567">
        <f>+'Tab. 6A -Drogi'!T17+'Tab. 6G - Roln i ochrona środ.'!T17+'Tab. 6E - Administracja'!T17</f>
        <v>3747800</v>
      </c>
      <c r="R22" s="2566">
        <f>+'Tab. 6A -Drogi'!U17+'Tab. 6G - Roln i ochrona środ.'!U17+'Tab. 6E - Administracja'!U17</f>
        <v>0</v>
      </c>
      <c r="S22" s="2566">
        <f>+'Tab. 6A -Drogi'!V17+'Tab. 6G - Roln i ochrona środ.'!V17+'Tab. 6E - Administracja'!V17</f>
        <v>0</v>
      </c>
      <c r="T22" s="2566">
        <f>+'Tab. 6A -Drogi'!W17+'Tab. 6G - Roln i ochrona środ.'!W17+'Tab. 6E - Administracja'!W17</f>
        <v>0</v>
      </c>
      <c r="U22" s="2562">
        <f>J22+M22+N22+O22+P22+Q22+R22+S22+T22</f>
        <v>57537244</v>
      </c>
      <c r="V22" s="2538">
        <f>SUM(N22:T22)</f>
        <v>48131541</v>
      </c>
      <c r="W22" s="864"/>
      <c r="X22" s="897">
        <f t="shared" si="2"/>
        <v>57840494</v>
      </c>
      <c r="Y22" s="898">
        <f t="shared" si="3"/>
        <v>-303250</v>
      </c>
    </row>
    <row r="23" spans="1:25" s="899" customFormat="1" ht="15.75" hidden="1" customHeight="1">
      <c r="A23" s="900" t="s">
        <v>36</v>
      </c>
      <c r="B23" s="2568"/>
      <c r="C23" s="2568"/>
      <c r="D23" s="2568"/>
      <c r="E23" s="2568"/>
      <c r="F23" s="2568"/>
      <c r="G23" s="2568"/>
      <c r="H23" s="2569"/>
      <c r="I23" s="2569"/>
      <c r="J23" s="2570"/>
      <c r="K23" s="2571"/>
      <c r="L23" s="2570">
        <v>0</v>
      </c>
      <c r="M23" s="2571">
        <v>0</v>
      </c>
      <c r="N23" s="2571">
        <v>0</v>
      </c>
      <c r="O23" s="2571">
        <v>0</v>
      </c>
      <c r="P23" s="2571">
        <v>0</v>
      </c>
      <c r="Q23" s="2571">
        <v>0</v>
      </c>
      <c r="R23" s="2571">
        <f>+'Tab.6I - Planow. przestrz.'!U15</f>
        <v>0</v>
      </c>
      <c r="S23" s="2571"/>
      <c r="T23" s="2571"/>
      <c r="U23" s="2562">
        <f>+T23+S23+R23+Q23+P23+O23+N23+M23+L23+J23</f>
        <v>0</v>
      </c>
      <c r="V23" s="2538">
        <f>SUM(M23:T23)</f>
        <v>0</v>
      </c>
      <c r="W23" s="864"/>
      <c r="X23" s="897"/>
      <c r="Y23" s="898"/>
    </row>
    <row r="24" spans="1:25" s="899" customFormat="1" ht="15.75" customHeight="1">
      <c r="A24" s="900" t="s">
        <v>28</v>
      </c>
      <c r="B24" s="2569">
        <f>+'Tab. 6A -Drogi'!E18</f>
        <v>83</v>
      </c>
      <c r="C24" s="2569">
        <f>+'Tab. 6A -Drogi'!F18</f>
        <v>0</v>
      </c>
      <c r="D24" s="2569">
        <f>+'Tab. 6A -Drogi'!G18</f>
        <v>0</v>
      </c>
      <c r="E24" s="2569">
        <f>+'Tab. 6A -Drogi'!H18</f>
        <v>83</v>
      </c>
      <c r="F24" s="2569">
        <f>+'Tab. 6A -Drogi'!I18</f>
        <v>170850</v>
      </c>
      <c r="G24" s="2569">
        <f>+'Tab. 6A -Drogi'!J18</f>
        <v>6035414</v>
      </c>
      <c r="H24" s="2569">
        <f>+'Tab. 6A -Drogi'!K18</f>
        <v>1616790</v>
      </c>
      <c r="I24" s="2569">
        <f>+'Tab. 6A -Drogi'!L18</f>
        <v>1960926</v>
      </c>
      <c r="J24" s="2567">
        <f>+'Tab. 6A -Drogi'!M18</f>
        <v>11379681</v>
      </c>
      <c r="K24" s="2564">
        <f>+'Tab. 6A -Drogi'!N18</f>
        <v>1592587</v>
      </c>
      <c r="L24" s="2567">
        <f>+'Tab. 6A -Drogi'!O18</f>
        <v>3031</v>
      </c>
      <c r="M24" s="2565">
        <f>+'Tab. 6A -Drogi'!P18</f>
        <v>0</v>
      </c>
      <c r="N24" s="2565">
        <f>+'Tab. 6A -Drogi'!Q18</f>
        <v>0</v>
      </c>
      <c r="O24" s="2565">
        <f>+'Tab. 6A -Drogi'!R18</f>
        <v>0</v>
      </c>
      <c r="P24" s="2565">
        <f>+'Tab. 6A -Drogi'!S18</f>
        <v>0</v>
      </c>
      <c r="Q24" s="2565">
        <f>+'Tab. 6A -Drogi'!T18</f>
        <v>0</v>
      </c>
      <c r="R24" s="2565">
        <f>+'Tab. 6A -Drogi'!U18</f>
        <v>0</v>
      </c>
      <c r="S24" s="2565">
        <f>+'Tab. 6A -Drogi'!V18</f>
        <v>0</v>
      </c>
      <c r="T24" s="2565">
        <f>+'Tab. 6A -Drogi'!W18</f>
        <v>0</v>
      </c>
      <c r="U24" s="2562">
        <f>J24+M24+N24+O24+P24+Q24+R24+S24+T24</f>
        <v>11379681</v>
      </c>
      <c r="V24" s="2538">
        <f>SUM(N24:T24)</f>
        <v>0</v>
      </c>
      <c r="W24" s="864"/>
      <c r="X24" s="897">
        <f t="shared" si="2"/>
        <v>11382712</v>
      </c>
      <c r="Y24" s="898">
        <f t="shared" si="3"/>
        <v>-3031</v>
      </c>
    </row>
    <row r="25" spans="1:25" s="899" customFormat="1" ht="15.75" customHeight="1">
      <c r="A25" s="900" t="s">
        <v>43</v>
      </c>
      <c r="B25" s="2569"/>
      <c r="C25" s="2569"/>
      <c r="D25" s="2569"/>
      <c r="E25" s="2569"/>
      <c r="F25" s="2569"/>
      <c r="G25" s="2569"/>
      <c r="H25" s="2569"/>
      <c r="I25" s="2569"/>
      <c r="J25" s="2569">
        <f>'Tab. 6E - Administracja'!M18</f>
        <v>0</v>
      </c>
      <c r="K25" s="2572">
        <f>'Tab. 6E - Administracja'!N18</f>
        <v>0</v>
      </c>
      <c r="L25" s="2569">
        <f>'Tab. 6E - Administracja'!O18</f>
        <v>0</v>
      </c>
      <c r="M25" s="2569">
        <f>'Tab. 6E - Administracja'!P18</f>
        <v>391116</v>
      </c>
      <c r="N25" s="2569">
        <f>'Tab. 6E - Administracja'!Q18</f>
        <v>624307</v>
      </c>
      <c r="O25" s="2569">
        <f>'Tab. 6E - Administracja'!R18</f>
        <v>245273</v>
      </c>
      <c r="P25" s="2569">
        <f>'Tab. 6E - Administracja'!S18</f>
        <v>64019</v>
      </c>
      <c r="Q25" s="2569">
        <f>'Tab. 6E - Administracja'!T18</f>
        <v>64019</v>
      </c>
      <c r="R25" s="2569">
        <f>'Tab. 6E - Administracja'!U18</f>
        <v>64019</v>
      </c>
      <c r="S25" s="2569">
        <f>'Tab. 6E - Administracja'!V18</f>
        <v>64018</v>
      </c>
      <c r="T25" s="2569">
        <f>'Tab. 6E - Administracja'!W18</f>
        <v>64018</v>
      </c>
      <c r="U25" s="2562">
        <f>J25+M25+N25+O25+P25+Q25+R25+S25+T25</f>
        <v>1580789</v>
      </c>
      <c r="V25" s="2573">
        <v>0</v>
      </c>
      <c r="W25" s="864"/>
      <c r="X25" s="897">
        <f t="shared" si="2"/>
        <v>1580789</v>
      </c>
      <c r="Y25" s="898">
        <f t="shared" si="3"/>
        <v>0</v>
      </c>
    </row>
    <row r="26" spans="1:25" s="899" customFormat="1" ht="17.25" customHeight="1">
      <c r="A26" s="890" t="s">
        <v>29</v>
      </c>
      <c r="B26" s="892">
        <f>SUM(B27:B31)</f>
        <v>124365</v>
      </c>
      <c r="C26" s="892">
        <f t="shared" ref="C26:N26" si="9">SUM(C27:C31)</f>
        <v>0</v>
      </c>
      <c r="D26" s="892">
        <f t="shared" si="9"/>
        <v>0</v>
      </c>
      <c r="E26" s="892">
        <f t="shared" si="9"/>
        <v>8746</v>
      </c>
      <c r="F26" s="892">
        <f t="shared" si="9"/>
        <v>839449</v>
      </c>
      <c r="G26" s="892">
        <f t="shared" si="9"/>
        <v>7627196</v>
      </c>
      <c r="H26" s="892">
        <f t="shared" si="9"/>
        <v>16848769</v>
      </c>
      <c r="I26" s="892">
        <f t="shared" si="9"/>
        <v>38099169</v>
      </c>
      <c r="J26" s="892">
        <f t="shared" si="9"/>
        <v>154812569</v>
      </c>
      <c r="K26" s="2574">
        <f t="shared" si="9"/>
        <v>46880792</v>
      </c>
      <c r="L26" s="892">
        <f t="shared" si="9"/>
        <v>44413410</v>
      </c>
      <c r="M26" s="892">
        <f t="shared" si="9"/>
        <v>67489144</v>
      </c>
      <c r="N26" s="892">
        <f t="shared" si="9"/>
        <v>335366715</v>
      </c>
      <c r="O26" s="892">
        <f t="shared" ref="O26:U26" si="10">SUM(O27:O31)</f>
        <v>299353618</v>
      </c>
      <c r="P26" s="892">
        <f t="shared" si="10"/>
        <v>72798494</v>
      </c>
      <c r="Q26" s="892">
        <f t="shared" si="10"/>
        <v>67022839</v>
      </c>
      <c r="R26" s="892">
        <f t="shared" si="10"/>
        <v>32483629</v>
      </c>
      <c r="S26" s="892">
        <f t="shared" si="10"/>
        <v>32211679</v>
      </c>
      <c r="T26" s="892">
        <f t="shared" si="10"/>
        <v>30802514</v>
      </c>
      <c r="U26" s="894">
        <f t="shared" si="10"/>
        <v>1092341201</v>
      </c>
      <c r="V26" s="2575">
        <f>SUM(V29:V31)</f>
        <v>870039488</v>
      </c>
      <c r="W26" s="864"/>
      <c r="X26" s="897">
        <f t="shared" si="2"/>
        <v>1136754611</v>
      </c>
      <c r="Y26" s="898">
        <f t="shared" si="3"/>
        <v>-44413410</v>
      </c>
    </row>
    <row r="27" spans="1:25" s="899" customFormat="1" ht="15.75" hidden="1" customHeight="1">
      <c r="A27" s="2559" t="s">
        <v>23</v>
      </c>
      <c r="B27" s="2560">
        <f>+'Tab. 6G - Roln i ochrona środ.'!E19</f>
        <v>0</v>
      </c>
      <c r="C27" s="2560">
        <f>+'Tab. 6G - Roln i ochrona środ.'!F19</f>
        <v>0</v>
      </c>
      <c r="D27" s="2560">
        <f>+'Tab. 6G - Roln i ochrona środ.'!G19</f>
        <v>0</v>
      </c>
      <c r="E27" s="2560">
        <f>+'Tab. 6G - Roln i ochrona środ.'!H19</f>
        <v>0</v>
      </c>
      <c r="F27" s="2560">
        <f>+'Tab. 6G - Roln i ochrona środ.'!I19</f>
        <v>0</v>
      </c>
      <c r="G27" s="2560">
        <f>+'Tab. 6G - Roln i ochrona środ.'!J19</f>
        <v>0</v>
      </c>
      <c r="H27" s="2560">
        <f>+'Tab. 6G - Roln i ochrona środ.'!K19</f>
        <v>0</v>
      </c>
      <c r="I27" s="2560">
        <f>+'Tab. 6G - Roln i ochrona środ.'!L19</f>
        <v>0</v>
      </c>
      <c r="J27" s="2560">
        <f>+'Tab. 6G - Roln i ochrona środ.'!M19</f>
        <v>0</v>
      </c>
      <c r="K27" s="2561">
        <f>+'Tab. 6G - Roln i ochrona środ.'!N19</f>
        <v>0</v>
      </c>
      <c r="L27" s="2560">
        <f>+'Tab. 6G - Roln i ochrona środ.'!O19</f>
        <v>0</v>
      </c>
      <c r="M27" s="2560">
        <f>+'Tab. 6G - Roln i ochrona środ.'!P19</f>
        <v>0</v>
      </c>
      <c r="N27" s="2560">
        <f>+'Tab. 6G - Roln i ochrona środ.'!Q19</f>
        <v>0</v>
      </c>
      <c r="O27" s="2560">
        <f>+'Tab. 6G - Roln i ochrona środ.'!R19</f>
        <v>0</v>
      </c>
      <c r="P27" s="2560">
        <f>+'Tab. 6G - Roln i ochrona środ.'!S19</f>
        <v>0</v>
      </c>
      <c r="Q27" s="2560">
        <f>+'Tab. 6G - Roln i ochrona środ.'!T19</f>
        <v>0</v>
      </c>
      <c r="R27" s="2560">
        <f>+'Tab. 6G - Roln i ochrona środ.'!U19</f>
        <v>0</v>
      </c>
      <c r="S27" s="2560">
        <f>+'Tab. 6G - Roln i ochrona środ.'!V19</f>
        <v>0</v>
      </c>
      <c r="T27" s="2560">
        <f>+'Tab. 6G - Roln i ochrona środ.'!W19</f>
        <v>0</v>
      </c>
      <c r="U27" s="2562">
        <f>J27+L27+M27+N27+O27+P27+Q27+R27+S27+T27</f>
        <v>0</v>
      </c>
      <c r="V27" s="2538">
        <f>SUM(M27:T27)</f>
        <v>0</v>
      </c>
      <c r="W27" s="864"/>
      <c r="X27" s="897">
        <f t="shared" si="2"/>
        <v>0</v>
      </c>
      <c r="Y27" s="898">
        <f t="shared" si="3"/>
        <v>0</v>
      </c>
    </row>
    <row r="28" spans="1:25" s="899" customFormat="1" ht="13.5" hidden="1" customHeight="1">
      <c r="A28" s="2559" t="s">
        <v>30</v>
      </c>
      <c r="B28" s="2563">
        <f>+'Tab. 6A -Drogi'!E22</f>
        <v>0</v>
      </c>
      <c r="C28" s="2563">
        <f>+'Tab. 6A -Drogi'!F22</f>
        <v>0</v>
      </c>
      <c r="D28" s="2563">
        <f>+'Tab. 6A -Drogi'!G22</f>
        <v>0</v>
      </c>
      <c r="E28" s="2563">
        <f>+'Tab. 6A -Drogi'!H22</f>
        <v>0</v>
      </c>
      <c r="F28" s="2563">
        <f>+'Tab. 6A -Drogi'!I22</f>
        <v>0</v>
      </c>
      <c r="G28" s="2563">
        <f>+'Tab. 6A -Drogi'!J22</f>
        <v>0</v>
      </c>
      <c r="H28" s="2563">
        <f>+'Tab. 6A -Drogi'!K22</f>
        <v>0</v>
      </c>
      <c r="I28" s="2560">
        <f>+'Tab. 6A -Drogi'!L22</f>
        <v>0</v>
      </c>
      <c r="J28" s="2560">
        <f>+'Tab. 6A -Drogi'!M22</f>
        <v>0</v>
      </c>
      <c r="K28" s="2561">
        <f>+'Tab. 6A -Drogi'!N22</f>
        <v>0</v>
      </c>
      <c r="L28" s="2560">
        <f>+'Tab. 6A -Drogi'!O22</f>
        <v>0</v>
      </c>
      <c r="M28" s="2560">
        <f>+'Tab. 6A -Drogi'!P22</f>
        <v>0</v>
      </c>
      <c r="N28" s="2560">
        <f>+'Tab. 6A -Drogi'!Q22</f>
        <v>0</v>
      </c>
      <c r="O28" s="2560">
        <f>+'Tab. 6A -Drogi'!R22</f>
        <v>0</v>
      </c>
      <c r="P28" s="2560">
        <f>+'Tab. 6A -Drogi'!S22</f>
        <v>0</v>
      </c>
      <c r="Q28" s="2560">
        <f>+'Tab. 6A -Drogi'!T22</f>
        <v>0</v>
      </c>
      <c r="R28" s="2560">
        <f>+'Tab. 6A -Drogi'!U22</f>
        <v>0</v>
      </c>
      <c r="S28" s="2560">
        <f>+'Tab. 6A -Drogi'!V22</f>
        <v>0</v>
      </c>
      <c r="T28" s="2560">
        <f>+'Tab. 6A -Drogi'!W22</f>
        <v>0</v>
      </c>
      <c r="U28" s="2562">
        <f>J28+L28+M28+N28+O28+P28+Q28+R28+S28+T28</f>
        <v>0</v>
      </c>
      <c r="V28" s="2538">
        <f>SUM(M28:T28)</f>
        <v>0</v>
      </c>
      <c r="W28" s="864"/>
      <c r="X28" s="897">
        <f t="shared" si="2"/>
        <v>0</v>
      </c>
      <c r="Y28" s="898">
        <f t="shared" si="3"/>
        <v>0</v>
      </c>
    </row>
    <row r="29" spans="1:25" s="899" customFormat="1" ht="14.25" customHeight="1">
      <c r="A29" s="900" t="s">
        <v>31</v>
      </c>
      <c r="B29" s="2563">
        <f>+'Tab. 6D - Oświata'!E17+'Tab. 6A -Drogi'!E20+'Tab. 6G - Roln i ochrona środ.'!E22</f>
        <v>0</v>
      </c>
      <c r="C29" s="2560">
        <f>+'Tab. 6D - Oświata'!F17+'Tab. 6A -Drogi'!F20+'Tab. 6G - Roln i ochrona środ.'!F22</f>
        <v>0</v>
      </c>
      <c r="D29" s="2560">
        <f>+'Tab. 6D - Oświata'!G17+'Tab. 6A -Drogi'!G20+'Tab. 6G - Roln i ochrona środ.'!G22</f>
        <v>0</v>
      </c>
      <c r="E29" s="2560">
        <f>+'Tab. 6D - Oświata'!H17+'Tab. 6A -Drogi'!H20+'Tab. 6G - Roln i ochrona środ.'!H22</f>
        <v>0</v>
      </c>
      <c r="F29" s="2560">
        <f>+'Tab. 6D - Oświata'!I17+'Tab. 6A -Drogi'!I20+'Tab. 6G - Roln i ochrona środ.'!I22</f>
        <v>0</v>
      </c>
      <c r="G29" s="2560">
        <f>+'Tab. 6D - Oświata'!J17+'Tab. 6A -Drogi'!J20+'Tab. 6G - Roln i ochrona środ.'!J22</f>
        <v>629249</v>
      </c>
      <c r="H29" s="2560">
        <f>+'Tab. 6D - Oświata'!K17+'Tab. 6A -Drogi'!K20+'Tab. 6G - Roln i ochrona środ.'!K22</f>
        <v>2188317</v>
      </c>
      <c r="I29" s="2560">
        <f>+'Tab. 6D - Oświata'!L17+'Tab. 6A -Drogi'!L20+'Tab. 6G - Roln i ochrona środ.'!L22</f>
        <v>1116737</v>
      </c>
      <c r="J29" s="2560">
        <f>+'Tab. 6D - Oświata'!M17+'Tab. 6A -Drogi'!M20+'Tab. 6G - Roln i ochrona środ.'!M22+'Tab.6I - Planow. przestrz.'!M18+'Tab. 6B Polit społ i rozwój prz'!M16</f>
        <v>11896328</v>
      </c>
      <c r="K29" s="2561">
        <f>+'Tab. 6D - Oświata'!N17+'Tab. 6A -Drogi'!N20+'Tab. 6G - Roln i ochrona środ.'!N22</f>
        <v>3209752</v>
      </c>
      <c r="L29" s="2560">
        <f>+'Tab. 6D - Oświata'!O17+'Tab. 6A -Drogi'!O20+'Tab. 6G - Roln i ochrona środ.'!O22+'Tab.6I - Planow. przestrz.'!O18+'Tab. 6B Polit społ i rozwój prz'!O16</f>
        <v>4772600</v>
      </c>
      <c r="M29" s="2560">
        <f>+'Tab. 6D - Oświata'!P17+'Tab. 6A -Drogi'!P20+'Tab. 6G - Roln i ochrona środ.'!P22+'Tab.6I - Planow. przestrz.'!P18+'Tab. 6B Polit społ i rozwój prz'!P16</f>
        <v>3990538</v>
      </c>
      <c r="N29" s="2560">
        <f>+'Tab. 6D - Oświata'!Q17+'Tab. 6A -Drogi'!Q20+'Tab. 6G - Roln i ochrona środ.'!Q22+'Tab.6I - Planow. przestrz.'!Q18+'Tab. 6B Polit społ i rozwój prz'!Q16</f>
        <v>25229283</v>
      </c>
      <c r="O29" s="2560">
        <f>+'Tab. 6D - Oświata'!R17+'Tab. 6A -Drogi'!R20+'Tab. 6G - Roln i ochrona środ.'!R22+'Tab.6I - Planow. przestrz.'!R18+'Tab. 6B Polit społ i rozwój prz'!R16</f>
        <v>6187721</v>
      </c>
      <c r="P29" s="2560">
        <f>+'Tab. 6D - Oświata'!S17+'Tab. 6A -Drogi'!S20+'Tab. 6G - Roln i ochrona środ.'!S22+'Tab.6I - Planow. przestrz.'!S18+'Tab. 6B Polit społ i rozwój prz'!S16</f>
        <v>6609205</v>
      </c>
      <c r="Q29" s="2560">
        <f>+'Tab. 6D - Oświata'!T17+'Tab. 6A -Drogi'!T20+'Tab. 6G - Roln i ochrona środ.'!T22+'Tab.6I - Planow. przestrz.'!T18+'Tab. 6B Polit społ i rozwój prz'!T16</f>
        <v>113837</v>
      </c>
      <c r="R29" s="2560">
        <f>+'Tab. 6D - Oświata'!U17+'Tab. 6A -Drogi'!U20+'Tab. 6G - Roln i ochrona środ.'!U22+'Tab.6I - Planow. przestrz.'!U18+'Tab. 6B Polit społ i rozwój prz'!U16</f>
        <v>0</v>
      </c>
      <c r="S29" s="2560">
        <f>+'Tab. 6D - Oświata'!V17+'Tab. 6A -Drogi'!V20+'Tab. 6G - Roln i ochrona środ.'!V22+'Tab.6I - Planow. przestrz.'!V18+'Tab. 6B Polit społ i rozwój prz'!V16</f>
        <v>0</v>
      </c>
      <c r="T29" s="2560">
        <f>+'Tab. 6D - Oświata'!W17+'Tab. 6A -Drogi'!W20+'Tab. 6G - Roln i ochrona środ.'!W22+'Tab.6I - Planow. przestrz.'!W18+'Tab. 6B Polit społ i rozwój prz'!W16</f>
        <v>0</v>
      </c>
      <c r="U29" s="2562">
        <f>J29+M29+N29+O29+P29+Q29+R29+S29+T29</f>
        <v>54026912</v>
      </c>
      <c r="V29" s="2538">
        <f>SUM(N29:T29)</f>
        <v>38140046</v>
      </c>
      <c r="W29" s="864"/>
      <c r="X29" s="897">
        <f t="shared" si="2"/>
        <v>58799512</v>
      </c>
      <c r="Y29" s="898">
        <f t="shared" si="3"/>
        <v>-4772600</v>
      </c>
    </row>
    <row r="30" spans="1:25" s="899" customFormat="1" ht="14.25" hidden="1" customHeight="1">
      <c r="A30" s="900" t="s">
        <v>25</v>
      </c>
      <c r="B30" s="333">
        <f>+'Tab. 6G - Roln i ochrona środ.'!E21</f>
        <v>0</v>
      </c>
      <c r="C30" s="333">
        <f>+'Tab. 6G - Roln i ochrona środ.'!F21</f>
        <v>0</v>
      </c>
      <c r="D30" s="333">
        <f>+'Tab. 6G - Roln i ochrona środ.'!G21</f>
        <v>0</v>
      </c>
      <c r="E30" s="333">
        <f>+'Tab. 6G - Roln i ochrona środ.'!H21</f>
        <v>0</v>
      </c>
      <c r="F30" s="333">
        <f>+'Tab. 6G - Roln i ochrona środ.'!I21</f>
        <v>0</v>
      </c>
      <c r="G30" s="333">
        <f>+'Tab. 6G - Roln i ochrona środ.'!J21</f>
        <v>0</v>
      </c>
      <c r="H30" s="333">
        <f>+'Tab. 6G - Roln i ochrona środ.'!K21</f>
        <v>0</v>
      </c>
      <c r="I30" s="333">
        <f>+'Tab. 6G - Roln i ochrona środ.'!L21</f>
        <v>0</v>
      </c>
      <c r="J30" s="333">
        <f>+'Tab. 6G - Roln i ochrona środ.'!M21</f>
        <v>0</v>
      </c>
      <c r="K30" s="2564">
        <f>+'Tab. 6G - Roln i ochrona środ.'!N21</f>
        <v>0</v>
      </c>
      <c r="L30" s="333">
        <f>+'Tab. 6G - Roln i ochrona środ.'!O21</f>
        <v>0</v>
      </c>
      <c r="M30" s="333">
        <f>+'Tab. 6G - Roln i ochrona środ.'!P21</f>
        <v>0</v>
      </c>
      <c r="N30" s="333">
        <f>+'Tab. 6G - Roln i ochrona środ.'!Q21</f>
        <v>0</v>
      </c>
      <c r="O30" s="333">
        <f>+'Tab. 6G - Roln i ochrona środ.'!R21</f>
        <v>0</v>
      </c>
      <c r="P30" s="333">
        <f>+'Tab. 6G - Roln i ochrona środ.'!S21</f>
        <v>0</v>
      </c>
      <c r="Q30" s="333">
        <f>+'Tab. 6G - Roln i ochrona środ.'!T21</f>
        <v>0</v>
      </c>
      <c r="R30" s="333">
        <f>+'Tab. 6G - Roln i ochrona środ.'!U21</f>
        <v>0</v>
      </c>
      <c r="S30" s="333">
        <f>+'Tab. 6G - Roln i ochrona środ.'!V21</f>
        <v>0</v>
      </c>
      <c r="T30" s="333">
        <f>+'Tab. 6G - Roln i ochrona środ.'!W21</f>
        <v>0</v>
      </c>
      <c r="U30" s="2562">
        <f>J30+L30+M30+N30+O30+P30+Q30+R30+S30+T30</f>
        <v>0</v>
      </c>
      <c r="V30" s="2538">
        <f>SUM(M30:T30)</f>
        <v>0</v>
      </c>
      <c r="W30" s="864"/>
      <c r="X30" s="897">
        <f t="shared" si="2"/>
        <v>0</v>
      </c>
      <c r="Y30" s="898">
        <f t="shared" si="3"/>
        <v>0</v>
      </c>
    </row>
    <row r="31" spans="1:25" s="899" customFormat="1" ht="14.25" customHeight="1">
      <c r="A31" s="900" t="s">
        <v>32</v>
      </c>
      <c r="B31" s="333">
        <f>+'Tab. 6B Polit społ i rozwój prz'!E17+'Tab. 6A -Drogi'!E21+'Tab. 6E - Administracja'!E20+'Tab. 6G - Roln i ochrona środ.'!E20+'Tab. 6H - Kultura fiz. i turyst'!E15+'Tab.6I - Planow. przestrz.'!E17</f>
        <v>124365</v>
      </c>
      <c r="C31" s="333">
        <f>+'Tab. 6B Polit społ i rozwój prz'!F17+'Tab. 6A -Drogi'!F21+'Tab. 6E - Administracja'!F20+'Tab. 6G - Roln i ochrona środ.'!F20+'Tab. 6H - Kultura fiz. i turyst'!F15+'Tab.6I - Planow. przestrz.'!F17</f>
        <v>0</v>
      </c>
      <c r="D31" s="333">
        <f>+'Tab. 6B Polit społ i rozwój prz'!G17+'Tab. 6A -Drogi'!G21+'Tab. 6E - Administracja'!G20+'Tab. 6G - Roln i ochrona środ.'!G20+'Tab. 6H - Kultura fiz. i turyst'!G15+'Tab.6I - Planow. przestrz.'!G17</f>
        <v>0</v>
      </c>
      <c r="E31" s="333">
        <f>+'Tab. 6B Polit społ i rozwój prz'!H17+'Tab. 6A -Drogi'!H21+'Tab. 6E - Administracja'!H20+'Tab. 6G - Roln i ochrona środ.'!H20+'Tab. 6H - Kultura fiz. i turyst'!H15+'Tab.6I - Planow. przestrz.'!H17</f>
        <v>8746</v>
      </c>
      <c r="F31" s="333">
        <f>+'Tab. 6B Polit społ i rozwój prz'!I17+'Tab. 6A -Drogi'!I21+'Tab. 6E - Administracja'!I20+'Tab. 6G - Roln i ochrona środ.'!I20+'Tab. 6H - Kultura fiz. i turyst'!I15+'Tab.6I - Planow. przestrz.'!I17</f>
        <v>839449</v>
      </c>
      <c r="G31" s="333">
        <f>+'Tab. 6B Polit społ i rozwój prz'!J17+'Tab. 6A -Drogi'!J21+'Tab. 6E - Administracja'!J20+'Tab. 6G - Roln i ochrona środ.'!J20+'Tab. 6H - Kultura fiz. i turyst'!J15+'Tab.6I - Planow. przestrz.'!J17</f>
        <v>6997947</v>
      </c>
      <c r="H31" s="333">
        <f>+'Tab. 6B Polit społ i rozwój prz'!K17+'Tab. 6A -Drogi'!K21+'Tab. 6E - Administracja'!K20+'Tab. 6G - Roln i ochrona środ.'!K20+'Tab. 6H - Kultura fiz. i turyst'!K15+'Tab.6I - Planow. przestrz.'!K17</f>
        <v>14660452</v>
      </c>
      <c r="I31" s="333">
        <f>+'Tab. 6B Polit społ i rozwój prz'!L17+'Tab. 6A -Drogi'!L21+'Tab. 6E - Administracja'!L20+'Tab. 6G - Roln i ochrona środ.'!L20+'Tab. 6H - Kultura fiz. i turyst'!L15+'Tab.6I - Planow. przestrz.'!L17</f>
        <v>36982432</v>
      </c>
      <c r="J31" s="333">
        <f>+'Tab. 6B Polit społ i rozwój prz'!M17+'Tab. 6A -Drogi'!M21+'Tab. 6E - Administracja'!M20+'Tab. 6G - Roln i ochrona środ.'!M20+'Tab. 6H - Kultura fiz. i turyst'!M15+'Tab.6I - Planow. przestrz.'!M17</f>
        <v>142916241</v>
      </c>
      <c r="K31" s="2564">
        <f>+'Tab. 6B Polit społ i rozwój prz'!N17+'Tab. 6A -Drogi'!N21+'Tab. 6E - Administracja'!N20+'Tab. 6G - Roln i ochrona środ.'!N20+'Tab. 6H - Kultura fiz. i turyst'!N15+'Tab.6I - Planow. przestrz.'!N17</f>
        <v>43671040</v>
      </c>
      <c r="L31" s="333">
        <f>+'Tab. 6B Polit społ i rozwój prz'!O17+'Tab. 6A -Drogi'!O21+'Tab. 6E - Administracja'!O20+'Tab. 6G - Roln i ochrona środ.'!O20+'Tab. 6H - Kultura fiz. i turyst'!O15+'Tab.6I - Planow. przestrz.'!O17</f>
        <v>39640810</v>
      </c>
      <c r="M31" s="333">
        <f>+'Tab. 6B Polit społ i rozwój prz'!P17+'Tab. 6A -Drogi'!P21+'Tab. 6E - Administracja'!P20+'Tab. 6G - Roln i ochrona środ.'!P20+'Tab. 6H - Kultura fiz. i turyst'!P15+'Tab.6I - Planow. przestrz.'!P17</f>
        <v>63498606</v>
      </c>
      <c r="N31" s="333">
        <f>+'Tab. 6B Polit społ i rozwój prz'!Q17+'Tab. 6A -Drogi'!Q21+'Tab. 6E - Administracja'!Q20+'Tab. 6G - Roln i ochrona środ.'!Q20+'Tab. 6H - Kultura fiz. i turyst'!Q15+'Tab.6I - Planow. przestrz.'!Q17</f>
        <v>310137432</v>
      </c>
      <c r="O31" s="333">
        <f>+'Tab. 6B Polit społ i rozwój prz'!R17+'Tab. 6A -Drogi'!R21+'Tab. 6E - Administracja'!R20+'Tab. 6G - Roln i ochrona środ.'!R20+'Tab. 6H - Kultura fiz. i turyst'!R15+'Tab.6I - Planow. przestrz.'!R17</f>
        <v>293165897</v>
      </c>
      <c r="P31" s="333">
        <f>+'Tab. 6B Polit społ i rozwój prz'!S17+'Tab. 6A -Drogi'!S21+'Tab. 6E - Administracja'!S20+'Tab. 6G - Roln i ochrona środ.'!S20+'Tab. 6H - Kultura fiz. i turyst'!S15+'Tab.6I - Planow. przestrz.'!S17</f>
        <v>66189289</v>
      </c>
      <c r="Q31" s="333">
        <f>+'Tab. 6B Polit społ i rozwój prz'!T17+'Tab. 6A -Drogi'!T21+'Tab. 6E - Administracja'!T20+'Tab. 6G - Roln i ochrona środ.'!T20+'Tab. 6H - Kultura fiz. i turyst'!T15+'Tab.6I - Planow. przestrz.'!T17</f>
        <v>66909002</v>
      </c>
      <c r="R31" s="333">
        <f>+'Tab. 6B Polit społ i rozwój prz'!U17+'Tab. 6A -Drogi'!U21+'Tab. 6E - Administracja'!U20+'Tab. 6G - Roln i ochrona środ.'!U20+'Tab. 6H - Kultura fiz. i turyst'!U15+'Tab.6I - Planow. przestrz.'!U17</f>
        <v>32483629</v>
      </c>
      <c r="S31" s="333">
        <f>+'Tab. 6B Polit społ i rozwój prz'!V17+'Tab. 6A -Drogi'!V21+'Tab. 6E - Administracja'!V20+'Tab. 6G - Roln i ochrona środ.'!V20+'Tab. 6H - Kultura fiz. i turyst'!V15+'Tab.6I - Planow. przestrz.'!V17</f>
        <v>32211679</v>
      </c>
      <c r="T31" s="333">
        <f>+'Tab. 6B Polit społ i rozwój prz'!W17+'Tab. 6A -Drogi'!W21+'Tab. 6E - Administracja'!W20+'Tab. 6G - Roln i ochrona środ.'!W20+'Tab. 6H - Kultura fiz. i turyst'!W15+'Tab.6I - Planow. przestrz.'!W17</f>
        <v>30802514</v>
      </c>
      <c r="U31" s="2562">
        <f>J31+M31+N31+O31+P31+Q31+R31+S31+T31</f>
        <v>1038314289</v>
      </c>
      <c r="V31" s="2538">
        <f>SUM(N31:T31)</f>
        <v>831899442</v>
      </c>
      <c r="W31" s="864"/>
      <c r="X31" s="2530">
        <f t="shared" si="2"/>
        <v>1077955099</v>
      </c>
      <c r="Y31" s="2531">
        <f t="shared" si="3"/>
        <v>-39640810</v>
      </c>
    </row>
    <row r="32" spans="1:25" s="2581" customFormat="1" ht="15.75" customHeight="1">
      <c r="A32" s="2576" t="s">
        <v>33</v>
      </c>
      <c r="B32" s="2577" t="e">
        <f t="shared" ref="B32:O32" si="11">+B33+B41</f>
        <v>#REF!</v>
      </c>
      <c r="C32" s="2578" t="e">
        <f>+C33+C41</f>
        <v>#REF!</v>
      </c>
      <c r="D32" s="2578" t="e">
        <f t="shared" si="11"/>
        <v>#REF!</v>
      </c>
      <c r="E32" s="2578" t="e">
        <f t="shared" si="11"/>
        <v>#REF!</v>
      </c>
      <c r="F32" s="2579" t="e">
        <f t="shared" si="11"/>
        <v>#REF!</v>
      </c>
      <c r="G32" s="2579" t="e">
        <f t="shared" si="11"/>
        <v>#REF!</v>
      </c>
      <c r="H32" s="2579" t="e">
        <f t="shared" si="11"/>
        <v>#REF!</v>
      </c>
      <c r="I32" s="2579" t="e">
        <f>+I33+I41</f>
        <v>#REF!</v>
      </c>
      <c r="J32" s="2579">
        <f>+J33+J41</f>
        <v>189079185</v>
      </c>
      <c r="K32" s="2578">
        <f t="shared" si="11"/>
        <v>70085701</v>
      </c>
      <c r="L32" s="2578">
        <f>+L33+L41</f>
        <v>56475524</v>
      </c>
      <c r="M32" s="2579">
        <f t="shared" si="11"/>
        <v>71511881</v>
      </c>
      <c r="N32" s="2579">
        <f t="shared" si="11"/>
        <v>354210102</v>
      </c>
      <c r="O32" s="2579">
        <f t="shared" si="11"/>
        <v>312070407</v>
      </c>
      <c r="P32" s="2579">
        <f t="shared" ref="P32:T32" si="12">+P33+P41</f>
        <v>94745088</v>
      </c>
      <c r="Q32" s="2579">
        <f t="shared" si="12"/>
        <v>73233636</v>
      </c>
      <c r="R32" s="2579">
        <f t="shared" si="12"/>
        <v>33632474</v>
      </c>
      <c r="S32" s="2579">
        <f t="shared" si="12"/>
        <v>33201723</v>
      </c>
      <c r="T32" s="2579">
        <f t="shared" si="12"/>
        <v>31577361</v>
      </c>
      <c r="U32" s="2580">
        <f>+U33+U41</f>
        <v>1193261857</v>
      </c>
      <c r="V32" s="3588" t="s">
        <v>34</v>
      </c>
      <c r="W32" s="864"/>
    </row>
    <row r="33" spans="1:25" s="899" customFormat="1" ht="17.25" customHeight="1">
      <c r="A33" s="890" t="s">
        <v>35</v>
      </c>
      <c r="B33" s="2184" t="e">
        <f>SUM(B34:B40)</f>
        <v>#REF!</v>
      </c>
      <c r="C33" s="2184" t="e">
        <f t="shared" ref="C33:O33" si="13">SUM(C34:C40)</f>
        <v>#REF!</v>
      </c>
      <c r="D33" s="2184" t="e">
        <f t="shared" si="13"/>
        <v>#REF!</v>
      </c>
      <c r="E33" s="2184" t="e">
        <f t="shared" si="13"/>
        <v>#REF!</v>
      </c>
      <c r="F33" s="2184" t="e">
        <f t="shared" si="13"/>
        <v>#REF!</v>
      </c>
      <c r="G33" s="2184" t="e">
        <f t="shared" si="13"/>
        <v>#REF!</v>
      </c>
      <c r="H33" s="2184" t="e">
        <f t="shared" si="13"/>
        <v>#REF!</v>
      </c>
      <c r="I33" s="2184" t="e">
        <f t="shared" si="13"/>
        <v>#REF!</v>
      </c>
      <c r="J33" s="2184">
        <f>SUM(J34:J40)</f>
        <v>39765630</v>
      </c>
      <c r="K33" s="2574">
        <f t="shared" si="13"/>
        <v>9160017</v>
      </c>
      <c r="L33" s="892">
        <f t="shared" si="13"/>
        <v>8188017</v>
      </c>
      <c r="M33" s="2184">
        <f t="shared" si="13"/>
        <v>13101640</v>
      </c>
      <c r="N33" s="2184">
        <f t="shared" si="13"/>
        <v>19646725</v>
      </c>
      <c r="O33" s="2184">
        <f t="shared" si="13"/>
        <v>14847833</v>
      </c>
      <c r="P33" s="2184">
        <f t="shared" ref="P33:U33" si="14">SUM(P34:P40)</f>
        <v>8183769</v>
      </c>
      <c r="Q33" s="2184">
        <f t="shared" si="14"/>
        <v>2888534</v>
      </c>
      <c r="R33" s="2184">
        <f t="shared" si="14"/>
        <v>1002404</v>
      </c>
      <c r="S33" s="2184">
        <f t="shared" si="14"/>
        <v>989414</v>
      </c>
      <c r="T33" s="2184">
        <f t="shared" si="14"/>
        <v>494707</v>
      </c>
      <c r="U33" s="2582">
        <f t="shared" si="14"/>
        <v>100920656</v>
      </c>
      <c r="V33" s="3589"/>
      <c r="W33" s="896" t="s">
        <v>303</v>
      </c>
    </row>
    <row r="34" spans="1:25" s="899" customFormat="1" ht="14.25" customHeight="1">
      <c r="A34" s="900" t="s">
        <v>24</v>
      </c>
      <c r="B34" s="2185" t="e">
        <f>+'Tab. 6B Polit społ i rozwój prz'!E20+'Tab. 6A -Drogi'!E25+'Tab. 6E - Administracja'!E23+'Tab. 6G - Roln i ochrona środ.'!E25</f>
        <v>#REF!</v>
      </c>
      <c r="C34" s="334" t="e">
        <f>+'Tab. 6B Polit społ i rozwój prz'!F20+'Tab. 6A -Drogi'!F25+'Tab. 6E - Administracja'!F23+'Tab. 6G - Roln i ochrona środ.'!F25</f>
        <v>#REF!</v>
      </c>
      <c r="D34" s="334" t="e">
        <f>+'Tab. 6B Polit społ i rozwój prz'!G20+'Tab. 6A -Drogi'!G25+'Tab. 6E - Administracja'!G23+'Tab. 6G - Roln i ochrona środ.'!G25</f>
        <v>#REF!</v>
      </c>
      <c r="E34" s="334" t="e">
        <f>+'Tab. 6B Polit społ i rozwój prz'!H20+'Tab. 6A -Drogi'!H25+'Tab. 6E - Administracja'!H23+'Tab. 6G - Roln i ochrona środ.'!H25</f>
        <v>#REF!</v>
      </c>
      <c r="F34" s="2185" t="e">
        <f>+'Tab. 6B Polit społ i rozwój prz'!I20+'Tab. 6A -Drogi'!I25+'Tab. 6E - Administracja'!I23+'Tab. 6G - Roln i ochrona środ.'!I25</f>
        <v>#REF!</v>
      </c>
      <c r="G34" s="2185" t="e">
        <f>+'Tab. 6B Polit społ i rozwój prz'!J20+'Tab. 6A -Drogi'!J25+'Tab. 6E - Administracja'!J23+'Tab. 6G - Roln i ochrona środ.'!J25</f>
        <v>#REF!</v>
      </c>
      <c r="H34" s="2185" t="e">
        <f>+'Tab. 6B Polit społ i rozwój prz'!K20+'Tab. 6A -Drogi'!K25+'Tab. 6E - Administracja'!K23+'Tab. 6G - Roln i ochrona środ.'!K25</f>
        <v>#REF!</v>
      </c>
      <c r="I34" s="2185" t="e">
        <f>+'Tab. 6B Polit społ i rozwój prz'!L20+'Tab. 6A -Drogi'!L25+'Tab. 6E - Administracja'!L23+'Tab. 6G - Roln i ochrona środ.'!L25</f>
        <v>#REF!</v>
      </c>
      <c r="J34" s="2185">
        <f>+'Tab. 6B Polit społ i rozwój prz'!M20+'Tab. 6A -Drogi'!M25+'Tab. 6E - Administracja'!M23+'Tab. 6G - Roln i ochrona środ.'!M25</f>
        <v>937743</v>
      </c>
      <c r="K34" s="2561">
        <f>+'Tab. 6B Polit społ i rozwój prz'!N20+'Tab. 6A -Drogi'!N25+'Tab. 6E - Administracja'!N23+'Tab. 6G - Roln i ochrona środ.'!N25</f>
        <v>0</v>
      </c>
      <c r="L34" s="334">
        <f>+'Tab. 6B Polit społ i rozwój prz'!O20+'Tab. 6A -Drogi'!O25+'Tab. 6E - Administracja'!O23+'Tab. 6G - Roln i ochrona środ.'!O25+'Tab.6I - Planow. przestrz.'!O69</f>
        <v>937743</v>
      </c>
      <c r="M34" s="2185">
        <f>+'Tab. 6B Polit społ i rozwój prz'!P20+'Tab. 6A -Drogi'!P25+'Tab. 6E - Administracja'!P23+'Tab. 6G - Roln i ochrona środ.'!P25+'Tab.6I - Planow. przestrz.'!P69</f>
        <v>1643018</v>
      </c>
      <c r="N34" s="2185">
        <f>+'Tab. 6B Polit społ i rozwój prz'!Q20+'Tab. 6A -Drogi'!Q25+'Tab. 6E - Administracja'!Q23+'Tab. 6G - Roln i ochrona środ.'!Q25+'Tab.6I - Planow. przestrz.'!Q69</f>
        <v>2389056</v>
      </c>
      <c r="O34" s="2185">
        <f>+'Tab. 6B Polit społ i rozwój prz'!R20+'Tab. 6A -Drogi'!R25+'Tab. 6E - Administracja'!R23+'Tab. 6G - Roln i ochrona środ.'!R25+'Tab.6I - Planow. przestrz.'!R69</f>
        <v>1654391</v>
      </c>
      <c r="P34" s="2185">
        <f>+'Tab. 6B Polit społ i rozwój prz'!S20+'Tab. 6A -Drogi'!S25+'Tab. 6E - Administracja'!S23+'Tab. 6G - Roln i ochrona środ.'!S25+'Tab.6I - Planow. przestrz.'!S69</f>
        <v>1151569</v>
      </c>
      <c r="Q34" s="2185">
        <f>+'Tab. 6B Polit społ i rozwój prz'!T20+'Tab. 6A -Drogi'!T25+'Tab. 6E - Administracja'!T23+'Tab. 6G - Roln i ochrona środ.'!T25+'Tab.6I - Planow. przestrz.'!T69</f>
        <v>1216734</v>
      </c>
      <c r="R34" s="2185">
        <f>+'Tab. 6B Polit społ i rozwój prz'!U20+'Tab. 6A -Drogi'!U25+'Tab. 6E - Administracja'!U23+'Tab. 6G - Roln i ochrona środ.'!U25+'Tab.6I - Planow. przestrz.'!U69</f>
        <v>1002404</v>
      </c>
      <c r="S34" s="2185">
        <f>+'Tab. 6B Polit społ i rozwój prz'!V20+'Tab. 6A -Drogi'!V25+'Tab. 6E - Administracja'!V23+'Tab. 6G - Roln i ochrona środ.'!V25+'Tab.6I - Planow. przestrz.'!V69</f>
        <v>989414</v>
      </c>
      <c r="T34" s="2185">
        <f>+'Tab. 6B Polit społ i rozwój prz'!W20+'Tab. 6A -Drogi'!W25+'Tab. 6E - Administracja'!W23+'Tab. 6G - Roln i ochrona środ.'!W25+'Tab.6I - Planow. przestrz.'!W69</f>
        <v>494707</v>
      </c>
      <c r="U34" s="2562">
        <f>J34+M34+N34+O34+P34+Q34+R34+S34+T34</f>
        <v>11479036</v>
      </c>
      <c r="V34" s="3589"/>
      <c r="W34" s="896">
        <f>U34-U19</f>
        <v>0</v>
      </c>
    </row>
    <row r="35" spans="1:25" s="899" customFormat="1" hidden="1">
      <c r="A35" s="900" t="s">
        <v>36</v>
      </c>
      <c r="B35" s="2583">
        <f>+'Tab. 6G - Roln i ochrona środ.'!E28</f>
        <v>0</v>
      </c>
      <c r="C35" s="334">
        <f>+'Tab. 6G - Roln i ochrona środ.'!F28</f>
        <v>0</v>
      </c>
      <c r="D35" s="334">
        <f>+'Tab. 6G - Roln i ochrona środ.'!G28</f>
        <v>0</v>
      </c>
      <c r="E35" s="334">
        <f>+'Tab. 6G - Roln i ochrona środ.'!H28</f>
        <v>0</v>
      </c>
      <c r="F35" s="2185">
        <f>+'Tab. 6G - Roln i ochrona środ.'!I28</f>
        <v>0</v>
      </c>
      <c r="G35" s="2185">
        <f>+'Tab. 6G - Roln i ochrona środ.'!J28</f>
        <v>0</v>
      </c>
      <c r="H35" s="2185">
        <f>+'Tab. 6G - Roln i ochrona środ.'!K28</f>
        <v>0</v>
      </c>
      <c r="I35" s="2185">
        <f>+'Tab. 6G - Roln i ochrona środ.'!L28</f>
        <v>0</v>
      </c>
      <c r="J35" s="2185"/>
      <c r="K35" s="2561">
        <f>+'Tab. 6G - Roln i ochrona środ.'!N28</f>
        <v>0</v>
      </c>
      <c r="L35" s="334">
        <f>+'Tab. 6G - Roln i ochrona środ.'!O28+'Tab.6I - Planow. przestrz.'!F21</f>
        <v>0</v>
      </c>
      <c r="M35" s="2583">
        <f>+'Tab. 6G - Roln i ochrona środ.'!P28+'Tab.6I - Planow. przestrz.'!G21</f>
        <v>0</v>
      </c>
      <c r="N35" s="2185">
        <v>0</v>
      </c>
      <c r="O35" s="2185">
        <v>0</v>
      </c>
      <c r="P35" s="2185">
        <v>0</v>
      </c>
      <c r="Q35" s="2185">
        <v>0</v>
      </c>
      <c r="R35" s="2185">
        <v>0</v>
      </c>
      <c r="S35" s="2583">
        <f>+'Tab. 6G - Roln i ochrona środ.'!V28</f>
        <v>0</v>
      </c>
      <c r="T35" s="2583">
        <f>+'Tab. 6G - Roln i ochrona środ.'!W28</f>
        <v>0</v>
      </c>
      <c r="U35" s="2562">
        <f t="shared" ref="U35:U36" si="15">J35+L35+M35+N35+O35+P35+Q35+R35+S35+T35</f>
        <v>0</v>
      </c>
      <c r="V35" s="3589"/>
      <c r="W35" s="896"/>
    </row>
    <row r="36" spans="1:25" s="899" customFormat="1" ht="14.25" hidden="1" customHeight="1">
      <c r="A36" s="900" t="s">
        <v>25</v>
      </c>
      <c r="B36" s="2185">
        <f>+'Tab. 6G - Roln i ochrona środ.'!E26</f>
        <v>0</v>
      </c>
      <c r="C36" s="334">
        <f>+'Tab. 6G - Roln i ochrona środ.'!F26</f>
        <v>0</v>
      </c>
      <c r="D36" s="334">
        <f>+'Tab. 6G - Roln i ochrona środ.'!G26</f>
        <v>0</v>
      </c>
      <c r="E36" s="334">
        <f>+'Tab. 6G - Roln i ochrona środ.'!H26</f>
        <v>0</v>
      </c>
      <c r="F36" s="2185">
        <f>+'Tab. 6G - Roln i ochrona środ.'!I26</f>
        <v>0</v>
      </c>
      <c r="G36" s="2185">
        <f>+'Tab. 6G - Roln i ochrona środ.'!J26</f>
        <v>0</v>
      </c>
      <c r="H36" s="2185">
        <f>+'Tab. 6G - Roln i ochrona środ.'!K26</f>
        <v>0</v>
      </c>
      <c r="I36" s="2185">
        <f>+'Tab. 6G - Roln i ochrona środ.'!L26</f>
        <v>0</v>
      </c>
      <c r="J36" s="2185">
        <f>+'Tab. 6G - Roln i ochrona środ.'!M26</f>
        <v>0</v>
      </c>
      <c r="K36" s="2561">
        <f>+'Tab. 6G - Roln i ochrona środ.'!N26</f>
        <v>0</v>
      </c>
      <c r="L36" s="334">
        <f>+'Tab. 6G - Roln i ochrona środ.'!O26</f>
        <v>0</v>
      </c>
      <c r="M36" s="2185">
        <f>+'Tab. 6G - Roln i ochrona środ.'!P26</f>
        <v>0</v>
      </c>
      <c r="N36" s="2185">
        <f>+'Tab. 6G - Roln i ochrona środ.'!Q26</f>
        <v>0</v>
      </c>
      <c r="O36" s="2185">
        <f>+'Tab. 6G - Roln i ochrona środ.'!R26</f>
        <v>0</v>
      </c>
      <c r="P36" s="2185">
        <f>+'Tab. 6G - Roln i ochrona środ.'!S26</f>
        <v>0</v>
      </c>
      <c r="Q36" s="2185">
        <f>+'Tab. 6G - Roln i ochrona środ.'!T26</f>
        <v>0</v>
      </c>
      <c r="R36" s="2185">
        <f>+'Tab. 6G - Roln i ochrona środ.'!U26</f>
        <v>0</v>
      </c>
      <c r="S36" s="2185">
        <f>+'Tab. 6G - Roln i ochrona środ.'!V26</f>
        <v>0</v>
      </c>
      <c r="T36" s="2185">
        <f>+'Tab. 6G - Roln i ochrona środ.'!W26</f>
        <v>0</v>
      </c>
      <c r="U36" s="2562">
        <f t="shared" si="15"/>
        <v>0</v>
      </c>
      <c r="V36" s="3589"/>
      <c r="W36" s="896">
        <f>U36-U20</f>
        <v>0</v>
      </c>
    </row>
    <row r="37" spans="1:25" s="899" customFormat="1" ht="14.25" customHeight="1">
      <c r="A37" s="900" t="s">
        <v>26</v>
      </c>
      <c r="B37" s="2563">
        <f>+'Tab. 6A -Drogi'!E26</f>
        <v>0</v>
      </c>
      <c r="C37" s="2560">
        <f>+'Tab. 6A -Drogi'!F26</f>
        <v>0</v>
      </c>
      <c r="D37" s="2560">
        <f>+'Tab. 6A -Drogi'!G26</f>
        <v>0</v>
      </c>
      <c r="E37" s="2560">
        <f>+'Tab. 6A -Drogi'!H26</f>
        <v>0</v>
      </c>
      <c r="F37" s="2560">
        <f>+'Tab. 6A -Drogi'!I26</f>
        <v>0</v>
      </c>
      <c r="G37" s="2560">
        <f>+'Tab. 6A -Drogi'!J26</f>
        <v>2000000</v>
      </c>
      <c r="H37" s="2560">
        <f>+'Tab. 6A -Drogi'!K26</f>
        <v>3522878</v>
      </c>
      <c r="I37" s="2560">
        <f>+'Tab. 6A -Drogi'!L26</f>
        <v>2023989</v>
      </c>
      <c r="J37" s="2560">
        <f>+'Tab. 6A -Drogi'!M26</f>
        <v>9354695</v>
      </c>
      <c r="K37" s="2561">
        <f>+'Tab. 6A -Drogi'!N26</f>
        <v>1807828</v>
      </c>
      <c r="L37" s="2563">
        <f>+'Tab. 6A -Drogi'!O26</f>
        <v>0</v>
      </c>
      <c r="M37" s="2560">
        <f>+'Tab. 6A -Drogi'!P26</f>
        <v>1000000</v>
      </c>
      <c r="N37" s="2560">
        <f>+'Tab. 6A -Drogi'!Q26</f>
        <v>5395843</v>
      </c>
      <c r="O37" s="2560">
        <f>+'Tab. 6A -Drogi'!R26</f>
        <v>4774157</v>
      </c>
      <c r="P37" s="2563">
        <f>+'Tab. 6A -Drogi'!S26</f>
        <v>0</v>
      </c>
      <c r="Q37" s="2563">
        <f>+'Tab. 6A -Drogi'!T26</f>
        <v>0</v>
      </c>
      <c r="R37" s="2563">
        <f>+'Tab. 6A -Drogi'!U26</f>
        <v>0</v>
      </c>
      <c r="S37" s="2563">
        <f>+'Tab. 6A -Drogi'!V26</f>
        <v>0</v>
      </c>
      <c r="T37" s="2563">
        <f>+'Tab. 6A -Drogi'!W26</f>
        <v>0</v>
      </c>
      <c r="U37" s="2562">
        <f>J37+M37+N37+O37+P37+Q37+R37+S37+T37</f>
        <v>20524695</v>
      </c>
      <c r="V37" s="3589"/>
      <c r="W37" s="896">
        <f>U37-U21</f>
        <v>0</v>
      </c>
      <c r="X37" s="2584"/>
    </row>
    <row r="38" spans="1:25" s="899" customFormat="1">
      <c r="A38" s="900" t="s">
        <v>27</v>
      </c>
      <c r="B38" s="2566">
        <f>+'Tab. 6A -Drogi'!E27+'Tab. 6G - Roln i ochrona środ.'!E27</f>
        <v>0</v>
      </c>
      <c r="C38" s="2567">
        <f>+'Tab. 6A -Drogi'!F27+'Tab. 6G - Roln i ochrona środ.'!F27</f>
        <v>0</v>
      </c>
      <c r="D38" s="2567">
        <f>+'Tab. 6A -Drogi'!G27+'Tab. 6G - Roln i ochrona środ.'!G27</f>
        <v>0</v>
      </c>
      <c r="E38" s="2567">
        <f>+'Tab. 6A -Drogi'!H27+'Tab. 6G - Roln i ochrona środ.'!H27</f>
        <v>0</v>
      </c>
      <c r="F38" s="2567">
        <f>+'Tab. 6A -Drogi'!I27+'Tab. 6G - Roln i ochrona środ.'!I27</f>
        <v>0</v>
      </c>
      <c r="G38" s="2567">
        <f>+'Tab. 6A -Drogi'!J27+'Tab. 6G - Roln i ochrona środ.'!J27</f>
        <v>0</v>
      </c>
      <c r="H38" s="2567">
        <f>+'Tab. 6A -Drogi'!K27+'Tab. 6G - Roln i ochrona środ.'!K27</f>
        <v>3801777</v>
      </c>
      <c r="I38" s="2567">
        <f>+'Tab. 6A -Drogi'!L27+'Tab. 6G - Roln i ochrona środ.'!L27</f>
        <v>3261339</v>
      </c>
      <c r="J38" s="2567">
        <f>+'Tab. 6A -Drogi'!M27+'Tab. 6G - Roln i ochrona środ.'!M27+'Tab. 6E - Administracja'!M24</f>
        <v>18093511</v>
      </c>
      <c r="K38" s="2585">
        <f>+'Tab. 6A -Drogi'!N27+'Tab. 6G - Roln i ochrona środ.'!N27</f>
        <v>4477145</v>
      </c>
      <c r="L38" s="2567">
        <f>+'Tab. 6A -Drogi'!O27+'Tab. 6G - Roln i ochrona środ.'!O27+'Tab. 6E - Administracja'!O24</f>
        <v>6553250</v>
      </c>
      <c r="M38" s="2567">
        <f>+'Tab. 6A -Drogi'!P27+'Tab. 6G - Roln i ochrona środ.'!P27+'Tab. 6E - Administracja'!P24</f>
        <v>10458622</v>
      </c>
      <c r="N38" s="2567">
        <f>+'Tab. 6A -Drogi'!Q27+'Tab. 6G - Roln i ochrona środ.'!Q27+'Tab. 6E - Administracja'!Q24</f>
        <v>11861826</v>
      </c>
      <c r="O38" s="2567">
        <f>+'Tab. 6A -Drogi'!R27+'Tab. 6G - Roln i ochrona środ.'!R27+'Tab. 6E - Administracja'!R24</f>
        <v>8419285</v>
      </c>
      <c r="P38" s="2567">
        <f>+'Tab. 6A -Drogi'!S27+'Tab. 6G - Roln i ochrona środ.'!S27+'Tab. 6E - Administracja'!S24</f>
        <v>7032200</v>
      </c>
      <c r="Q38" s="2567">
        <f>+'Tab. 6A -Drogi'!T27+'Tab. 6G - Roln i ochrona środ.'!T27+'Tab. 6E - Administracja'!T24</f>
        <v>1671800</v>
      </c>
      <c r="R38" s="2566">
        <f>+'Tab. 6A -Drogi'!U27+'Tab. 6G - Roln i ochrona środ.'!U27+'Tab. 6E - Administracja'!U24</f>
        <v>0</v>
      </c>
      <c r="S38" s="2566">
        <f>+'Tab. 6A -Drogi'!V27+'Tab. 6G - Roln i ochrona środ.'!V27+'Tab. 6E - Administracja'!V24</f>
        <v>0</v>
      </c>
      <c r="T38" s="2566">
        <f>+'Tab. 6A -Drogi'!W27+'Tab. 6G - Roln i ochrona środ.'!W27+'Tab. 6E - Administracja'!W24</f>
        <v>0</v>
      </c>
      <c r="U38" s="2562">
        <f>J38+M38+N38+O38+P38+Q38+R38+S38+T38</f>
        <v>57537244</v>
      </c>
      <c r="V38" s="3589"/>
      <c r="W38" s="896">
        <f>U38-U22</f>
        <v>0</v>
      </c>
    </row>
    <row r="39" spans="1:25" s="899" customFormat="1" ht="15" customHeight="1">
      <c r="A39" s="900" t="s">
        <v>28</v>
      </c>
      <c r="B39" s="901">
        <f>+'Tab. 6A -Drogi'!E28</f>
        <v>0</v>
      </c>
      <c r="C39" s="2560">
        <f>+'Tab. 6A -Drogi'!F28</f>
        <v>0</v>
      </c>
      <c r="D39" s="2560">
        <f>+'Tab. 6A -Drogi'!G28</f>
        <v>0</v>
      </c>
      <c r="E39" s="2560">
        <f>+'Tab. 6A -Drogi'!H28</f>
        <v>0</v>
      </c>
      <c r="F39" s="2563">
        <f>+'Tab. 6A -Drogi'!I28</f>
        <v>0</v>
      </c>
      <c r="G39" s="2560">
        <f>+'Tab. 6A -Drogi'!J28</f>
        <v>3068526</v>
      </c>
      <c r="H39" s="2560">
        <f>+'Tab. 6A -Drogi'!K28</f>
        <v>4314923</v>
      </c>
      <c r="I39" s="2560">
        <f>+'Tab. 6A -Drogi'!L28</f>
        <v>424164</v>
      </c>
      <c r="J39" s="2560">
        <f>+'Tab. 6A -Drogi'!M28</f>
        <v>11379681</v>
      </c>
      <c r="K39" s="2561">
        <f>+'Tab. 6A -Drogi'!N28</f>
        <v>2875044</v>
      </c>
      <c r="L39" s="2560">
        <f>+'Tab. 6A -Drogi'!O28</f>
        <v>697024</v>
      </c>
      <c r="M39" s="2566">
        <f>+'Tab. 6A -Drogi'!P28</f>
        <v>0</v>
      </c>
      <c r="N39" s="2563">
        <f>+'Tab. 6A -Drogi'!Q28</f>
        <v>0</v>
      </c>
      <c r="O39" s="2563">
        <f>+'Tab. 6A -Drogi'!R28</f>
        <v>0</v>
      </c>
      <c r="P39" s="2563">
        <f>+'Tab. 6A -Drogi'!S28</f>
        <v>0</v>
      </c>
      <c r="Q39" s="2563">
        <f>+'Tab. 6A -Drogi'!T28</f>
        <v>0</v>
      </c>
      <c r="R39" s="2563">
        <f>+'Tab. 6A -Drogi'!U28</f>
        <v>0</v>
      </c>
      <c r="S39" s="2563">
        <f>+'Tab. 6A -Drogi'!V28</f>
        <v>0</v>
      </c>
      <c r="T39" s="2563">
        <f>+'Tab. 6A -Drogi'!W28</f>
        <v>0</v>
      </c>
      <c r="U39" s="2562">
        <f>J39+M39+N39+O39+P39+Q39+R39+S39+T39</f>
        <v>11379681</v>
      </c>
      <c r="V39" s="3589"/>
      <c r="W39" s="896">
        <f>U39-U24</f>
        <v>0</v>
      </c>
    </row>
    <row r="40" spans="1:25" s="899" customFormat="1" ht="25.5" hidden="1" customHeight="1">
      <c r="A40" s="2559" t="s">
        <v>37</v>
      </c>
      <c r="B40" s="2568">
        <f>+'Tab. 6A -Drogi'!E29</f>
        <v>0</v>
      </c>
      <c r="C40" s="2569">
        <f>+'Tab. 6A -Drogi'!F29</f>
        <v>0</v>
      </c>
      <c r="D40" s="2569">
        <f>+'Tab. 6A -Drogi'!G29</f>
        <v>0</v>
      </c>
      <c r="E40" s="2569">
        <f>+'Tab. 6A -Drogi'!H29</f>
        <v>0</v>
      </c>
      <c r="F40" s="2568">
        <f>+'Tab. 6A -Drogi'!I29</f>
        <v>0</v>
      </c>
      <c r="G40" s="2568">
        <f>+'Tab. 6A -Drogi'!J29</f>
        <v>0</v>
      </c>
      <c r="H40" s="2568">
        <f>+'Tab. 6A -Drogi'!K29</f>
        <v>0</v>
      </c>
      <c r="I40" s="2569">
        <f>+'Tab. 6A -Drogi'!L29</f>
        <v>0</v>
      </c>
      <c r="J40" s="2569">
        <f>+'Tab. 6A -Drogi'!M29</f>
        <v>0</v>
      </c>
      <c r="K40" s="2586">
        <f>+'Tab. 6A -Drogi'!N29</f>
        <v>0</v>
      </c>
      <c r="L40" s="2568">
        <f>+'Tab. 6A -Drogi'!O29</f>
        <v>0</v>
      </c>
      <c r="M40" s="2568">
        <f>+'Tab. 6A -Drogi'!P29</f>
        <v>0</v>
      </c>
      <c r="N40" s="2568">
        <f>+'Tab. 6A -Drogi'!Q29</f>
        <v>0</v>
      </c>
      <c r="O40" s="2568">
        <f>+'Tab. 6A -Drogi'!R29</f>
        <v>0</v>
      </c>
      <c r="P40" s="2568">
        <f>+'Tab. 6A -Drogi'!S29</f>
        <v>0</v>
      </c>
      <c r="Q40" s="2568">
        <f>+'Tab. 6A -Drogi'!T29</f>
        <v>0</v>
      </c>
      <c r="R40" s="2568">
        <f>+'Tab. 6A -Drogi'!U29</f>
        <v>0</v>
      </c>
      <c r="S40" s="2568">
        <f>+'Tab. 6A -Drogi'!V29</f>
        <v>0</v>
      </c>
      <c r="T40" s="2568">
        <f>+'Tab. 6A -Drogi'!W29</f>
        <v>0</v>
      </c>
      <c r="U40" s="2562">
        <f>J40+M40+N40+O40+P40+Q40+R40+S40+T40</f>
        <v>0</v>
      </c>
      <c r="V40" s="3589"/>
      <c r="W40" s="896"/>
    </row>
    <row r="41" spans="1:25" s="899" customFormat="1" ht="16.5" customHeight="1">
      <c r="A41" s="890" t="s">
        <v>29</v>
      </c>
      <c r="B41" s="2184">
        <f>SUM(B42:B46)</f>
        <v>0</v>
      </c>
      <c r="C41" s="2187">
        <f t="shared" ref="C41:N41" si="16">SUM(C42:C46)</f>
        <v>0</v>
      </c>
      <c r="D41" s="2187">
        <f t="shared" si="16"/>
        <v>2563346</v>
      </c>
      <c r="E41" s="2187">
        <f t="shared" si="16"/>
        <v>8310034</v>
      </c>
      <c r="F41" s="2187">
        <f t="shared" si="16"/>
        <v>0</v>
      </c>
      <c r="G41" s="2187">
        <f t="shared" si="16"/>
        <v>6199285</v>
      </c>
      <c r="H41" s="2187">
        <f t="shared" si="16"/>
        <v>20701217</v>
      </c>
      <c r="I41" s="2187">
        <f t="shared" si="16"/>
        <v>13199862</v>
      </c>
      <c r="J41" s="2187">
        <f t="shared" si="16"/>
        <v>149313555</v>
      </c>
      <c r="K41" s="2587">
        <f t="shared" si="16"/>
        <v>60925684</v>
      </c>
      <c r="L41" s="2588">
        <f t="shared" si="16"/>
        <v>48287507</v>
      </c>
      <c r="M41" s="2187">
        <f t="shared" si="16"/>
        <v>58410241</v>
      </c>
      <c r="N41" s="2187">
        <f t="shared" si="16"/>
        <v>334563377</v>
      </c>
      <c r="O41" s="2187">
        <f t="shared" ref="O41:T41" si="17">SUM(O42:O46)</f>
        <v>297222574</v>
      </c>
      <c r="P41" s="2187">
        <f t="shared" si="17"/>
        <v>86561319</v>
      </c>
      <c r="Q41" s="2187">
        <f t="shared" si="17"/>
        <v>70345102</v>
      </c>
      <c r="R41" s="2187">
        <f t="shared" si="17"/>
        <v>32630070</v>
      </c>
      <c r="S41" s="2187">
        <f t="shared" si="17"/>
        <v>32212309</v>
      </c>
      <c r="T41" s="2187">
        <f t="shared" si="17"/>
        <v>31082654</v>
      </c>
      <c r="U41" s="2582">
        <f>SUM(U42:U46)</f>
        <v>1092341201</v>
      </c>
      <c r="V41" s="3589"/>
      <c r="W41" s="896"/>
    </row>
    <row r="42" spans="1:25" s="899" customFormat="1" ht="15.75" hidden="1" customHeight="1">
      <c r="A42" s="2589" t="s">
        <v>28</v>
      </c>
      <c r="B42" s="2590">
        <f>+'Tab. 6A -Drogi'!E31</f>
        <v>0</v>
      </c>
      <c r="C42" s="2590">
        <f>+'Tab. 6A -Drogi'!F31</f>
        <v>0</v>
      </c>
      <c r="D42" s="2590">
        <f>+'Tab. 6A -Drogi'!G31</f>
        <v>0</v>
      </c>
      <c r="E42" s="2590">
        <f>+'Tab. 6A -Drogi'!H31</f>
        <v>0</v>
      </c>
      <c r="F42" s="2590">
        <f>+'Tab. 6A -Drogi'!I31</f>
        <v>0</v>
      </c>
      <c r="G42" s="2590">
        <f>+'Tab. 6A -Drogi'!J31</f>
        <v>0</v>
      </c>
      <c r="H42" s="2590">
        <f>+'Tab. 6A -Drogi'!K31</f>
        <v>0</v>
      </c>
      <c r="I42" s="2590">
        <f>+'Tab. 6A -Drogi'!L31</f>
        <v>0</v>
      </c>
      <c r="J42" s="2590"/>
      <c r="K42" s="2591">
        <f>+'Tab. 6A -Drogi'!N31</f>
        <v>0</v>
      </c>
      <c r="L42" s="2590">
        <f>+'Tab. 6A -Drogi'!O31</f>
        <v>0</v>
      </c>
      <c r="M42" s="2590">
        <f>+'Tab. 6A -Drogi'!P31</f>
        <v>0</v>
      </c>
      <c r="N42" s="2592"/>
      <c r="O42" s="2592"/>
      <c r="P42" s="2592"/>
      <c r="Q42" s="2592"/>
      <c r="R42" s="2590"/>
      <c r="S42" s="2593"/>
      <c r="T42" s="2590"/>
      <c r="U42" s="2594">
        <f>+B42+F42+G42+H42+I42+K42+L42+M42</f>
        <v>0</v>
      </c>
      <c r="V42" s="3589"/>
      <c r="W42" s="896"/>
    </row>
    <row r="43" spans="1:25" s="899" customFormat="1" ht="14.25" hidden="1" customHeight="1">
      <c r="A43" s="900" t="s">
        <v>30</v>
      </c>
      <c r="B43" s="2563">
        <f>+'Tab. 6A -Drogi'!E34</f>
        <v>0</v>
      </c>
      <c r="C43" s="2563">
        <f>+'Tab. 6A -Drogi'!F34</f>
        <v>0</v>
      </c>
      <c r="D43" s="2563">
        <f>+'Tab. 6A -Drogi'!G34</f>
        <v>0</v>
      </c>
      <c r="E43" s="2563">
        <f>+'Tab. 6A -Drogi'!H34</f>
        <v>0</v>
      </c>
      <c r="F43" s="2563">
        <f>+'Tab. 6A -Drogi'!I34</f>
        <v>0</v>
      </c>
      <c r="G43" s="2563">
        <f>+'Tab. 6A -Drogi'!J34</f>
        <v>0</v>
      </c>
      <c r="H43" s="2563">
        <f>+'Tab. 6A -Drogi'!K34</f>
        <v>0</v>
      </c>
      <c r="I43" s="2560">
        <f>+'Tab. 6A -Drogi'!L34</f>
        <v>0</v>
      </c>
      <c r="J43" s="2560">
        <f>+'Tab. 6A -Drogi'!M34</f>
        <v>0</v>
      </c>
      <c r="K43" s="2561">
        <f>+'Tab. 6A -Drogi'!N34</f>
        <v>0</v>
      </c>
      <c r="L43" s="2560">
        <f>+'Tab. 6A -Drogi'!O34</f>
        <v>0</v>
      </c>
      <c r="M43" s="2560">
        <f>+'Tab. 6A -Drogi'!P34</f>
        <v>0</v>
      </c>
      <c r="N43" s="2560">
        <f>+'Tab. 6A -Drogi'!Q34</f>
        <v>0</v>
      </c>
      <c r="O43" s="2560">
        <f>+'Tab. 6A -Drogi'!R34</f>
        <v>0</v>
      </c>
      <c r="P43" s="2560">
        <f>+'Tab. 6A -Drogi'!S34</f>
        <v>0</v>
      </c>
      <c r="Q43" s="2560">
        <f>+'Tab. 6A -Drogi'!T34</f>
        <v>0</v>
      </c>
      <c r="R43" s="2560">
        <f>+'Tab. 6A -Drogi'!U34</f>
        <v>0</v>
      </c>
      <c r="S43" s="2560">
        <f>+'Tab. 6A -Drogi'!V34</f>
        <v>0</v>
      </c>
      <c r="T43" s="2560">
        <f>+'Tab. 6A -Drogi'!W34</f>
        <v>0</v>
      </c>
      <c r="U43" s="2562">
        <f>J43+L43+M43+N43+O43+P43+Q43+R43+S43+T43</f>
        <v>0</v>
      </c>
      <c r="V43" s="3589"/>
      <c r="W43" s="896">
        <f>U43-U28</f>
        <v>0</v>
      </c>
    </row>
    <row r="44" spans="1:25" s="899" customFormat="1" ht="15.75" hidden="1" customHeight="1">
      <c r="A44" s="900" t="s">
        <v>25</v>
      </c>
      <c r="B44" s="2560">
        <f>+'Tab. 6G - Roln i ochrona środ.'!E32</f>
        <v>0</v>
      </c>
      <c r="C44" s="2560">
        <f>+'Tab. 6G - Roln i ochrona środ.'!F32</f>
        <v>0</v>
      </c>
      <c r="D44" s="2560">
        <f>+'Tab. 6G - Roln i ochrona środ.'!G32</f>
        <v>0</v>
      </c>
      <c r="E44" s="2560">
        <f>+'Tab. 6G - Roln i ochrona środ.'!H32</f>
        <v>0</v>
      </c>
      <c r="F44" s="2560">
        <f>+'Tab. 6G - Roln i ochrona środ.'!I32</f>
        <v>0</v>
      </c>
      <c r="G44" s="2560">
        <f>+'Tab. 6G - Roln i ochrona środ.'!J32</f>
        <v>0</v>
      </c>
      <c r="H44" s="2560">
        <f>+'Tab. 6G - Roln i ochrona środ.'!K32</f>
        <v>0</v>
      </c>
      <c r="I44" s="2560">
        <f>+'Tab. 6G - Roln i ochrona środ.'!L32</f>
        <v>0</v>
      </c>
      <c r="J44" s="2560">
        <f>+'Tab. 6G - Roln i ochrona środ.'!M32</f>
        <v>0</v>
      </c>
      <c r="K44" s="2561">
        <f>+'Tab. 6G - Roln i ochrona środ.'!N32</f>
        <v>0</v>
      </c>
      <c r="L44" s="2560">
        <f>+'Tab. 6G - Roln i ochrona środ.'!O32</f>
        <v>0</v>
      </c>
      <c r="M44" s="2560">
        <f>+'Tab. 6G - Roln i ochrona środ.'!P32</f>
        <v>0</v>
      </c>
      <c r="N44" s="2560">
        <f>+'Tab. 6G - Roln i ochrona środ.'!Q32</f>
        <v>0</v>
      </c>
      <c r="O44" s="2560">
        <f>+'Tab. 6G - Roln i ochrona środ.'!R32</f>
        <v>0</v>
      </c>
      <c r="P44" s="2560">
        <f>+'Tab. 6G - Roln i ochrona środ.'!S32</f>
        <v>0</v>
      </c>
      <c r="Q44" s="2560">
        <f>+'Tab. 6G - Roln i ochrona środ.'!T32</f>
        <v>0</v>
      </c>
      <c r="R44" s="2560">
        <f>+'Tab. 6G - Roln i ochrona środ.'!U32</f>
        <v>0</v>
      </c>
      <c r="S44" s="2560">
        <f>+'Tab. 6G - Roln i ochrona środ.'!V32</f>
        <v>0</v>
      </c>
      <c r="T44" s="2560">
        <f>+'Tab. 6G - Roln i ochrona środ.'!W32</f>
        <v>0</v>
      </c>
      <c r="U44" s="2562">
        <f>J44+M44+N44+O44+P44+Q44+R44+S44+T44</f>
        <v>0</v>
      </c>
      <c r="V44" s="3589"/>
      <c r="W44" s="896">
        <f>U44-U30</f>
        <v>0</v>
      </c>
    </row>
    <row r="45" spans="1:25" s="899" customFormat="1" ht="14.25" customHeight="1">
      <c r="A45" s="900" t="s">
        <v>31</v>
      </c>
      <c r="B45" s="333">
        <f>+'Tab. 6A -Drogi'!E32+'Tab. 6G - Roln i ochrona środ.'!E33+'Tab. 6D - Oświata'!E20</f>
        <v>0</v>
      </c>
      <c r="C45" s="333">
        <f>+'Tab. 6A -Drogi'!F32+'Tab. 6G - Roln i ochrona środ.'!F33+'Tab. 6D - Oświata'!F20</f>
        <v>0</v>
      </c>
      <c r="D45" s="333">
        <f>+'Tab. 6A -Drogi'!G32+'Tab. 6G - Roln i ochrona środ.'!G33+'Tab. 6D - Oświata'!G20</f>
        <v>0</v>
      </c>
      <c r="E45" s="333">
        <f>+'Tab. 6A -Drogi'!H32+'Tab. 6G - Roln i ochrona środ.'!H33+'Tab. 6D - Oświata'!H20</f>
        <v>0</v>
      </c>
      <c r="F45" s="333">
        <f>+'Tab. 6A -Drogi'!I32+'Tab. 6G - Roln i ochrona środ.'!I33+'Tab. 6D - Oświata'!I20</f>
        <v>0</v>
      </c>
      <c r="G45" s="333">
        <f>+'Tab. 6A -Drogi'!J32+'Tab. 6G - Roln i ochrona środ.'!J33+'Tab. 6D - Oświata'!J20</f>
        <v>3544011</v>
      </c>
      <c r="H45" s="333">
        <f>+'Tab. 6A -Drogi'!K32+'Tab. 6G - Roln i ochrona środ.'!K33+'Tab. 6D - Oświata'!K20</f>
        <v>4405356</v>
      </c>
      <c r="I45" s="333">
        <f>+'Tab. 6A -Drogi'!L32+'Tab. 6G - Roln i ochrona środ.'!L33+'Tab. 6D - Oświata'!L20</f>
        <v>3461860</v>
      </c>
      <c r="J45" s="333">
        <f>+'Tab. 6A -Drogi'!M32+'Tab. 6G - Roln i ochrona środ.'!M33+'Tab. 6D - Oświata'!M20+'Tab.6I - Planow. przestrz.'!M24+'Tab. 6B Polit społ i rozwój prz'!M22</f>
        <v>11570572</v>
      </c>
      <c r="K45" s="2564">
        <f>+'Tab. 6A -Drogi'!N32+'Tab. 6G - Roln i ochrona środ.'!N33+'Tab. 6D - Oświata'!N20</f>
        <v>75862</v>
      </c>
      <c r="L45" s="333">
        <f>+'Tab. 6A -Drogi'!O32+'Tab. 6G - Roln i ochrona środ.'!O33+'Tab. 6D - Oświata'!O20+'Tab.6I - Planow. przestrz.'!O24+'Tab. 6B Polit społ i rozwój prz'!O22</f>
        <v>83483</v>
      </c>
      <c r="M45" s="333">
        <f>+'Tab. 6A -Drogi'!P32+'Tab. 6G - Roln i ochrona środ.'!P33+'Tab. 6D - Oświata'!P20+'Tab.6I - Planow. przestrz.'!P24+'Tab. 6B Polit społ i rozwój prz'!P22</f>
        <v>4799969</v>
      </c>
      <c r="N45" s="333">
        <f>+'Tab. 6A -Drogi'!Q32+'Tab. 6G - Roln i ochrona środ.'!Q33+'Tab. 6D - Oświata'!Q20+'Tab.6I - Planow. przestrz.'!Q24+'Tab. 6B Polit społ i rozwój prz'!Q22</f>
        <v>15370536</v>
      </c>
      <c r="O45" s="333">
        <f>+'Tab. 6A -Drogi'!R32+'Tab. 6G - Roln i ochrona środ.'!R33+'Tab. 6D - Oświata'!R20+'Tab.6I - Planow. przestrz.'!R24+'Tab. 6B Polit społ i rozwój prz'!R22</f>
        <v>10506348</v>
      </c>
      <c r="P45" s="333">
        <f>+'Tab. 6A -Drogi'!S32+'Tab. 6G - Roln i ochrona środ.'!S33+'Tab. 6D - Oświata'!S20+'Tab.6I - Planow. przestrz.'!S24+'Tab. 6B Polit społ i rozwój prz'!S22</f>
        <v>8407665</v>
      </c>
      <c r="Q45" s="333">
        <f>+'Tab. 6A -Drogi'!T32+'Tab. 6G - Roln i ochrona środ.'!T33+'Tab. 6D - Oświata'!T20+'Tab.6I - Planow. przestrz.'!T24+'Tab. 6B Polit społ i rozwój prz'!T22</f>
        <v>3225381</v>
      </c>
      <c r="R45" s="333">
        <f>+'Tab. 6A -Drogi'!U32+'Tab. 6G - Roln i ochrona środ.'!U33+'Tab. 6D - Oświata'!U20+'Tab.6I - Planow. przestrz.'!U24+'Tab. 6B Polit społ i rozwój prz'!U22</f>
        <v>146441</v>
      </c>
      <c r="S45" s="333">
        <f>+'Tab. 6A -Drogi'!V32+'Tab. 6G - Roln i ochrona środ.'!V33+'Tab. 6D - Oświata'!V20+'Tab.6I - Planow. przestrz.'!V24+'Tab. 6B Polit społ i rozwój prz'!V22</f>
        <v>0</v>
      </c>
      <c r="T45" s="333">
        <f>+'Tab. 6A -Drogi'!W32+'Tab. 6G - Roln i ochrona środ.'!W33+'Tab. 6D - Oświata'!W20+'Tab.6I - Planow. przestrz.'!W24+'Tab. 6B Polit społ i rozwój prz'!W22</f>
        <v>0</v>
      </c>
      <c r="U45" s="2562">
        <f>J45+M45+N45+O45+P45+Q45+R45+S45+T45</f>
        <v>54026912</v>
      </c>
      <c r="V45" s="3589"/>
      <c r="W45" s="896">
        <f>U45-U29-U27</f>
        <v>0</v>
      </c>
      <c r="X45" s="2584" t="s">
        <v>376</v>
      </c>
    </row>
    <row r="46" spans="1:25" s="899" customFormat="1" ht="15.75" customHeight="1">
      <c r="A46" s="900" t="s">
        <v>32</v>
      </c>
      <c r="B46" s="2560">
        <f>+'Tab. 6B Polit społ i rozwój prz'!E23+'Tab. 6A -Drogi'!E33+'Tab. 6E - Administracja'!E26+'Tab. 6G - Roln i ochrona środ.'!E31+'Tab. 6H - Kultura fiz. i turyst'!E19+'Tab.6I - Planow. przestrz.'!E23</f>
        <v>0</v>
      </c>
      <c r="C46" s="2560">
        <f>+'Tab. 6B Polit społ i rozwój prz'!F23+'Tab. 6A -Drogi'!F33+'Tab. 6E - Administracja'!F26+'Tab. 6G - Roln i ochrona środ.'!F31+'Tab. 6H - Kultura fiz. i turyst'!F19+'Tab.6I - Planow. przestrz.'!F23</f>
        <v>0</v>
      </c>
      <c r="D46" s="2560">
        <f>+'Tab. 6B Polit społ i rozwój prz'!G23+'Tab. 6A -Drogi'!G33+'Tab. 6E - Administracja'!G26+'Tab. 6G - Roln i ochrona środ.'!G31+'Tab. 6H - Kultura fiz. i turyst'!G19+'Tab.6I - Planow. przestrz.'!G23</f>
        <v>2563346</v>
      </c>
      <c r="E46" s="2560">
        <f>+'Tab. 6B Polit społ i rozwój prz'!H23+'Tab. 6A -Drogi'!H33+'Tab. 6E - Administracja'!H26+'Tab. 6G - Roln i ochrona środ.'!H31+'Tab. 6H - Kultura fiz. i turyst'!H19+'Tab.6I - Planow. przestrz.'!H23</f>
        <v>8310034</v>
      </c>
      <c r="F46" s="2560">
        <f>+'Tab. 6B Polit społ i rozwój prz'!I23+'Tab. 6A -Drogi'!I33+'Tab. 6E - Administracja'!I26+'Tab. 6G - Roln i ochrona środ.'!I31+'Tab. 6H - Kultura fiz. i turyst'!I19+'Tab.6I - Planow. przestrz.'!I23</f>
        <v>0</v>
      </c>
      <c r="G46" s="2560">
        <f>+'Tab. 6B Polit społ i rozwój prz'!J23+'Tab. 6A -Drogi'!J33+'Tab. 6E - Administracja'!J26+'Tab. 6G - Roln i ochrona środ.'!J31+'Tab. 6H - Kultura fiz. i turyst'!J19+'Tab.6I - Planow. przestrz.'!J23</f>
        <v>2655274</v>
      </c>
      <c r="H46" s="2560">
        <f>+'Tab. 6B Polit społ i rozwój prz'!K23+'Tab. 6A -Drogi'!K33+'Tab. 6E - Administracja'!K26+'Tab. 6G - Roln i ochrona środ.'!K31+'Tab. 6H - Kultura fiz. i turyst'!K19+'Tab.6I - Planow. przestrz.'!K23</f>
        <v>16295861</v>
      </c>
      <c r="I46" s="2560">
        <f>+'Tab. 6B Polit społ i rozwój prz'!L23+'Tab. 6A -Drogi'!L33+'Tab. 6E - Administracja'!L26+'Tab. 6G - Roln i ochrona środ.'!L31+'Tab. 6H - Kultura fiz. i turyst'!L19+'Tab.6I - Planow. przestrz.'!L23</f>
        <v>9738002</v>
      </c>
      <c r="J46" s="2560">
        <f>+'Tab. 6B Polit społ i rozwój prz'!M23+'Tab. 6A -Drogi'!M33+'Tab. 6E - Administracja'!M26+'Tab. 6G - Roln i ochrona środ.'!M31+'Tab. 6H - Kultura fiz. i turyst'!M19+'Tab.6I - Planow. przestrz.'!M23</f>
        <v>137742983</v>
      </c>
      <c r="K46" s="2561">
        <f>+'Tab. 6B Polit społ i rozwój prz'!N23+'Tab. 6A -Drogi'!N33+'Tab. 6E - Administracja'!N26+'Tab. 6G - Roln i ochrona środ.'!N31+'Tab. 6H - Kultura fiz. i turyst'!N19+'Tab.6I - Planow. przestrz.'!N23</f>
        <v>60849822</v>
      </c>
      <c r="L46" s="2560">
        <f>+'Tab. 6B Polit społ i rozwój prz'!O23+'Tab. 6A -Drogi'!O33+'Tab. 6E - Administracja'!O26+'Tab. 6G - Roln i ochrona środ.'!O31+'Tab. 6H - Kultura fiz. i turyst'!O19+'Tab.6I - Planow. przestrz.'!O23</f>
        <v>48204024</v>
      </c>
      <c r="M46" s="2560">
        <f>+'Tab. 6B Polit społ i rozwój prz'!P23+'Tab. 6A -Drogi'!P33+'Tab. 6E - Administracja'!P26+'Tab. 6G - Roln i ochrona środ.'!P31+'Tab. 6H - Kultura fiz. i turyst'!P19+'Tab.6I - Planow. przestrz.'!P23</f>
        <v>53610272</v>
      </c>
      <c r="N46" s="333">
        <f>+'Tab. 6B Polit społ i rozwój prz'!Q23+'Tab. 6A -Drogi'!Q33+'Tab. 6E - Administracja'!Q26+'Tab. 6G - Roln i ochrona środ.'!Q31+'Tab. 6H - Kultura fiz. i turyst'!Q19+'Tab.6I - Planow. przestrz.'!Q23</f>
        <v>319192841</v>
      </c>
      <c r="O46" s="333">
        <f>+'Tab. 6B Polit społ i rozwój prz'!R23+'Tab. 6A -Drogi'!R33+'Tab. 6E - Administracja'!R26+'Tab. 6G - Roln i ochrona środ.'!R31+'Tab. 6H - Kultura fiz. i turyst'!R19+'Tab.6I - Planow. przestrz.'!R23</f>
        <v>286716226</v>
      </c>
      <c r="P46" s="333">
        <f>+'Tab. 6B Polit społ i rozwój prz'!S23+'Tab. 6A -Drogi'!S33+'Tab. 6E - Administracja'!S26+'Tab. 6G - Roln i ochrona środ.'!S31+'Tab. 6H - Kultura fiz. i turyst'!S19+'Tab.6I - Planow. przestrz.'!S23</f>
        <v>78153654</v>
      </c>
      <c r="Q46" s="333">
        <f>+'Tab. 6B Polit społ i rozwój prz'!T23+'Tab. 6A -Drogi'!T33+'Tab. 6E - Administracja'!T26+'Tab. 6G - Roln i ochrona środ.'!T31+'Tab. 6H - Kultura fiz. i turyst'!T19+'Tab.6I - Planow. przestrz.'!T23</f>
        <v>67119721</v>
      </c>
      <c r="R46" s="333">
        <f>+'Tab. 6B Polit społ i rozwój prz'!U23+'Tab. 6A -Drogi'!U33+'Tab. 6E - Administracja'!U26+'Tab. 6G - Roln i ochrona środ.'!U31+'Tab. 6H - Kultura fiz. i turyst'!U19+'Tab.6I - Planow. przestrz.'!U23</f>
        <v>32483629</v>
      </c>
      <c r="S46" s="333">
        <f>+'Tab. 6B Polit społ i rozwój prz'!V23+'Tab. 6A -Drogi'!V33+'Tab. 6E - Administracja'!V26+'Tab. 6G - Roln i ochrona środ.'!V31+'Tab. 6H - Kultura fiz. i turyst'!V19+'Tab.6I - Planow. przestrz.'!V23</f>
        <v>32212309</v>
      </c>
      <c r="T46" s="333">
        <f>+'Tab. 6B Polit społ i rozwój prz'!W23+'Tab. 6A -Drogi'!W33+'Tab. 6E - Administracja'!W26+'Tab. 6G - Roln i ochrona środ.'!W31+'Tab. 6H - Kultura fiz. i turyst'!W19+'Tab.6I - Planow. przestrz.'!W23</f>
        <v>31082654</v>
      </c>
      <c r="U46" s="2562">
        <f>J46+M46+N46+O46+P46+Q46+R46+S46+T46</f>
        <v>1038314289</v>
      </c>
      <c r="V46" s="3590"/>
      <c r="W46" s="896">
        <f>U46-U31</f>
        <v>0</v>
      </c>
      <c r="X46" s="2584" t="s">
        <v>369</v>
      </c>
    </row>
    <row r="47" spans="1:25" s="899" customFormat="1" ht="3.75" customHeight="1" thickBot="1">
      <c r="A47" s="2544"/>
      <c r="B47" s="2545"/>
      <c r="C47" s="2545"/>
      <c r="D47" s="2545"/>
      <c r="E47" s="2545"/>
      <c r="F47" s="2595"/>
      <c r="G47" s="2545"/>
      <c r="H47" s="2545"/>
      <c r="I47" s="2545"/>
      <c r="J47" s="2545"/>
      <c r="K47" s="2596"/>
      <c r="L47" s="2545"/>
      <c r="M47" s="2545"/>
      <c r="N47" s="2545"/>
      <c r="O47" s="2545"/>
      <c r="P47" s="2545"/>
      <c r="Q47" s="2545"/>
      <c r="R47" s="2597"/>
      <c r="S47" s="2595"/>
      <c r="T47" s="2597"/>
      <c r="U47" s="2598"/>
      <c r="V47" s="2599"/>
      <c r="W47" s="896"/>
    </row>
    <row r="48" spans="1:25" s="2552" customFormat="1" ht="18.75" customHeight="1" thickBot="1">
      <c r="A48" s="2600" t="s">
        <v>38</v>
      </c>
      <c r="B48" s="2601" t="e">
        <f t="shared" ref="B48:I48" si="18">+B16</f>
        <v>#REF!</v>
      </c>
      <c r="C48" s="2602" t="e">
        <f t="shared" si="18"/>
        <v>#REF!</v>
      </c>
      <c r="D48" s="2602" t="e">
        <f t="shared" si="18"/>
        <v>#REF!</v>
      </c>
      <c r="E48" s="2602" t="e">
        <f t="shared" si="18"/>
        <v>#REF!</v>
      </c>
      <c r="F48" s="2601" t="e">
        <f t="shared" si="18"/>
        <v>#REF!</v>
      </c>
      <c r="G48" s="2601" t="e">
        <f t="shared" si="18"/>
        <v>#REF!</v>
      </c>
      <c r="H48" s="2601" t="e">
        <f t="shared" si="18"/>
        <v>#REF!</v>
      </c>
      <c r="I48" s="2601" t="e">
        <f t="shared" si="18"/>
        <v>#REF!</v>
      </c>
      <c r="J48" s="2601">
        <f>+J16-J25</f>
        <v>198457920.30000001</v>
      </c>
      <c r="K48" s="2603">
        <f t="shared" ref="K48:T48" si="19">+K16-K25</f>
        <v>57128808</v>
      </c>
      <c r="L48" s="2602">
        <f t="shared" si="19"/>
        <v>48351131</v>
      </c>
      <c r="M48" s="2601">
        <f t="shared" si="19"/>
        <v>79148961</v>
      </c>
      <c r="N48" s="2601">
        <f t="shared" si="19"/>
        <v>411004528</v>
      </c>
      <c r="O48" s="2601">
        <f t="shared" si="19"/>
        <v>366698969</v>
      </c>
      <c r="P48" s="2601">
        <f t="shared" si="19"/>
        <v>92448507</v>
      </c>
      <c r="Q48" s="2601">
        <f t="shared" si="19"/>
        <v>80586161</v>
      </c>
      <c r="R48" s="2601">
        <f t="shared" si="19"/>
        <v>39747415</v>
      </c>
      <c r="S48" s="2601">
        <f t="shared" si="19"/>
        <v>37534222</v>
      </c>
      <c r="T48" s="2601">
        <f t="shared" si="19"/>
        <v>35659574</v>
      </c>
      <c r="U48" s="2604">
        <f>+U16-U25</f>
        <v>1341286257.3</v>
      </c>
      <c r="V48" s="2605">
        <f>+N48+O48+P48+Q48+R48+S48+T48</f>
        <v>1063679376</v>
      </c>
      <c r="W48" s="2606">
        <f>J48+L48+M48+N48+O48+P48+Q48+R48+S48+T48</f>
        <v>1389637388.3</v>
      </c>
      <c r="X48" s="2607">
        <f>W48-U48</f>
        <v>48351131</v>
      </c>
      <c r="Y48" s="2607"/>
    </row>
    <row r="49" spans="1:25" s="2552" customFormat="1" ht="16.5" customHeight="1" thickBot="1">
      <c r="A49" s="2600" t="s">
        <v>39</v>
      </c>
      <c r="B49" s="2608" t="e">
        <f>+B32</f>
        <v>#REF!</v>
      </c>
      <c r="C49" s="2609" t="e">
        <f t="shared" ref="C49:N49" si="20">+C32</f>
        <v>#REF!</v>
      </c>
      <c r="D49" s="2609" t="e">
        <f t="shared" si="20"/>
        <v>#REF!</v>
      </c>
      <c r="E49" s="2609" t="e">
        <f t="shared" si="20"/>
        <v>#REF!</v>
      </c>
      <c r="F49" s="2608" t="e">
        <f t="shared" si="20"/>
        <v>#REF!</v>
      </c>
      <c r="G49" s="2608" t="e">
        <f t="shared" si="20"/>
        <v>#REF!</v>
      </c>
      <c r="H49" s="2608" t="e">
        <f t="shared" si="20"/>
        <v>#REF!</v>
      </c>
      <c r="I49" s="2608" t="e">
        <f>+I32</f>
        <v>#REF!</v>
      </c>
      <c r="J49" s="2608">
        <f>+J32</f>
        <v>189079185</v>
      </c>
      <c r="K49" s="2610">
        <f t="shared" si="20"/>
        <v>70085701</v>
      </c>
      <c r="L49" s="2609">
        <f t="shared" si="20"/>
        <v>56475524</v>
      </c>
      <c r="M49" s="2608">
        <f t="shared" si="20"/>
        <v>71511881</v>
      </c>
      <c r="N49" s="2608">
        <f t="shared" si="20"/>
        <v>354210102</v>
      </c>
      <c r="O49" s="2608">
        <f t="shared" ref="O49:T49" si="21">+O32</f>
        <v>312070407</v>
      </c>
      <c r="P49" s="2608">
        <f t="shared" si="21"/>
        <v>94745088</v>
      </c>
      <c r="Q49" s="2608">
        <f t="shared" si="21"/>
        <v>73233636</v>
      </c>
      <c r="R49" s="2608">
        <f t="shared" si="21"/>
        <v>33632474</v>
      </c>
      <c r="S49" s="2608">
        <f t="shared" si="21"/>
        <v>33201723</v>
      </c>
      <c r="T49" s="2608">
        <f t="shared" si="21"/>
        <v>31577361</v>
      </c>
      <c r="U49" s="2611">
        <f>+U32</f>
        <v>1193261857</v>
      </c>
      <c r="V49" s="2612" t="s">
        <v>34</v>
      </c>
      <c r="W49" s="2606">
        <v>105067692</v>
      </c>
      <c r="X49" s="2607" t="s">
        <v>321</v>
      </c>
    </row>
    <row r="50" spans="1:25" s="899" customFormat="1" ht="18.75" hidden="1" customHeight="1">
      <c r="A50" s="2613"/>
      <c r="B50" s="2545"/>
      <c r="C50" s="2545"/>
      <c r="D50" s="2545"/>
      <c r="E50" s="2545"/>
      <c r="F50" s="2545"/>
      <c r="G50" s="2545"/>
      <c r="H50" s="2545"/>
      <c r="I50" s="2545"/>
      <c r="J50" s="2545">
        <f>'Tab. 6A -Drogi'!M17+'Tab. 6E - Administracja'!M17+'Tab. 6G - Roln i ochrona środ.'!M17</f>
        <v>7366366</v>
      </c>
      <c r="K50" s="2545"/>
      <c r="L50" s="2545"/>
      <c r="M50" s="2545"/>
      <c r="N50" s="2545"/>
      <c r="O50" s="2545"/>
      <c r="P50" s="2545"/>
      <c r="Q50" s="2545"/>
      <c r="R50" s="2545"/>
      <c r="S50" s="2545"/>
      <c r="T50" s="2545"/>
      <c r="U50" s="2599"/>
      <c r="V50" s="2584"/>
      <c r="W50" s="2584">
        <f>W49+W48</f>
        <v>1494705080.3</v>
      </c>
      <c r="X50" s="2584">
        <f>U48-W50</f>
        <v>-153418823</v>
      </c>
    </row>
    <row r="51" spans="1:25" s="899" customFormat="1" ht="12.75" hidden="1" customHeight="1">
      <c r="A51" s="2545"/>
      <c r="B51" s="2545"/>
      <c r="C51" s="2545"/>
      <c r="D51" s="2545"/>
      <c r="E51" s="2545"/>
      <c r="F51" s="2545"/>
      <c r="G51" s="2545"/>
      <c r="H51" s="2545"/>
      <c r="I51" s="2545"/>
      <c r="J51" s="2545">
        <f>'Tab. 6A -Drogi'!M33+'Tab. 6B Polit społ i rozwój prz'!M23+'Tab. 6E - Administracja'!M26+'Tab. 6H - Kultura fiz. i turyst'!M19+'Tab.6I - Planow. przestrz.'!M23+'Tab. 6G - Roln i ochrona środ.'!M31</f>
        <v>137742983</v>
      </c>
      <c r="K51" s="2545">
        <f>'Tab. 6A -Drogi'!N33+'Tab. 6B Polit społ i rozwój prz'!N23+'Tab. 6E - Administracja'!N26+'Tab. 6H - Kultura fiz. i turyst'!N19+'Tab.6I - Planow. przestrz.'!N23+'Tab. 6G - Roln i ochrona środ.'!N31</f>
        <v>60849822</v>
      </c>
      <c r="L51" s="2545">
        <f>'Tab. 6A -Drogi'!O33+'Tab. 6B Polit społ i rozwój prz'!O23+'Tab. 6E - Administracja'!O26+'Tab. 6H - Kultura fiz. i turyst'!O19+'Tab.6I - Planow. przestrz.'!O23+'Tab. 6G - Roln i ochrona środ.'!O31</f>
        <v>48204024</v>
      </c>
      <c r="M51" s="2545">
        <f>'Tab. 6A -Drogi'!P33+'Tab. 6B Polit społ i rozwój prz'!P23+'Tab. 6E - Administracja'!P26+'Tab. 6H - Kultura fiz. i turyst'!P19+'Tab.6I - Planow. przestrz.'!P23+'Tab. 6G - Roln i ochrona środ.'!P31</f>
        <v>53610272</v>
      </c>
      <c r="N51" s="2545">
        <f>'Tab. 6A -Drogi'!Q33+'Tab. 6B Polit społ i rozwój prz'!Q23+'Tab. 6E - Administracja'!Q26+'Tab. 6H - Kultura fiz. i turyst'!Q19+'Tab.6I - Planow. przestrz.'!Q23+'Tab. 6G - Roln i ochrona środ.'!Q31</f>
        <v>319192841</v>
      </c>
      <c r="O51" s="2545">
        <f>'Tab. 6A -Drogi'!R33+'Tab. 6B Polit społ i rozwój prz'!R23+'Tab. 6E - Administracja'!R26+'Tab. 6H - Kultura fiz. i turyst'!R19+'Tab.6I - Planow. przestrz.'!R23+'Tab. 6G - Roln i ochrona środ.'!R31</f>
        <v>286716226</v>
      </c>
      <c r="P51" s="2545">
        <f>'Tab. 6A -Drogi'!S33+'Tab. 6B Polit społ i rozwój prz'!S23+'Tab. 6E - Administracja'!S26+'Tab. 6H - Kultura fiz. i turyst'!S19+'Tab.6I - Planow. przestrz.'!S23+'Tab. 6G - Roln i ochrona środ.'!S31</f>
        <v>78153654</v>
      </c>
      <c r="Q51" s="2545">
        <f>'Tab. 6A -Drogi'!T33+'Tab. 6B Polit społ i rozwój prz'!T23+'Tab. 6E - Administracja'!T26+'Tab. 6H - Kultura fiz. i turyst'!T19+'Tab.6I - Planow. przestrz.'!T23+'Tab. 6G - Roln i ochrona środ.'!T31</f>
        <v>67119721</v>
      </c>
      <c r="R51" s="2545">
        <f>'Tab. 6A -Drogi'!U33+'Tab. 6B Polit społ i rozwój prz'!U23+'Tab. 6E - Administracja'!U26+'Tab. 6H - Kultura fiz. i turyst'!U19+'Tab.6I - Planow. przestrz.'!U23+'Tab. 6G - Roln i ochrona środ.'!U31</f>
        <v>32483629</v>
      </c>
      <c r="S51" s="2545">
        <f>'Tab. 6A -Drogi'!V33+'Tab. 6B Polit społ i rozwój prz'!V23+'Tab. 6E - Administracja'!V26+'Tab. 6H - Kultura fiz. i turyst'!V19+'Tab.6I - Planow. przestrz.'!V23+'Tab. 6G - Roln i ochrona środ.'!V31</f>
        <v>32212309</v>
      </c>
      <c r="T51" s="2545">
        <f>'Tab. 6A -Drogi'!W33+'Tab. 6B Polit społ i rozwój prz'!W23+'Tab. 6E - Administracja'!W26+'Tab. 6H - Kultura fiz. i turyst'!W19+'Tab.6I - Planow. przestrz.'!W23+'Tab. 6G - Roln i ochrona środ.'!W31</f>
        <v>31082654</v>
      </c>
      <c r="U51" s="2545">
        <f>J51+L51+M51+N51+O51+P51+Q51+R51+S51+T51</f>
        <v>1086518313</v>
      </c>
      <c r="V51" s="896"/>
      <c r="W51" s="896"/>
    </row>
    <row r="52" spans="1:25" s="899" customFormat="1" hidden="1">
      <c r="A52" s="2614"/>
      <c r="B52" s="2545"/>
      <c r="C52" s="2545"/>
      <c r="D52" s="2545"/>
      <c r="E52" s="2545"/>
      <c r="F52" s="2545"/>
      <c r="G52" s="2545"/>
      <c r="H52" s="2545"/>
      <c r="I52" s="2545"/>
      <c r="J52" s="2545">
        <f>J46-J51</f>
        <v>0</v>
      </c>
      <c r="K52" s="2545">
        <f t="shared" ref="K52:T52" si="22">K46-K51</f>
        <v>0</v>
      </c>
      <c r="L52" s="2545">
        <f t="shared" si="22"/>
        <v>0</v>
      </c>
      <c r="M52" s="2545">
        <f t="shared" si="22"/>
        <v>0</v>
      </c>
      <c r="N52" s="2545">
        <f t="shared" si="22"/>
        <v>0</v>
      </c>
      <c r="O52" s="2545">
        <f t="shared" si="22"/>
        <v>0</v>
      </c>
      <c r="P52" s="2545">
        <f t="shared" si="22"/>
        <v>0</v>
      </c>
      <c r="Q52" s="2545">
        <f t="shared" si="22"/>
        <v>0</v>
      </c>
      <c r="R52" s="2545">
        <f t="shared" si="22"/>
        <v>0</v>
      </c>
      <c r="S52" s="2545">
        <f t="shared" si="22"/>
        <v>0</v>
      </c>
      <c r="T52" s="2545">
        <f t="shared" si="22"/>
        <v>0</v>
      </c>
      <c r="U52" s="2545"/>
      <c r="V52" s="896"/>
      <c r="W52" s="896"/>
    </row>
    <row r="53" spans="1:25" s="899" customFormat="1">
      <c r="A53" s="2613"/>
      <c r="B53" s="2545"/>
      <c r="C53" s="2545"/>
      <c r="D53" s="2545"/>
      <c r="E53" s="2545"/>
      <c r="F53" s="2545"/>
      <c r="G53" s="2545"/>
      <c r="H53" s="2545"/>
      <c r="I53" s="2545"/>
      <c r="J53" s="2545"/>
      <c r="K53" s="2545"/>
      <c r="L53" s="2545"/>
      <c r="M53" s="2545"/>
      <c r="N53" s="2545"/>
      <c r="O53" s="2545"/>
      <c r="P53" s="2545"/>
      <c r="Q53" s="2545"/>
      <c r="R53" s="2545"/>
      <c r="S53" s="2545"/>
      <c r="T53" s="2545"/>
      <c r="U53" s="2599"/>
      <c r="V53" s="896"/>
      <c r="W53" s="896"/>
    </row>
    <row r="54" spans="1:25" ht="31.5" customHeight="1" thickBot="1">
      <c r="A54" s="3593" t="s">
        <v>40</v>
      </c>
      <c r="B54" s="3593"/>
      <c r="C54" s="3593"/>
      <c r="D54" s="3593"/>
      <c r="E54" s="3593"/>
      <c r="F54" s="3593"/>
      <c r="G54" s="3593"/>
      <c r="H54" s="3593"/>
      <c r="I54" s="3593"/>
      <c r="J54" s="3593"/>
      <c r="K54" s="3593"/>
      <c r="L54" s="3593"/>
      <c r="M54" s="3593"/>
      <c r="N54" s="3593"/>
      <c r="O54" s="3593"/>
      <c r="P54" s="3593"/>
      <c r="Q54" s="3593"/>
      <c r="R54" s="3593"/>
      <c r="S54" s="3593"/>
      <c r="T54" s="3593"/>
      <c r="U54" s="3593"/>
      <c r="V54" s="2615"/>
    </row>
    <row r="55" spans="1:25" s="2489" customFormat="1" ht="34.5" customHeight="1">
      <c r="A55" s="2500"/>
      <c r="B55" s="424"/>
      <c r="C55" s="425"/>
      <c r="D55" s="425"/>
      <c r="E55" s="425"/>
      <c r="F55" s="425"/>
      <c r="G55" s="425"/>
      <c r="H55" s="425"/>
      <c r="I55" s="425"/>
      <c r="J55" s="3574" t="s">
        <v>338</v>
      </c>
      <c r="K55" s="425"/>
      <c r="L55" s="3595" t="s">
        <v>347</v>
      </c>
      <c r="M55" s="3594" t="s">
        <v>494</v>
      </c>
      <c r="N55" s="3576" t="s">
        <v>492</v>
      </c>
      <c r="O55" s="3576"/>
      <c r="P55" s="3576"/>
      <c r="Q55" s="3576"/>
      <c r="R55" s="3576"/>
      <c r="S55" s="3576"/>
      <c r="T55" s="3577"/>
      <c r="U55" s="3571" t="s">
        <v>3</v>
      </c>
      <c r="V55" s="3586" t="s">
        <v>530</v>
      </c>
    </row>
    <row r="56" spans="1:25" ht="19.5" customHeight="1">
      <c r="A56" s="2502" t="s">
        <v>4</v>
      </c>
      <c r="B56" s="331"/>
      <c r="C56" s="332"/>
      <c r="D56" s="332"/>
      <c r="E56" s="332"/>
      <c r="F56" s="332"/>
      <c r="G56" s="332"/>
      <c r="H56" s="332"/>
      <c r="I56" s="332"/>
      <c r="J56" s="3575"/>
      <c r="K56" s="332"/>
      <c r="L56" s="3596"/>
      <c r="M56" s="3581"/>
      <c r="N56" s="3578"/>
      <c r="O56" s="3578"/>
      <c r="P56" s="3578"/>
      <c r="Q56" s="3578"/>
      <c r="R56" s="3578"/>
      <c r="S56" s="3578"/>
      <c r="T56" s="3579"/>
      <c r="U56" s="3572"/>
      <c r="V56" s="3587"/>
    </row>
    <row r="57" spans="1:25" ht="24" customHeight="1" thickBot="1">
      <c r="A57" s="2502"/>
      <c r="B57" s="2503" t="s">
        <v>5</v>
      </c>
      <c r="C57" s="2504" t="s">
        <v>6</v>
      </c>
      <c r="D57" s="2504" t="s">
        <v>7</v>
      </c>
      <c r="E57" s="2504" t="s">
        <v>8</v>
      </c>
      <c r="F57" s="2505" t="s">
        <v>9</v>
      </c>
      <c r="G57" s="2505" t="s">
        <v>10</v>
      </c>
      <c r="H57" s="2505" t="s">
        <v>11</v>
      </c>
      <c r="I57" s="2505" t="s">
        <v>12</v>
      </c>
      <c r="J57" s="2506" t="s">
        <v>493</v>
      </c>
      <c r="K57" s="2507" t="s">
        <v>13</v>
      </c>
      <c r="L57" s="2508" t="s">
        <v>14</v>
      </c>
      <c r="M57" s="2508" t="s">
        <v>15</v>
      </c>
      <c r="N57" s="2509" t="s">
        <v>16</v>
      </c>
      <c r="O57" s="2509" t="s">
        <v>17</v>
      </c>
      <c r="P57" s="2509" t="s">
        <v>259</v>
      </c>
      <c r="Q57" s="2509" t="s">
        <v>263</v>
      </c>
      <c r="R57" s="2509" t="s">
        <v>324</v>
      </c>
      <c r="S57" s="2509" t="s">
        <v>325</v>
      </c>
      <c r="T57" s="2510" t="s">
        <v>323</v>
      </c>
      <c r="U57" s="3573"/>
      <c r="V57" s="3587"/>
    </row>
    <row r="58" spans="1:25" ht="13.5" customHeight="1" thickBot="1">
      <c r="A58" s="2512">
        <v>1</v>
      </c>
      <c r="B58" s="2513"/>
      <c r="C58" s="2514"/>
      <c r="D58" s="2515"/>
      <c r="E58" s="2515"/>
      <c r="F58" s="2516"/>
      <c r="G58" s="2516"/>
      <c r="H58" s="2516"/>
      <c r="I58" s="2516"/>
      <c r="J58" s="2516">
        <v>2</v>
      </c>
      <c r="K58" s="2517" t="s">
        <v>326</v>
      </c>
      <c r="L58" s="2516" t="s">
        <v>326</v>
      </c>
      <c r="M58" s="2516">
        <v>3</v>
      </c>
      <c r="N58" s="2518">
        <v>4</v>
      </c>
      <c r="O58" s="2516">
        <v>5</v>
      </c>
      <c r="P58" s="2519">
        <v>6</v>
      </c>
      <c r="Q58" s="2520">
        <v>7</v>
      </c>
      <c r="R58" s="2521">
        <v>8</v>
      </c>
      <c r="S58" s="2516">
        <v>9</v>
      </c>
      <c r="T58" s="2521">
        <v>10</v>
      </c>
      <c r="U58" s="2522">
        <v>11</v>
      </c>
      <c r="V58" s="2523">
        <v>12</v>
      </c>
    </row>
    <row r="59" spans="1:25" ht="18.75" customHeight="1">
      <c r="A59" s="2524" t="s">
        <v>18</v>
      </c>
      <c r="B59" s="2525">
        <f>+B60+B61</f>
        <v>10951507</v>
      </c>
      <c r="C59" s="2525">
        <f t="shared" ref="C59:V59" si="23">+C60+C61</f>
        <v>0</v>
      </c>
      <c r="D59" s="2525">
        <f t="shared" si="23"/>
        <v>5327000</v>
      </c>
      <c r="E59" s="2525">
        <f t="shared" si="23"/>
        <v>5568560.0600000005</v>
      </c>
      <c r="F59" s="2525">
        <f t="shared" si="23"/>
        <v>10661739</v>
      </c>
      <c r="G59" s="2525">
        <f t="shared" si="23"/>
        <v>24805243</v>
      </c>
      <c r="H59" s="2525">
        <f t="shared" si="23"/>
        <v>25942911</v>
      </c>
      <c r="I59" s="2525">
        <f t="shared" si="23"/>
        <v>94240371</v>
      </c>
      <c r="J59" s="2525">
        <f>+J60+J61</f>
        <v>364297612</v>
      </c>
      <c r="K59" s="2526">
        <f t="shared" si="23"/>
        <v>117387600</v>
      </c>
      <c r="L59" s="2525">
        <f>+L60+L61</f>
        <v>123120217</v>
      </c>
      <c r="M59" s="2525">
        <f t="shared" si="23"/>
        <v>107441573</v>
      </c>
      <c r="N59" s="2525">
        <f t="shared" si="23"/>
        <v>215679320</v>
      </c>
      <c r="O59" s="2525">
        <f t="shared" si="23"/>
        <v>205350778</v>
      </c>
      <c r="P59" s="2525">
        <f>+P60+P61</f>
        <v>204307720</v>
      </c>
      <c r="Q59" s="2525">
        <f>+Q60+Q61</f>
        <v>173171470</v>
      </c>
      <c r="R59" s="2525">
        <f>+R60+R61</f>
        <v>47871082</v>
      </c>
      <c r="S59" s="2525">
        <f>+S60+S61</f>
        <v>6317957</v>
      </c>
      <c r="T59" s="2525">
        <f>+T60+T61</f>
        <v>4270868</v>
      </c>
      <c r="U59" s="2616">
        <f t="shared" si="23"/>
        <v>1363015827</v>
      </c>
      <c r="V59" s="2617">
        <f t="shared" si="23"/>
        <v>891276642</v>
      </c>
      <c r="W59" s="864"/>
      <c r="X59" s="897">
        <f>T59+S59+R59+Q59+P59+O59+N59+M59+L59+J59+3564290</f>
        <v>1455392887</v>
      </c>
      <c r="Y59" s="898">
        <f>U59-X59</f>
        <v>-92377060</v>
      </c>
    </row>
    <row r="60" spans="1:25" s="2532" customFormat="1" ht="15" customHeight="1">
      <c r="A60" s="2533" t="s">
        <v>531</v>
      </c>
      <c r="B60" s="2534">
        <f>+'Tab. 6D - Oświata'!E74+'Tab. 6F - Kultura'!E9+'Tab. 6A -Drogi'!E582+'Tab. 6C - Ochrona zdrowia'!E11+'Tab. 6E - Administracja'!E235+'Tab. 6G - Roln i ochrona środ.'!E180</f>
        <v>0</v>
      </c>
      <c r="C60" s="2534">
        <f>+'Tab. 6D - Oświata'!F74+'Tab. 6F - Kultura'!F9+'Tab. 6A -Drogi'!F582+'Tab. 6C - Ochrona zdrowia'!F11+'Tab. 6E - Administracja'!F235+'Tab. 6G - Roln i ochrona środ.'!F180</f>
        <v>0</v>
      </c>
      <c r="D60" s="2534">
        <f>+'Tab. 6D - Oświata'!G74+'Tab. 6F - Kultura'!G9+'Tab. 6A -Drogi'!G582+'Tab. 6C - Ochrona zdrowia'!G11+'Tab. 6E - Administracja'!G235+'Tab. 6G - Roln i ochrona środ.'!G180</f>
        <v>0</v>
      </c>
      <c r="E60" s="2534">
        <f>+'Tab. 6D - Oświata'!H74+'Tab. 6F - Kultura'!H9+'Tab. 6A -Drogi'!H582+'Tab. 6C - Ochrona zdrowia'!H11+'Tab. 6E - Administracja'!H235+'Tab. 6G - Roln i ochrona środ.'!H180</f>
        <v>0</v>
      </c>
      <c r="F60" s="2534">
        <f>+'Tab. 6D - Oświata'!I74+'Tab. 6F - Kultura'!I9+'Tab. 6A -Drogi'!I582+'Tab. 6C - Ochrona zdrowia'!I11+'Tab. 6E - Administracja'!I235+'Tab. 6G - Roln i ochrona środ.'!I180</f>
        <v>0</v>
      </c>
      <c r="G60" s="2534">
        <f>+'Tab. 6D - Oświata'!J74+'Tab. 6F - Kultura'!J9+'Tab. 6A -Drogi'!J582+'Tab. 6C - Ochrona zdrowia'!J11+'Tab. 6E - Administracja'!J235+'Tab. 6G - Roln i ochrona środ.'!J180</f>
        <v>951324</v>
      </c>
      <c r="H60" s="2534">
        <f>'Tab. 6A -Drogi'!K582+'Tab. 6C - Ochrona zdrowia'!K11+'Tab. 6D - Oświata'!K74+'Tab. 6E - Administracja'!K235+'Tab. 6F - Kultura'!K9+'Tab. 6G - Roln i ochrona środ.'!K180+'Tab. 6H - Kultura fiz. i turyst'!K205</f>
        <v>5911690</v>
      </c>
      <c r="I60" s="2534">
        <f>'Tab. 6A -Drogi'!L582+'Tab. 6C - Ochrona zdrowia'!L11+'Tab. 6D - Oświata'!L74+'Tab. 6E - Administracja'!L235+'Tab. 6F - Kultura'!L9+'Tab. 6G - Roln i ochrona środ.'!L180+'Tab. 6H - Kultura fiz. i turyst'!L205</f>
        <v>83072409</v>
      </c>
      <c r="J60" s="2534">
        <f>'Tab. 6A -Drogi'!M582+'Tab. 6C - Ochrona zdrowia'!M11+'Tab. 6D - Oświata'!M74+'Tab. 6E - Administracja'!M235+'Tab. 6F - Kultura'!M9+'Tab. 6G - Roln i ochrona środ.'!M180+'Tab. 6H - Kultura fiz. i turyst'!M205+'Tab.6I - Planow. przestrz.'!M74</f>
        <v>271946584</v>
      </c>
      <c r="K60" s="2536">
        <f>'Tab. 6A -Drogi'!N582+'Tab. 6C - Ochrona zdrowia'!N11+'Tab. 6D - Oświata'!N74+'Tab. 6E - Administracja'!N235+'Tab. 6F - Kultura'!N9+'Tab. 6G - Roln i ochrona środ.'!N180+'Tab. 6H - Kultura fiz. i turyst'!N205</f>
        <v>89477231</v>
      </c>
      <c r="L60" s="2535">
        <f>'Tab. 6A -Drogi'!O582+'Tab. 6C - Ochrona zdrowia'!O11+'Tab. 6D - Oświata'!O74+'Tab. 6E - Administracja'!O235+'Tab. 6F - Kultura'!O9+'Tab. 6G - Roln i ochrona środ.'!O180+'Tab. 6H - Kultura fiz. i turyst'!O205+'Tab.6I - Planow. przestrz.'!O74</f>
        <v>92533930</v>
      </c>
      <c r="M60" s="2534">
        <f>'Tab. 6A -Drogi'!P582+'Tab. 6C - Ochrona zdrowia'!P11+'Tab. 6D - Oświata'!P74+'Tab. 6E - Administracja'!P235+'Tab. 6F - Kultura'!P9+'Tab. 6G - Roln i ochrona środ.'!P180+'Tab. 6H - Kultura fiz. i turyst'!P205+'Tab.6I - Planow. przestrz.'!P74</f>
        <v>95261971</v>
      </c>
      <c r="N60" s="2534">
        <f>'Tab. 6A -Drogi'!Q582+'Tab. 6C - Ochrona zdrowia'!Q11+'Tab. 6D - Oświata'!Q74+'Tab. 6E - Administracja'!Q235+'Tab. 6F - Kultura'!Q9+'Tab. 6G - Roln i ochrona środ.'!Q180+'Tab. 6H - Kultura fiz. i turyst'!Q205+'Tab.6I - Planow. przestrz.'!Q74</f>
        <v>150805478</v>
      </c>
      <c r="O60" s="2534">
        <f>'Tab. 6A -Drogi'!R582+'Tab. 6C - Ochrona zdrowia'!R11+'Tab. 6D - Oświata'!R74+'Tab. 6E - Administracja'!R235+'Tab. 6F - Kultura'!R9+'Tab. 6G - Roln i ochrona środ.'!R180+'Tab. 6H - Kultura fiz. i turyst'!R205+'Tab.6I - Planow. przestrz.'!R74</f>
        <v>145715575</v>
      </c>
      <c r="P60" s="2534">
        <f>'Tab. 6A -Drogi'!S582+'Tab. 6C - Ochrona zdrowia'!S11+'Tab. 6D - Oświata'!S74+'Tab. 6E - Administracja'!S235+'Tab. 6F - Kultura'!S9+'Tab. 6G - Roln i ochrona środ.'!S180+'Tab. 6H - Kultura fiz. i turyst'!S205+'Tab.6I - Planow. przestrz.'!S74</f>
        <v>122889860</v>
      </c>
      <c r="Q60" s="2534">
        <f>'Tab. 6A -Drogi'!T582+'Tab. 6C - Ochrona zdrowia'!T11+'Tab. 6D - Oświata'!T74+'Tab. 6E - Administracja'!T235+'Tab. 6F - Kultura'!T9+'Tab. 6G - Roln i ochrona środ.'!T180+'Tab. 6H - Kultura fiz. i turyst'!T205+'Tab.6I - Planow. przestrz.'!T74</f>
        <v>112279970</v>
      </c>
      <c r="R60" s="2534">
        <f>'Tab. 6A -Drogi'!U582+'Tab. 6C - Ochrona zdrowia'!U11+'Tab. 6D - Oświata'!U74+'Tab. 6E - Administracja'!U235+'Tab. 6F - Kultura'!U9+'Tab. 6G - Roln i ochrona środ.'!U180+'Tab. 6H - Kultura fiz. i turyst'!U205+'Tab.6I - Planow. przestrz.'!U74</f>
        <v>4243402</v>
      </c>
      <c r="S60" s="2534">
        <f>'Tab. 6A -Drogi'!V582+'Tab. 6C - Ochrona zdrowia'!V11+'Tab. 6D - Oświata'!V74+'Tab. 6E - Administracja'!V235+'Tab. 6F - Kultura'!V9+'Tab. 6G - Roln i ochrona środ.'!V180+'Tab. 6H - Kultura fiz. i turyst'!V205+'Tab.6I - Planow. przestrz.'!V74</f>
        <v>4259552</v>
      </c>
      <c r="T60" s="2534">
        <f>'Tab. 6A -Drogi'!W582+'Tab. 6C - Ochrona zdrowia'!W11+'Tab. 6D - Oświata'!W74+'Tab. 6E - Administracja'!W235+'Tab. 6F - Kultura'!W9+'Tab. 6G - Roln i ochrona środ.'!W180+'Tab. 6H - Kultura fiz. i turyst'!W205+'Tab.6I - Planow. przestrz.'!W74</f>
        <v>4270868</v>
      </c>
      <c r="U60" s="2618">
        <f>'Tab. 6A -Drogi'!D582+'Tab. 6C - Ochrona zdrowia'!D11+'Tab. 6D - Oświata'!D74+'Tab. 6E - Administracja'!D235+'Tab. 6F - Kultura'!D9+'Tab. 6G - Roln i ochrona środ.'!D180+'Tab. 6H - Kultura fiz. i turyst'!D205+'Tab.6I - Planow. przestrz.'!D74</f>
        <v>945980707</v>
      </c>
      <c r="V60" s="3235">
        <f>SUM(N60:T60)+'Tab. 6C - Ochrona zdrowia'!Z130+'Tab. 6C - Ochrona zdrowia'!Z135</f>
        <v>578772152</v>
      </c>
      <c r="W60" s="299"/>
      <c r="X60" s="897">
        <f>T60+S60+R60+Q60+P60+O60+N60+M60+L60+J60+3564290</f>
        <v>1007771480</v>
      </c>
      <c r="Y60" s="898">
        <f t="shared" ref="Y60:Y74" si="24">U60-X60</f>
        <v>-61790773</v>
      </c>
    </row>
    <row r="61" spans="1:25" ht="14.25" customHeight="1" thickBot="1">
      <c r="A61" s="2619" t="s">
        <v>41</v>
      </c>
      <c r="B61" s="2620">
        <f>+'Tab. 6D - Oświata'!E75+'Tab. 6F - Kultura'!E10+'Tab. 6A -Drogi'!E583+'Tab. 6C - Ochrona zdrowia'!E12+'Tab. 6E - Administracja'!E236+'Tab. 6G - Roln i ochrona środ.'!E181</f>
        <v>10951507</v>
      </c>
      <c r="C61" s="2620">
        <f>+'Tab. 6D - Oświata'!F75+'Tab. 6F - Kultura'!F10+'Tab. 6A -Drogi'!F583+'Tab. 6C - Ochrona zdrowia'!F12+'Tab. 6E - Administracja'!F236+'Tab. 6G - Roln i ochrona środ.'!F181</f>
        <v>0</v>
      </c>
      <c r="D61" s="2620">
        <f>+'Tab. 6D - Oświata'!G75+'Tab. 6F - Kultura'!G10+'Tab. 6A -Drogi'!G583+'Tab. 6C - Ochrona zdrowia'!G12+'Tab. 6E - Administracja'!G236+'Tab. 6G - Roln i ochrona środ.'!G181</f>
        <v>5327000</v>
      </c>
      <c r="E61" s="2620">
        <f>+'Tab. 6D - Oświata'!H75+'Tab. 6F - Kultura'!H10+'Tab. 6A -Drogi'!H583+'Tab. 6C - Ochrona zdrowia'!H12+'Tab. 6E - Administracja'!H236+'Tab. 6G - Roln i ochrona środ.'!H181</f>
        <v>5568560.0600000005</v>
      </c>
      <c r="F61" s="2620">
        <f>+'Tab. 6D - Oświata'!I75+'Tab. 6F - Kultura'!I10+'Tab. 6A -Drogi'!I583+'Tab. 6C - Ochrona zdrowia'!I12+'Tab. 6E - Administracja'!I236+'Tab. 6G - Roln i ochrona środ.'!I181</f>
        <v>10661739</v>
      </c>
      <c r="G61" s="2620">
        <f>+'Tab. 6D - Oświata'!J75+'Tab. 6F - Kultura'!J10+'Tab. 6A -Drogi'!J583+'Tab. 6C - Ochrona zdrowia'!J12+'Tab. 6E - Administracja'!J236+'Tab. 6G - Roln i ochrona środ.'!J181</f>
        <v>23853919</v>
      </c>
      <c r="H61" s="2620">
        <f>+'Tab. 6D - Oświata'!K75+'Tab. 6F - Kultura'!K10+'Tab. 6A -Drogi'!K583+'Tab. 6C - Ochrona zdrowia'!K12+'Tab. 6E - Administracja'!K236+'Tab. 6G - Roln i ochrona środ.'!K181</f>
        <v>20031221</v>
      </c>
      <c r="I61" s="2621">
        <f>'Tab. 6A -Drogi'!L583+'Tab. 6C - Ochrona zdrowia'!L12+'Tab. 6D - Oświata'!L75+'Tab. 6E - Administracja'!L236+'Tab. 6F - Kultura'!L10+'Tab. 6G - Roln i ochrona środ.'!L181</f>
        <v>11167962</v>
      </c>
      <c r="J61" s="2621">
        <f>'Tab. 6A -Drogi'!M583+'Tab. 6C - Ochrona zdrowia'!M12+'Tab. 6D - Oświata'!M75+'Tab. 6E - Administracja'!M236+'Tab. 6F - Kultura'!M10+'Tab. 6G - Roln i ochrona środ.'!M181</f>
        <v>92351028</v>
      </c>
      <c r="K61" s="2622">
        <f>'Tab. 6A -Drogi'!N583+'Tab. 6C - Ochrona zdrowia'!N12+'Tab. 6D - Oświata'!N75+'Tab. 6E - Administracja'!N236+'Tab. 6F - Kultura'!N10+'Tab. 6G - Roln i ochrona środ.'!N181</f>
        <v>27910369</v>
      </c>
      <c r="L61" s="2623">
        <f>'Tab. 6A -Drogi'!O583+'Tab. 6C - Ochrona zdrowia'!O12+'Tab. 6D - Oświata'!O75+'Tab. 6E - Administracja'!O236+'Tab. 6F - Kultura'!O10+'Tab. 6G - Roln i ochrona środ.'!O181</f>
        <v>30586287</v>
      </c>
      <c r="M61" s="2621">
        <f>'Tab. 6A -Drogi'!P583+'Tab. 6C - Ochrona zdrowia'!P12+'Tab. 6D - Oświata'!P75+'Tab. 6E - Administracja'!P236+'Tab. 6F - Kultura'!P10+'Tab. 6G - Roln i ochrona środ.'!P181</f>
        <v>12179602</v>
      </c>
      <c r="N61" s="2621">
        <f>'Tab. 6A -Drogi'!Q583+'Tab. 6C - Ochrona zdrowia'!Q12+'Tab. 6D - Oświata'!Q75+'Tab. 6E - Administracja'!Q236+'Tab. 6F - Kultura'!Q10+'Tab. 6G - Roln i ochrona środ.'!Q181</f>
        <v>64873842</v>
      </c>
      <c r="O61" s="2621">
        <f>'Tab. 6A -Drogi'!R583+'Tab. 6C - Ochrona zdrowia'!R12+'Tab. 6D - Oświata'!R75+'Tab. 6E - Administracja'!R236+'Tab. 6F - Kultura'!R10+'Tab. 6G - Roln i ochrona środ.'!R181</f>
        <v>59635203</v>
      </c>
      <c r="P61" s="2621">
        <f>'Tab. 6A -Drogi'!S583+'Tab. 6C - Ochrona zdrowia'!S12+'Tab. 6D - Oświata'!S75+'Tab. 6E - Administracja'!S236+'Tab. 6F - Kultura'!S10+'Tab. 6G - Roln i ochrona środ.'!S181</f>
        <v>81417860</v>
      </c>
      <c r="Q61" s="2621">
        <f>'Tab. 6A -Drogi'!T583+'Tab. 6C - Ochrona zdrowia'!T12+'Tab. 6D - Oświata'!T75+'Tab. 6E - Administracja'!T236+'Tab. 6F - Kultura'!T10+'Tab. 6G - Roln i ochrona środ.'!T181</f>
        <v>60891500</v>
      </c>
      <c r="R61" s="2621">
        <f>'Tab. 6A -Drogi'!U583+'Tab. 6C - Ochrona zdrowia'!U12+'Tab. 6D - Oświata'!U75+'Tab. 6E - Administracja'!U236+'Tab. 6F - Kultura'!U10+'Tab. 6G - Roln i ochrona środ.'!U181</f>
        <v>43627680</v>
      </c>
      <c r="S61" s="2621">
        <f>'Tab. 6A -Drogi'!V583+'Tab. 6C - Ochrona zdrowia'!V12+'Tab. 6D - Oświata'!V75+'Tab. 6E - Administracja'!V236+'Tab. 6F - Kultura'!V10+'Tab. 6G - Roln i ochrona środ.'!V181</f>
        <v>2058405</v>
      </c>
      <c r="T61" s="2621">
        <f>'Tab. 6A -Drogi'!W583+'Tab. 6C - Ochrona zdrowia'!W12+'Tab. 6D - Oświata'!W75+'Tab. 6E - Administracja'!W236+'Tab. 6F - Kultura'!W10+'Tab. 6G - Roln i ochrona środ.'!W181</f>
        <v>0</v>
      </c>
      <c r="U61" s="2624">
        <f>'Tab. 6A -Drogi'!D583+'Tab. 6C - Ochrona zdrowia'!D12+'Tab. 6D - Oświata'!D75+'Tab. 6E - Administracja'!D236+'Tab. 6F - Kultura'!D10+'Tab. 6G - Roln i ochrona środ.'!D181</f>
        <v>417035120</v>
      </c>
      <c r="V61" s="3236">
        <f>SUM(N61:T61)</f>
        <v>312504490</v>
      </c>
      <c r="W61" s="299"/>
      <c r="X61" s="897">
        <f t="shared" ref="X61:X74" si="25">T61+S61+R61+Q61+P61+O61+N61+M61+L61+J61</f>
        <v>447621407</v>
      </c>
      <c r="Y61" s="898">
        <f t="shared" si="24"/>
        <v>-30586287</v>
      </c>
    </row>
    <row r="62" spans="1:25" s="899" customFormat="1" ht="4.5" customHeight="1">
      <c r="A62" s="2544"/>
      <c r="B62" s="2545"/>
      <c r="C62" s="2545"/>
      <c r="D62" s="2545"/>
      <c r="E62" s="2545"/>
      <c r="F62" s="2545"/>
      <c r="G62" s="2545"/>
      <c r="H62" s="2545"/>
      <c r="I62" s="2545"/>
      <c r="J62" s="2545"/>
      <c r="K62" s="2596"/>
      <c r="L62" s="2545"/>
      <c r="M62" s="2545"/>
      <c r="N62" s="2545"/>
      <c r="O62" s="2597"/>
      <c r="P62" s="2545"/>
      <c r="Q62" s="2545"/>
      <c r="R62" s="2545"/>
      <c r="S62" s="2545"/>
      <c r="T62" s="2545"/>
      <c r="U62" s="2599"/>
      <c r="V62" s="2598"/>
      <c r="W62" s="896"/>
      <c r="X62" s="897"/>
      <c r="Y62" s="898"/>
    </row>
    <row r="63" spans="1:25" s="2581" customFormat="1" ht="18" customHeight="1">
      <c r="A63" s="2546" t="s">
        <v>21</v>
      </c>
      <c r="B63" s="2547" t="e">
        <f t="shared" ref="B63:U63" si="26">+B64+B73</f>
        <v>#REF!</v>
      </c>
      <c r="C63" s="2547" t="e">
        <f t="shared" si="26"/>
        <v>#REF!</v>
      </c>
      <c r="D63" s="2548" t="e">
        <f t="shared" si="26"/>
        <v>#REF!</v>
      </c>
      <c r="E63" s="2548" t="e">
        <f t="shared" si="26"/>
        <v>#REF!</v>
      </c>
      <c r="F63" s="2548" t="e">
        <f t="shared" si="26"/>
        <v>#REF!</v>
      </c>
      <c r="G63" s="2548" t="e">
        <f>+G64+G73</f>
        <v>#REF!</v>
      </c>
      <c r="H63" s="2548" t="e">
        <f>+H64+H73</f>
        <v>#REF!</v>
      </c>
      <c r="I63" s="2548">
        <f t="shared" si="26"/>
        <v>122377215</v>
      </c>
      <c r="J63" s="2548">
        <f>+J64+J73</f>
        <v>374382084</v>
      </c>
      <c r="K63" s="2549">
        <f t="shared" si="26"/>
        <v>141806186</v>
      </c>
      <c r="L63" s="2548">
        <f t="shared" si="26"/>
        <v>160663006</v>
      </c>
      <c r="M63" s="2548">
        <f t="shared" si="26"/>
        <v>120608675</v>
      </c>
      <c r="N63" s="2548">
        <f t="shared" si="26"/>
        <v>222888531</v>
      </c>
      <c r="O63" s="2548">
        <f t="shared" si="26"/>
        <v>221744890</v>
      </c>
      <c r="P63" s="2548">
        <f>+P64+P73</f>
        <v>226049783</v>
      </c>
      <c r="Q63" s="2548">
        <f>+Q64+Q73</f>
        <v>186193970</v>
      </c>
      <c r="R63" s="2548">
        <f>+R64+R73</f>
        <v>57451082</v>
      </c>
      <c r="S63" s="2548">
        <f>+S64+S73</f>
        <v>17350457</v>
      </c>
      <c r="T63" s="2548">
        <f>+T64+T73</f>
        <v>4270868</v>
      </c>
      <c r="U63" s="2550">
        <f t="shared" si="26"/>
        <v>1465247787</v>
      </c>
      <c r="V63" s="2625">
        <f>+V64+V73</f>
        <v>891276642</v>
      </c>
      <c r="W63" s="2606"/>
      <c r="X63" s="897">
        <f>T63+S63+R63+Q63+P63+O63+N63+M63+L63+J63+3564290</f>
        <v>1595167636</v>
      </c>
      <c r="Y63" s="898">
        <f t="shared" si="24"/>
        <v>-129919849</v>
      </c>
    </row>
    <row r="64" spans="1:25" s="2558" customFormat="1" ht="18" customHeight="1">
      <c r="A64" s="2553" t="s">
        <v>22</v>
      </c>
      <c r="B64" s="2626" t="e">
        <f>SUM(B65:B72)</f>
        <v>#REF!</v>
      </c>
      <c r="C64" s="2554" t="e">
        <f t="shared" ref="C64:K64" si="27">SUM(C65:C72)</f>
        <v>#REF!</v>
      </c>
      <c r="D64" s="2627" t="e">
        <f t="shared" si="27"/>
        <v>#REF!</v>
      </c>
      <c r="E64" s="2627" t="e">
        <f t="shared" si="27"/>
        <v>#REF!</v>
      </c>
      <c r="F64" s="2628" t="e">
        <f t="shared" si="27"/>
        <v>#REF!</v>
      </c>
      <c r="G64" s="2628" t="e">
        <f>SUM(G65:G72)</f>
        <v>#REF!</v>
      </c>
      <c r="H64" s="2628" t="e">
        <f>SUM(H65:H72)</f>
        <v>#REF!</v>
      </c>
      <c r="I64" s="2628">
        <f t="shared" si="27"/>
        <v>119746865</v>
      </c>
      <c r="J64" s="2628">
        <f t="shared" si="27"/>
        <v>374382084</v>
      </c>
      <c r="K64" s="2629">
        <f t="shared" si="27"/>
        <v>121878719</v>
      </c>
      <c r="L64" s="2627">
        <f t="shared" ref="L64:U64" si="28">SUM(L65:L72)</f>
        <v>133386451</v>
      </c>
      <c r="M64" s="2628">
        <f t="shared" si="28"/>
        <v>120608675</v>
      </c>
      <c r="N64" s="2628">
        <f t="shared" si="28"/>
        <v>222866176</v>
      </c>
      <c r="O64" s="2628">
        <f t="shared" si="28"/>
        <v>209761240</v>
      </c>
      <c r="P64" s="2628">
        <f>SUM(P65:P72)</f>
        <v>205649783</v>
      </c>
      <c r="Q64" s="2628">
        <f t="shared" si="28"/>
        <v>174251470</v>
      </c>
      <c r="R64" s="2628">
        <f>SUM(R65:R72)</f>
        <v>48951082</v>
      </c>
      <c r="S64" s="2628">
        <f>SUM(S65:S72)</f>
        <v>7257957</v>
      </c>
      <c r="T64" s="2628">
        <f>SUM(T65:T72)</f>
        <v>4270868</v>
      </c>
      <c r="U64" s="2630">
        <f t="shared" si="28"/>
        <v>1402306782</v>
      </c>
      <c r="V64" s="2631">
        <f>SUM(V65:V72)</f>
        <v>891276642</v>
      </c>
      <c r="W64" s="896"/>
      <c r="X64" s="897">
        <f>T64+S64+R64+Q64+P64+O64+N64+M64+L64+J64+3564290</f>
        <v>1504950076</v>
      </c>
      <c r="Y64" s="898">
        <f t="shared" si="24"/>
        <v>-102643294</v>
      </c>
    </row>
    <row r="65" spans="1:25" s="899" customFormat="1" ht="16.5" customHeight="1">
      <c r="A65" s="2559" t="s">
        <v>42</v>
      </c>
      <c r="B65" s="902">
        <f>+'Tab. 6D - Oświata'!E80+'Tab. 6A -Drogi'!E586+'Tab. 6E - Administracja'!E239+'Tab. 6C - Ochrona zdrowia'!E15</f>
        <v>7239894</v>
      </c>
      <c r="C65" s="902">
        <f>+'Tab. 6D - Oświata'!F80+'Tab. 6A -Drogi'!F586+'Tab. 6E - Administracja'!F239+'Tab. 6C - Ochrona zdrowia'!F15</f>
        <v>0</v>
      </c>
      <c r="D65" s="902">
        <f>+'Tab. 6D - Oświata'!G80+'Tab. 6A -Drogi'!G586+'Tab. 6E - Administracja'!G239+'Tab. 6C - Ochrona zdrowia'!G15</f>
        <v>5300000</v>
      </c>
      <c r="E65" s="902">
        <f>+'Tab. 6D - Oświata'!H80+'Tab. 6A -Drogi'!H586+'Tab. 6E - Administracja'!H239+'Tab. 6C - Ochrona zdrowia'!H15</f>
        <v>1939894</v>
      </c>
      <c r="F65" s="902">
        <f>+'Tab. 6D - Oświata'!I80+'Tab. 6A -Drogi'!I586+'Tab. 6E - Administracja'!I239+'Tab. 6C - Ochrona zdrowia'!I15</f>
        <v>1403574</v>
      </c>
      <c r="G65" s="902">
        <f>+'Tab. 6D - Oświata'!J80+'Tab. 6A -Drogi'!J586+'Tab. 6E - Administracja'!J239+'Tab. 6C - Ochrona zdrowia'!J15</f>
        <v>3687612</v>
      </c>
      <c r="H65" s="902">
        <f>+'Tab. 6D - Oświata'!K80+'Tab. 6A -Drogi'!K586+'Tab. 6E - Administracja'!K239+'Tab. 6C - Ochrona zdrowia'!K15</f>
        <v>11909292</v>
      </c>
      <c r="I65" s="902">
        <f>+'Tab. 6D - Oświata'!L80+'Tab. 6A -Drogi'!L586+'Tab. 6E - Administracja'!L239+'Tab. 6C - Ochrona zdrowia'!L15</f>
        <v>87505495</v>
      </c>
      <c r="J65" s="902">
        <f>+'Tab. 6D - Oświata'!M80+'Tab. 6A -Drogi'!M586+'Tab. 6E - Administracja'!M239+'Tab. 6C - Ochrona zdrowia'!M15+'Tab.6I - Planow. przestrz.'!M78+'Tab. 6G - Roln i ochrona środ.'!M184+'Tab. 6H - Kultura fiz. i turyst'!M209</f>
        <v>296561976</v>
      </c>
      <c r="K65" s="902">
        <f>+'Tab. 6D - Oświata'!N80+'Tab. 6A -Drogi'!N586+'Tab. 6E - Administracja'!N239+'Tab. 6C - Ochrona zdrowia'!N15+'Tab.6I - Planow. przestrz.'!N78+'Tab. 6G - Roln i ochrona środ.'!N184+'Tab. 6H - Kultura fiz. i turyst'!N209</f>
        <v>90767632</v>
      </c>
      <c r="L65" s="902">
        <f>+'Tab. 6D - Oświata'!O80+'Tab. 6A -Drogi'!O586+'Tab. 6E - Administracja'!O239+'Tab. 6C - Ochrona zdrowia'!O15+'Tab.6I - Planow. przestrz.'!O78+'Tab. 6G - Roln i ochrona środ.'!O184+'Tab. 6H - Kultura fiz. i turyst'!O209</f>
        <v>94048477</v>
      </c>
      <c r="M65" s="902">
        <f>+'Tab. 6D - Oświata'!P80+'Tab. 6A -Drogi'!P586+'Tab. 6E - Administracja'!P239+'Tab. 6C - Ochrona zdrowia'!P15+'Tab.6I - Planow. przestrz.'!P78+'Tab. 6G - Roln i ochrona środ.'!P184+'Tab. 6H - Kultura fiz. i turyst'!P209</f>
        <v>101290638</v>
      </c>
      <c r="N65" s="902">
        <f>+'Tab. 6D - Oświata'!Q80+'Tab. 6A -Drogi'!Q586+'Tab. 6E - Administracja'!Q239+'Tab. 6C - Ochrona zdrowia'!Q15+'Tab.6I - Planow. przestrz.'!Q78+'Tab. 6G - Roln i ochrona środ.'!Q184+'Tab. 6H - Kultura fiz. i turyst'!Q209</f>
        <v>178341835</v>
      </c>
      <c r="O65" s="902">
        <f>+'Tab. 6D - Oświata'!R80+'Tab. 6A -Drogi'!R586+'Tab. 6E - Administracja'!R239+'Tab. 6C - Ochrona zdrowia'!R15+'Tab.6I - Planow. przestrz.'!R78+'Tab. 6G - Roln i ochrona środ.'!R184+'Tab. 6H - Kultura fiz. i turyst'!R209</f>
        <v>177889775</v>
      </c>
      <c r="P65" s="902">
        <f>+'Tab. 6D - Oświata'!S80+'Tab. 6A -Drogi'!S586+'Tab. 6E - Administracja'!S239+'Tab. 6C - Ochrona zdrowia'!S15+'Tab.6I - Planow. przestrz.'!S78+'Tab. 6G - Roln i ochrona środ.'!S184+'Tab. 6H - Kultura fiz. i turyst'!S209</f>
        <v>155455360</v>
      </c>
      <c r="Q65" s="902">
        <f>+'Tab. 6D - Oświata'!T80+'Tab. 6A -Drogi'!T586+'Tab. 6E - Administracja'!T239+'Tab. 6C - Ochrona zdrowia'!T15+'Tab.6I - Planow. przestrz.'!T78+'Tab. 6G - Roln i ochrona środ.'!T184+'Tab. 6H - Kultura fiz. i turyst'!T209</f>
        <v>147129970</v>
      </c>
      <c r="R65" s="902">
        <f>+'Tab. 6D - Oświata'!U80+'Tab. 6A -Drogi'!U586+'Tab. 6E - Administracja'!U239+'Tab. 6C - Ochrona zdrowia'!U15+'Tab.6I - Planow. przestrz.'!U78+'Tab. 6G - Roln i ochrona środ.'!U184+'Tab. 6H - Kultura fiz. i turyst'!U209</f>
        <v>4243402</v>
      </c>
      <c r="S65" s="902">
        <f>+'Tab. 6D - Oświata'!V80+'Tab. 6A -Drogi'!V586+'Tab. 6E - Administracja'!V239+'Tab. 6C - Ochrona zdrowia'!V15+'Tab.6I - Planow. przestrz.'!V78+'Tab. 6G - Roln i ochrona środ.'!V184+'Tab. 6H - Kultura fiz. i turyst'!V209</f>
        <v>4259552</v>
      </c>
      <c r="T65" s="902">
        <f>+'Tab. 6D - Oświata'!W80+'Tab. 6A -Drogi'!W586+'Tab. 6E - Administracja'!W239+'Tab. 6C - Ochrona zdrowia'!W15+'Tab.6I - Planow. przestrz.'!W78+'Tab. 6G - Roln i ochrona środ.'!W184+'Tab. 6H - Kultura fiz. i turyst'!W209</f>
        <v>4270868</v>
      </c>
      <c r="U65" s="2562">
        <f>J65+M65+N65+O65+P65+Q65+R65+S65+T65+'Tab. 6C - Ochrona zdrowia'!Z130+'Tab. 6C - Ochrona zdrowia'!Z135</f>
        <v>1103750823</v>
      </c>
      <c r="V65" s="2538">
        <f>SUM(N65:T65)+'Tab. 6C - Ochrona zdrowia'!Z130+'Tab. 6C - Ochrona zdrowia'!Z135</f>
        <v>705898209</v>
      </c>
      <c r="W65" s="299"/>
      <c r="X65" s="897">
        <f>T65+S65+R65+Q65+P65+O65+N65+M65+L65+J65+3564290</f>
        <v>1167056143</v>
      </c>
      <c r="Y65" s="898">
        <f t="shared" si="24"/>
        <v>-63305320</v>
      </c>
    </row>
    <row r="66" spans="1:25" s="899" customFormat="1" ht="15.75" hidden="1" customHeight="1">
      <c r="A66" s="900" t="s">
        <v>27</v>
      </c>
      <c r="B66" s="901" t="e">
        <f>+'Tab. 6A -Drogi'!E589+'Tab. 6G - Roln i ochrona środ.'!E188</f>
        <v>#REF!</v>
      </c>
      <c r="C66" s="901" t="e">
        <f>+'Tab. 6A -Drogi'!F589+'Tab. 6G - Roln i ochrona środ.'!F188</f>
        <v>#REF!</v>
      </c>
      <c r="D66" s="901" t="e">
        <f>+'Tab. 6A -Drogi'!G589+'Tab. 6G - Roln i ochrona środ.'!G188</f>
        <v>#REF!</v>
      </c>
      <c r="E66" s="901" t="e">
        <f>+'Tab. 6A -Drogi'!H589+'Tab. 6G - Roln i ochrona środ.'!H188</f>
        <v>#REF!</v>
      </c>
      <c r="F66" s="901" t="e">
        <f>+'Tab. 6A -Drogi'!I589+'Tab. 6G - Roln i ochrona środ.'!I188</f>
        <v>#REF!</v>
      </c>
      <c r="G66" s="901" t="e">
        <f>+'Tab. 6A -Drogi'!J589+'Tab. 6G - Roln i ochrona środ.'!J188</f>
        <v>#REF!</v>
      </c>
      <c r="H66" s="902" t="e">
        <f>+'Tab. 6A -Drogi'!K589+'Tab. 6G - Roln i ochrona środ.'!K188</f>
        <v>#REF!</v>
      </c>
      <c r="I66" s="902">
        <f>+'Tab. 6A -Drogi'!L589+'Tab. 6G - Roln i ochrona środ.'!L188</f>
        <v>0</v>
      </c>
      <c r="J66" s="902">
        <f>+'Tab. 6A -Drogi'!M589+'Tab. 6G - Roln i ochrona środ.'!M188</f>
        <v>0</v>
      </c>
      <c r="K66" s="903">
        <f>+'Tab. 6A -Drogi'!N589+'Tab. 6G - Roln i ochrona środ.'!N188+'Tab. 6H - Kultura fiz. i turyst'!N210</f>
        <v>0</v>
      </c>
      <c r="L66" s="903">
        <f>+'Tab. 6A -Drogi'!O589+'Tab. 6G - Roln i ochrona środ.'!O188+'Tab. 6H - Kultura fiz. i turyst'!O210</f>
        <v>0</v>
      </c>
      <c r="M66" s="902">
        <f>+'Tab. 6A -Drogi'!P589+'Tab. 6G - Roln i ochrona środ.'!P188+'Tab. 6H - Kultura fiz. i turyst'!P210</f>
        <v>0</v>
      </c>
      <c r="N66" s="902">
        <f>+'Tab. 6A -Drogi'!Q589+'Tab. 6G - Roln i ochrona środ.'!Q188+'Tab. 6H - Kultura fiz. i turyst'!Q210</f>
        <v>0</v>
      </c>
      <c r="O66" s="902">
        <f>+'Tab. 6A -Drogi'!R589+'Tab. 6G - Roln i ochrona środ.'!R188+'Tab. 6H - Kultura fiz. i turyst'!R210</f>
        <v>0</v>
      </c>
      <c r="P66" s="902">
        <f>+'Tab. 6A -Drogi'!S589+'Tab. 6G - Roln i ochrona środ.'!S188+'Tab. 6H - Kultura fiz. i turyst'!S210</f>
        <v>0</v>
      </c>
      <c r="Q66" s="902">
        <f>+'Tab. 6A -Drogi'!T589+'Tab. 6G - Roln i ochrona środ.'!T188+'Tab. 6H - Kultura fiz. i turyst'!T210</f>
        <v>0</v>
      </c>
      <c r="R66" s="902">
        <f>+'Tab. 6A -Drogi'!U589+'Tab. 6G - Roln i ochrona środ.'!U188+'Tab. 6H - Kultura fiz. i turyst'!U210</f>
        <v>0</v>
      </c>
      <c r="S66" s="902">
        <f>+'Tab. 6A -Drogi'!V589+'Tab. 6G - Roln i ochrona środ.'!V188+'Tab. 6H - Kultura fiz. i turyst'!V210</f>
        <v>0</v>
      </c>
      <c r="T66" s="902">
        <f>+'Tab. 6A -Drogi'!W589+'Tab. 6G - Roln i ochrona środ.'!W188+'Tab. 6H - Kultura fiz. i turyst'!W210</f>
        <v>0</v>
      </c>
      <c r="U66" s="2632">
        <f>J66+L66+M66+N66+O66+P66+Q66+R66+S66+T66</f>
        <v>0</v>
      </c>
      <c r="V66" s="2538">
        <f>SUM(M66:T66)</f>
        <v>0</v>
      </c>
      <c r="W66" s="299"/>
      <c r="X66" s="897">
        <f t="shared" si="25"/>
        <v>0</v>
      </c>
      <c r="Y66" s="898">
        <f t="shared" si="24"/>
        <v>0</v>
      </c>
    </row>
    <row r="67" spans="1:25" s="899" customFormat="1" ht="15.75" customHeight="1">
      <c r="A67" s="900" t="s">
        <v>43</v>
      </c>
      <c r="B67" s="902">
        <f>+'Tab. 6F - Kultura'!E13+'Tab. 6C - Ochrona zdrowia'!E16</f>
        <v>1042473</v>
      </c>
      <c r="C67" s="902">
        <f>+'Tab. 6F - Kultura'!F13+'Tab. 6C - Ochrona zdrowia'!F16</f>
        <v>0</v>
      </c>
      <c r="D67" s="902">
        <f>+'Tab. 6F - Kultura'!G13+'Tab. 6C - Ochrona zdrowia'!G16</f>
        <v>75454</v>
      </c>
      <c r="E67" s="902">
        <f>+'Tab. 6F - Kultura'!H13+'Tab. 6C - Ochrona zdrowia'!H16</f>
        <v>2710879</v>
      </c>
      <c r="F67" s="902">
        <f>+'Tab. 6F - Kultura'!I13+'Tab. 6C - Ochrona zdrowia'!I16</f>
        <v>1108014</v>
      </c>
      <c r="G67" s="902">
        <f>+'Tab. 6F - Kultura'!J13+'Tab. 6C - Ochrona zdrowia'!J16</f>
        <v>3505259</v>
      </c>
      <c r="H67" s="902">
        <f>+'Tab. 6F - Kultura'!K13+'Tab. 6C - Ochrona zdrowia'!K16</f>
        <v>5098157</v>
      </c>
      <c r="I67" s="902">
        <f>+'Tab. 6F - Kultura'!L13+'Tab. 6C - Ochrona zdrowia'!L16</f>
        <v>25506494</v>
      </c>
      <c r="J67" s="902">
        <f>+'Tab. 6F - Kultura'!M13+'Tab. 6C - Ochrona zdrowia'!M16</f>
        <v>10084472</v>
      </c>
      <c r="K67" s="903">
        <f>+'Tab. 6F - Kultura'!N13+'Tab. 6C - Ochrona zdrowia'!N16</f>
        <v>4491119</v>
      </c>
      <c r="L67" s="902">
        <f>+'Tab. 6F - Kultura'!O13+'Tab. 6C - Ochrona zdrowia'!O16</f>
        <v>10266234</v>
      </c>
      <c r="M67" s="902">
        <f>+'Tab. 6F - Kultura'!P13+'Tab. 6C - Ochrona zdrowia'!P16</f>
        <v>13167102</v>
      </c>
      <c r="N67" s="902">
        <f>+'Tab. 6F - Kultura'!Q13+'Tab. 6C - Ochrona zdrowia'!Q16</f>
        <v>7186856</v>
      </c>
      <c r="O67" s="902">
        <f>+'Tab. 6F - Kultura'!R13+'Tab. 6C - Ochrona zdrowia'!R16</f>
        <v>4410462</v>
      </c>
      <c r="P67" s="902">
        <f>+'Tab. 6F - Kultura'!S13+'Tab. 6C - Ochrona zdrowia'!S16</f>
        <v>1342063</v>
      </c>
      <c r="Q67" s="902">
        <f>+'Tab. 6F - Kultura'!T13+'Tab. 6C - Ochrona zdrowia'!T16</f>
        <v>1080000</v>
      </c>
      <c r="R67" s="902">
        <f>+'Tab. 6F - Kultura'!U13+'Tab. 6C - Ochrona zdrowia'!U16</f>
        <v>1080000</v>
      </c>
      <c r="S67" s="902">
        <f>+'Tab. 6F - Kultura'!V13+'Tab. 6C - Ochrona zdrowia'!V16</f>
        <v>940000</v>
      </c>
      <c r="T67" s="901">
        <f>+'Tab. 6F - Kultura'!W13+'Tab. 6C - Ochrona zdrowia'!W16</f>
        <v>0</v>
      </c>
      <c r="U67" s="2562">
        <f>J67+M67+N67+O67+P67+Q67+R67+S67+T67</f>
        <v>39290955</v>
      </c>
      <c r="V67" s="2573">
        <v>0</v>
      </c>
      <c r="W67" s="896"/>
      <c r="X67" s="897">
        <f t="shared" si="25"/>
        <v>49557189</v>
      </c>
      <c r="Y67" s="898">
        <f t="shared" si="24"/>
        <v>-10266234</v>
      </c>
    </row>
    <row r="68" spans="1:25" s="899" customFormat="1" ht="15.75" customHeight="1">
      <c r="A68" s="2559" t="s">
        <v>44</v>
      </c>
      <c r="B68" s="902">
        <f>+'Tab. 6F - Kultura'!E14+'Tab. 6C - Ochrona zdrowia'!E17+'Tab. 6D - Oświata'!E79</f>
        <v>3431827</v>
      </c>
      <c r="C68" s="902">
        <f>+'Tab. 6F - Kultura'!F14+'Tab. 6C - Ochrona zdrowia'!F17+'Tab. 6D - Oświata'!F79</f>
        <v>0</v>
      </c>
      <c r="D68" s="902">
        <f>+'Tab. 6F - Kultura'!G14+'Tab. 6C - Ochrona zdrowia'!G17+'Tab. 6D - Oświata'!G79</f>
        <v>27000</v>
      </c>
      <c r="E68" s="902">
        <f>+'Tab. 6F - Kultura'!H14+'Tab. 6C - Ochrona zdrowia'!H17+'Tab. 6D - Oświata'!H79</f>
        <v>3348880.0600000005</v>
      </c>
      <c r="F68" s="902">
        <f>+'Tab. 6F - Kultura'!I14+'Tab. 6C - Ochrona zdrowia'!I17+'Tab. 6D - Oświata'!I79</f>
        <v>6763671</v>
      </c>
      <c r="G68" s="902">
        <f>+'Tab. 6F - Kultura'!J14+'Tab. 6C - Ochrona zdrowia'!J17+'Tab. 6D - Oświata'!J79</f>
        <v>10907631</v>
      </c>
      <c r="H68" s="902">
        <f>+'Tab. 6F - Kultura'!K14+'Tab. 6C - Ochrona zdrowia'!K17+'Tab. 6D - Oświata'!K79</f>
        <v>10053717</v>
      </c>
      <c r="I68" s="902">
        <f>+'Tab. 6F - Kultura'!L14+'Tab. 6C - Ochrona zdrowia'!L17+'Tab. 6D - Oświata'!L79+'Tab. 6H - Kultura fiz. i turyst'!L218</f>
        <v>2123912</v>
      </c>
      <c r="J68" s="902">
        <f>+'Tab. 6F - Kultura'!M14+'Tab. 6C - Ochrona zdrowia'!M17+'Tab. 6D - Oświata'!M79+'Tab. 6H - Kultura fiz. i turyst'!M218</f>
        <v>28476561</v>
      </c>
      <c r="K68" s="903">
        <f>+'Tab. 6F - Kultura'!N14+'Tab. 6C - Ochrona zdrowia'!N17+'Tab. 6D - Oświata'!N79+'Tab. 6H - Kultura fiz. i turyst'!N218</f>
        <v>13835578</v>
      </c>
      <c r="L68" s="902">
        <f>+'Tab. 6F - Kultura'!O14+'Tab. 6C - Ochrona zdrowia'!O17+'Tab. 6D - Oświata'!O79+'Tab. 6H - Kultura fiz. i turyst'!O218</f>
        <v>11604169</v>
      </c>
      <c r="M68" s="902">
        <f>+'Tab. 6F - Kultura'!P14+'Tab. 6C - Ochrona zdrowia'!P17+'Tab. 6D - Oświata'!P79+'Tab. 6H - Kultura fiz. i turyst'!P218</f>
        <v>4523735</v>
      </c>
      <c r="N68" s="902">
        <f>+'Tab. 6F - Kultura'!Q14+'Tab. 6C - Ochrona zdrowia'!Q17+'Tab. 6D - Oświata'!Q79+'Tab. 6H - Kultura fiz. i turyst'!Q218</f>
        <v>6017454</v>
      </c>
      <c r="O68" s="902">
        <f>+'Tab. 6F - Kultura'!R14+'Tab. 6C - Ochrona zdrowia'!R17+'Tab. 6D - Oświata'!R79+'Tab. 6H - Kultura fiz. i turyst'!R218</f>
        <v>8596763</v>
      </c>
      <c r="P68" s="902">
        <f>+'Tab. 6F - Kultura'!S14+'Tab. 6C - Ochrona zdrowia'!S17+'Tab. 6D - Oświata'!S79+'Tab. 6H - Kultura fiz. i turyst'!S218</f>
        <v>12305000</v>
      </c>
      <c r="Q68" s="902">
        <f>+'Tab. 6F - Kultura'!T14+'Tab. 6C - Ochrona zdrowia'!T17+'Tab. 6D - Oświata'!T79+'Tab. 6H - Kultura fiz. i turyst'!T218</f>
        <v>5657500</v>
      </c>
      <c r="R68" s="902">
        <f>+'Tab. 6F - Kultura'!U14+'Tab. 6C - Ochrona zdrowia'!U17+'Tab. 6D - Oświata'!U79+'Tab. 6H - Kultura fiz. i turyst'!U218</f>
        <v>3566880</v>
      </c>
      <c r="S68" s="902">
        <f>+'Tab. 6F - Kultura'!V14+'Tab. 6C - Ochrona zdrowia'!V17+'Tab. 6D - Oświata'!V79+'Tab. 6H - Kultura fiz. i turyst'!V218</f>
        <v>1472245</v>
      </c>
      <c r="T68" s="901">
        <f>+'Tab. 6F - Kultura'!W14+'Tab. 6C - Ochrona zdrowia'!W17+'Tab. 6D - Oświata'!W79+'Tab. 6H - Kultura fiz. i turyst'!W218</f>
        <v>0</v>
      </c>
      <c r="U68" s="2562">
        <f>J68+M68+N68+O68+P68+Q68+R68+S68+T68</f>
        <v>70616138</v>
      </c>
      <c r="V68" s="2538">
        <f>SUM(N68:T68)</f>
        <v>37615842</v>
      </c>
      <c r="W68" s="299"/>
      <c r="X68" s="897">
        <f t="shared" si="25"/>
        <v>82220307</v>
      </c>
      <c r="Y68" s="898">
        <f t="shared" si="24"/>
        <v>-11604169</v>
      </c>
    </row>
    <row r="69" spans="1:25" s="899" customFormat="1" ht="15.75" customHeight="1">
      <c r="A69" s="900" t="s">
        <v>26</v>
      </c>
      <c r="B69" s="902">
        <f>+'Tab. 6A -Drogi'!E588+'Tab. 6C - Ochrona zdrowia'!E20</f>
        <v>279786</v>
      </c>
      <c r="C69" s="902">
        <f>+'Tab. 6A -Drogi'!F588+'Tab. 6C - Ochrona zdrowia'!F20</f>
        <v>0</v>
      </c>
      <c r="D69" s="902">
        <f>+'Tab. 6A -Drogi'!G588+'Tab. 6C - Ochrona zdrowia'!G20</f>
        <v>0</v>
      </c>
      <c r="E69" s="902">
        <f>+'Tab. 6A -Drogi'!H588+'Tab. 6C - Ochrona zdrowia'!H20</f>
        <v>279786</v>
      </c>
      <c r="F69" s="902">
        <f>+'Tab. 6A -Drogi'!I588+'Tab. 6C - Ochrona zdrowia'!I20</f>
        <v>2494494</v>
      </c>
      <c r="G69" s="902">
        <f>+'Tab. 6A -Drogi'!J588+'Tab. 6C - Ochrona zdrowia'!J20</f>
        <v>2145000</v>
      </c>
      <c r="H69" s="902">
        <f>+'Tab. 6A -Drogi'!K588+'Tab. 6C - Ochrona zdrowia'!K20</f>
        <v>2124947</v>
      </c>
      <c r="I69" s="902">
        <f>+'Tab. 6A -Drogi'!L588+'Tab. 6C - Ochrona zdrowia'!L20</f>
        <v>728771</v>
      </c>
      <c r="J69" s="902">
        <f>+'Tab. 6A -Drogi'!M588+'Tab. 6C - Ochrona zdrowia'!M20</f>
        <v>12110791</v>
      </c>
      <c r="K69" s="903">
        <f>+'Tab. 6A -Drogi'!N588+'Tab. 6C - Ochrona zdrowia'!N20</f>
        <v>2686480</v>
      </c>
      <c r="L69" s="902">
        <f>+'Tab. 6A -Drogi'!O588+'Tab. 6C - Ochrona zdrowia'!O20</f>
        <v>1651313</v>
      </c>
      <c r="M69" s="902">
        <f>+'Tab. 6A -Drogi'!P588+'Tab. 6C - Ochrona zdrowia'!P20</f>
        <v>1627200</v>
      </c>
      <c r="N69" s="902">
        <f>+'Tab. 6A -Drogi'!Q588+'Tab. 6C - Ochrona zdrowia'!Q20</f>
        <v>1397794</v>
      </c>
      <c r="O69" s="901">
        <f>+'Tab. 6A -Drogi'!R588+'Tab. 6C - Ochrona zdrowia'!R20</f>
        <v>0</v>
      </c>
      <c r="P69" s="901">
        <f>+'Tab. 6A -Drogi'!S588+'Tab. 6C - Ochrona zdrowia'!S20</f>
        <v>0</v>
      </c>
      <c r="Q69" s="901">
        <f>+'Tab. 6A -Drogi'!T588+'Tab. 6C - Ochrona zdrowia'!T20</f>
        <v>0</v>
      </c>
      <c r="R69" s="901">
        <f>+'Tab. 6A -Drogi'!U588+'Tab. 6C - Ochrona zdrowia'!U20</f>
        <v>0</v>
      </c>
      <c r="S69" s="901">
        <f>+'Tab. 6A -Drogi'!V588+'Tab. 6C - Ochrona zdrowia'!V20</f>
        <v>0</v>
      </c>
      <c r="T69" s="901">
        <f>+'Tab. 6A -Drogi'!W588+'Tab. 6C - Ochrona zdrowia'!W20</f>
        <v>0</v>
      </c>
      <c r="U69" s="2562">
        <f>J69+M69+N69+O69+P69+Q69+R69+S69+T69</f>
        <v>15135785</v>
      </c>
      <c r="V69" s="2538">
        <f>SUM(N69:T69)</f>
        <v>1397794</v>
      </c>
      <c r="W69" s="299"/>
      <c r="X69" s="897">
        <f t="shared" si="25"/>
        <v>16787098</v>
      </c>
      <c r="Y69" s="898">
        <f t="shared" si="24"/>
        <v>-1651313</v>
      </c>
    </row>
    <row r="70" spans="1:25" s="899" customFormat="1" ht="15.75" customHeight="1">
      <c r="A70" s="900" t="s">
        <v>24</v>
      </c>
      <c r="B70" s="901">
        <f>+'Tab. 6A -Drogi'!E587+'Tab. 6C - Ochrona zdrowia'!E18</f>
        <v>0</v>
      </c>
      <c r="C70" s="901">
        <f>+'Tab. 6A -Drogi'!F587+'Tab. 6C - Ochrona zdrowia'!F18</f>
        <v>0</v>
      </c>
      <c r="D70" s="901">
        <f>+'Tab. 6A -Drogi'!G587+'Tab. 6C - Ochrona zdrowia'!G18</f>
        <v>0</v>
      </c>
      <c r="E70" s="901">
        <f>+'Tab. 6A -Drogi'!H587+'Tab. 6C - Ochrona zdrowia'!H18</f>
        <v>0</v>
      </c>
      <c r="F70" s="901">
        <f>+'Tab. 6A -Drogi'!I587+'Tab. 6C - Ochrona zdrowia'!I18</f>
        <v>0</v>
      </c>
      <c r="G70" s="902">
        <f>+'Tab. 6A -Drogi'!J587+'Tab. 6C - Ochrona zdrowia'!J18</f>
        <v>8065000</v>
      </c>
      <c r="H70" s="902">
        <f>+'Tab. 6A -Drogi'!K587+'Tab. 6C - Ochrona zdrowia'!K18</f>
        <v>1854955</v>
      </c>
      <c r="I70" s="902">
        <f>+'Tab. 6A -Drogi'!L587+'Tab. 6C - Ochrona zdrowia'!L18</f>
        <v>3882193</v>
      </c>
      <c r="J70" s="902">
        <f>+'Tab. 6A -Drogi'!M587+'Tab. 6C - Ochrona zdrowia'!M18</f>
        <v>27148284</v>
      </c>
      <c r="K70" s="903">
        <f>+'Tab. 6A -Drogi'!N587+'Tab. 6C - Ochrona zdrowia'!N18</f>
        <v>10097910</v>
      </c>
      <c r="L70" s="902">
        <f>+'Tab. 6A -Drogi'!O587+'Tab. 6C - Ochrona zdrowia'!O18</f>
        <v>15816258</v>
      </c>
      <c r="M70" s="902">
        <f>+'Tab. 6A -Drogi'!P587+'Tab. 6C - Ochrona zdrowia'!P18</f>
        <v>0</v>
      </c>
      <c r="N70" s="902">
        <f>+'Tab. 6A -Drogi'!Q587+'Tab. 6C - Ochrona zdrowia'!Q18</f>
        <v>2303997</v>
      </c>
      <c r="O70" s="901">
        <f>+'Tab. 6A -Drogi'!R587+'Tab. 6C - Ochrona zdrowia'!R18</f>
        <v>0</v>
      </c>
      <c r="P70" s="901">
        <f>+'Tab. 6A -Drogi'!S587+'Tab. 6C - Ochrona zdrowia'!S18</f>
        <v>0</v>
      </c>
      <c r="Q70" s="901">
        <f>+'Tab. 6A -Drogi'!T587+'Tab. 6C - Ochrona zdrowia'!T18</f>
        <v>0</v>
      </c>
      <c r="R70" s="901">
        <f>+'Tab. 6A -Drogi'!U587+'Tab. 6C - Ochrona zdrowia'!U18</f>
        <v>0</v>
      </c>
      <c r="S70" s="901">
        <f>+'Tab. 6A -Drogi'!V587+'Tab. 6C - Ochrona zdrowia'!V18</f>
        <v>0</v>
      </c>
      <c r="T70" s="901">
        <f>+'Tab. 6A -Drogi'!W587+'Tab. 6C - Ochrona zdrowia'!W18</f>
        <v>0</v>
      </c>
      <c r="U70" s="2562">
        <f>J70+M70+N70+O70+P70+Q70+R70+S70+T70</f>
        <v>29452281</v>
      </c>
      <c r="V70" s="2538">
        <f t="shared" ref="V70" si="29">SUM(N70:T70)</f>
        <v>2303997</v>
      </c>
      <c r="W70" s="299"/>
      <c r="X70" s="897">
        <f t="shared" si="25"/>
        <v>45268539</v>
      </c>
      <c r="Y70" s="898">
        <f t="shared" si="24"/>
        <v>-15816258</v>
      </c>
    </row>
    <row r="71" spans="1:25" s="899" customFormat="1" ht="14.25" hidden="1" customHeight="1">
      <c r="A71" s="2633" t="s">
        <v>45</v>
      </c>
      <c r="B71" s="901">
        <f>+'Tab. 6D - Oświata'!E78</f>
        <v>0</v>
      </c>
      <c r="C71" s="901">
        <f>+'Tab. 6D - Oświata'!F78</f>
        <v>0</v>
      </c>
      <c r="D71" s="901">
        <f>+'Tab. 6D - Oświata'!G78</f>
        <v>0</v>
      </c>
      <c r="E71" s="901">
        <f>+'Tab. 6D - Oświata'!H78</f>
        <v>0</v>
      </c>
      <c r="F71" s="901">
        <f>+'Tab. 6D - Oświata'!I78</f>
        <v>0</v>
      </c>
      <c r="G71" s="901">
        <f>+'Tab. 6D - Oświata'!J78</f>
        <v>0</v>
      </c>
      <c r="H71" s="901">
        <f>+'Tab. 6D - Oświata'!K78</f>
        <v>0</v>
      </c>
      <c r="I71" s="902">
        <f>+'Tab. 6D - Oświata'!L78</f>
        <v>0</v>
      </c>
      <c r="J71" s="902">
        <v>0</v>
      </c>
      <c r="K71" s="903">
        <f>+'Tab. 6D - Oświata'!N78</f>
        <v>0</v>
      </c>
      <c r="L71" s="902">
        <f>+'Tab. 6D - Oświata'!O78</f>
        <v>0</v>
      </c>
      <c r="M71" s="902">
        <f>+'Tab. 6C - Ochrona zdrowia'!P19</f>
        <v>0</v>
      </c>
      <c r="N71" s="901">
        <f>+'Tab. 6C - Ochrona zdrowia'!Q19</f>
        <v>0</v>
      </c>
      <c r="O71" s="901">
        <f>+'Tab. 6D - Oświata'!R78</f>
        <v>0</v>
      </c>
      <c r="P71" s="901">
        <f>+'Tab. 6D - Oświata'!S78</f>
        <v>0</v>
      </c>
      <c r="Q71" s="901">
        <f>+'Tab. 6D - Oświata'!T78</f>
        <v>0</v>
      </c>
      <c r="R71" s="901">
        <f>+'Tab. 6D - Oświata'!U78</f>
        <v>0</v>
      </c>
      <c r="S71" s="901">
        <f>+'Tab. 6D - Oświata'!V78</f>
        <v>0</v>
      </c>
      <c r="T71" s="901">
        <f>+'Tab. 6D - Oświata'!W78</f>
        <v>0</v>
      </c>
      <c r="U71" s="2632">
        <f t="shared" ref="U71" si="30">J71+L71+M71+N71+O71+P71+Q71+R71+S71+T71</f>
        <v>0</v>
      </c>
      <c r="V71" s="2634">
        <v>0</v>
      </c>
      <c r="W71" s="896"/>
      <c r="X71" s="897">
        <f t="shared" si="25"/>
        <v>0</v>
      </c>
      <c r="Y71" s="898">
        <f t="shared" si="24"/>
        <v>0</v>
      </c>
    </row>
    <row r="72" spans="1:25" s="899" customFormat="1" ht="15.75" customHeight="1">
      <c r="A72" s="900" t="s">
        <v>25</v>
      </c>
      <c r="B72" s="901">
        <f>+'Tab. 6G - Roln i ochrona środ.'!E187</f>
        <v>0</v>
      </c>
      <c r="C72" s="901">
        <f>+'Tab. 6G - Roln i ochrona środ.'!F187</f>
        <v>0</v>
      </c>
      <c r="D72" s="901">
        <f>+'Tab. 6G - Roln i ochrona środ.'!G187</f>
        <v>0</v>
      </c>
      <c r="E72" s="901">
        <f>+'Tab. 6G - Roln i ochrona środ.'!H187</f>
        <v>0</v>
      </c>
      <c r="F72" s="901">
        <f>+'Tab. 6G - Roln i ochrona środ.'!I187</f>
        <v>0</v>
      </c>
      <c r="G72" s="901">
        <f>+'Tab. 6G - Roln i ochrona środ.'!J187</f>
        <v>0</v>
      </c>
      <c r="H72" s="902">
        <f>+'Tab. 6G - Roln i ochrona środ.'!K187</f>
        <v>0</v>
      </c>
      <c r="I72" s="901">
        <f>+'Tab. 6G - Roln i ochrona środ.'!L187</f>
        <v>0</v>
      </c>
      <c r="J72" s="901">
        <f>+'Tab. 6G - Roln i ochrona środ.'!M187+'Tab. 6E - Administracja'!M256</f>
        <v>0</v>
      </c>
      <c r="K72" s="901">
        <f>+'Tab. 6G - Roln i ochrona środ.'!N187+'Tab. 6E - Administracja'!N256</f>
        <v>0</v>
      </c>
      <c r="L72" s="901">
        <f>+'Tab. 6G - Roln i ochrona środ.'!O187+'Tab. 6E - Administracja'!O256</f>
        <v>0</v>
      </c>
      <c r="M72" s="901">
        <f>+'Tab. 6E - Administracja'!P240</f>
        <v>0</v>
      </c>
      <c r="N72" s="902">
        <f>'Tab. 6G - Roln i ochrona środ.'!Q187</f>
        <v>27618240</v>
      </c>
      <c r="O72" s="902">
        <f>'Tab. 6G - Roln i ochrona środ.'!R187</f>
        <v>18864240</v>
      </c>
      <c r="P72" s="902">
        <f>'Tab. 6G - Roln i ochrona środ.'!S187</f>
        <v>36547360</v>
      </c>
      <c r="Q72" s="902">
        <f>'Tab. 6G - Roln i ochrona środ.'!T187</f>
        <v>20384000</v>
      </c>
      <c r="R72" s="902">
        <f>'Tab. 6G - Roln i ochrona środ.'!U187</f>
        <v>40060800</v>
      </c>
      <c r="S72" s="902">
        <f>'Tab. 6G - Roln i ochrona środ.'!V187</f>
        <v>586160</v>
      </c>
      <c r="T72" s="901">
        <f>'Tab. 6G - Roln i ochrona środ.'!W187</f>
        <v>0</v>
      </c>
      <c r="U72" s="902">
        <f>J72+L72+M72+N72+O72+P72+Q72+R72+S72+T72</f>
        <v>144060800</v>
      </c>
      <c r="V72" s="2538">
        <f>SUM(M72:T72)</f>
        <v>144060800</v>
      </c>
      <c r="W72" s="299"/>
      <c r="X72" s="897">
        <f t="shared" si="25"/>
        <v>144060800</v>
      </c>
      <c r="Y72" s="898">
        <f t="shared" si="24"/>
        <v>0</v>
      </c>
    </row>
    <row r="73" spans="1:25" s="899" customFormat="1" ht="18" customHeight="1">
      <c r="A73" s="890" t="s">
        <v>29</v>
      </c>
      <c r="B73" s="891">
        <f t="shared" ref="B73:T73" si="31">SUM(B74:B74)</f>
        <v>0</v>
      </c>
      <c r="C73" s="891">
        <f t="shared" si="31"/>
        <v>0</v>
      </c>
      <c r="D73" s="891">
        <f t="shared" si="31"/>
        <v>0</v>
      </c>
      <c r="E73" s="891">
        <f t="shared" si="31"/>
        <v>0</v>
      </c>
      <c r="F73" s="892">
        <f t="shared" si="31"/>
        <v>15578755</v>
      </c>
      <c r="G73" s="892">
        <f t="shared" si="31"/>
        <v>8230447</v>
      </c>
      <c r="H73" s="892">
        <f t="shared" si="31"/>
        <v>1806384</v>
      </c>
      <c r="I73" s="892">
        <f t="shared" si="31"/>
        <v>2630350</v>
      </c>
      <c r="J73" s="893">
        <f t="shared" si="31"/>
        <v>0</v>
      </c>
      <c r="K73" s="2338">
        <f>+K74</f>
        <v>19927467</v>
      </c>
      <c r="L73" s="893">
        <f>+L74</f>
        <v>27276555</v>
      </c>
      <c r="M73" s="893">
        <f t="shared" si="31"/>
        <v>0</v>
      </c>
      <c r="N73" s="892">
        <f t="shared" si="31"/>
        <v>22355</v>
      </c>
      <c r="O73" s="892">
        <f t="shared" si="31"/>
        <v>11983650</v>
      </c>
      <c r="P73" s="892">
        <f t="shared" si="31"/>
        <v>20400000</v>
      </c>
      <c r="Q73" s="892">
        <f t="shared" si="31"/>
        <v>11942500</v>
      </c>
      <c r="R73" s="892">
        <f t="shared" si="31"/>
        <v>8500000</v>
      </c>
      <c r="S73" s="892">
        <f t="shared" si="31"/>
        <v>10092500</v>
      </c>
      <c r="T73" s="893">
        <f t="shared" si="31"/>
        <v>0</v>
      </c>
      <c r="U73" s="894">
        <f>+U74</f>
        <v>62941005</v>
      </c>
      <c r="V73" s="895">
        <v>0</v>
      </c>
      <c r="W73" s="896"/>
      <c r="X73" s="897">
        <f t="shared" si="25"/>
        <v>90217560</v>
      </c>
      <c r="Y73" s="898">
        <f t="shared" si="24"/>
        <v>-27276555</v>
      </c>
    </row>
    <row r="74" spans="1:25" s="899" customFormat="1" ht="16.5" customHeight="1">
      <c r="A74" s="900" t="s">
        <v>46</v>
      </c>
      <c r="B74" s="902">
        <f>+'Tab. 6D - Oświata'!E82+'Tab. 6F - Kultura'!E16+'Tab. 6C - Ochrona zdrowia'!E22</f>
        <v>0</v>
      </c>
      <c r="C74" s="902">
        <f>+'Tab. 6D - Oświata'!F82+'Tab. 6F - Kultura'!F16+'Tab. 6C - Ochrona zdrowia'!F22</f>
        <v>0</v>
      </c>
      <c r="D74" s="902">
        <f>+'Tab. 6D - Oświata'!G82+'Tab. 6F - Kultura'!G16+'Tab. 6C - Ochrona zdrowia'!G22</f>
        <v>0</v>
      </c>
      <c r="E74" s="902">
        <f>+'Tab. 6D - Oświata'!H82+'Tab. 6F - Kultura'!H16+'Tab. 6C - Ochrona zdrowia'!H22</f>
        <v>0</v>
      </c>
      <c r="F74" s="902">
        <f>+'Tab. 6D - Oświata'!I82+'Tab. 6F - Kultura'!I16+'Tab. 6C - Ochrona zdrowia'!I22</f>
        <v>15578755</v>
      </c>
      <c r="G74" s="902">
        <f>+'Tab. 6D - Oświata'!J82+'Tab. 6F - Kultura'!J16+'Tab. 6C - Ochrona zdrowia'!J22</f>
        <v>8230447</v>
      </c>
      <c r="H74" s="902">
        <f>+'Tab. 6D - Oświata'!K82+'Tab. 6F - Kultura'!K16+'Tab. 6C - Ochrona zdrowia'!K22</f>
        <v>1806384</v>
      </c>
      <c r="I74" s="902">
        <f>+'Tab. 6D - Oświata'!L82+'Tab. 6F - Kultura'!L16+'Tab. 6C - Ochrona zdrowia'!L22</f>
        <v>2630350</v>
      </c>
      <c r="J74" s="901">
        <f>+'Tab. 6D - Oświata'!M82+'Tab. 6F - Kultura'!M16+'Tab. 6C - Ochrona zdrowia'!M22</f>
        <v>0</v>
      </c>
      <c r="K74" s="2635">
        <f>+'Tab. 6D - Oświata'!N82+'Tab. 6F - Kultura'!N16+'Tab. 6C - Ochrona zdrowia'!N22</f>
        <v>19927467</v>
      </c>
      <c r="L74" s="901">
        <f>+'Tab. 6D - Oświata'!O82+'Tab. 6F - Kultura'!O16+'Tab. 6C - Ochrona zdrowia'!O22</f>
        <v>27276555</v>
      </c>
      <c r="M74" s="901">
        <f>+'Tab. 6D - Oświata'!P82+'Tab. 6F - Kultura'!P16+'Tab. 6C - Ochrona zdrowia'!P22</f>
        <v>0</v>
      </c>
      <c r="N74" s="902">
        <f>+'Tab. 6D - Oświata'!Q82+'Tab. 6F - Kultura'!Q16+'Tab. 6C - Ochrona zdrowia'!Q22</f>
        <v>22355</v>
      </c>
      <c r="O74" s="902">
        <f>+'Tab. 6D - Oświata'!R82+'Tab. 6F - Kultura'!R16+'Tab. 6C - Ochrona zdrowia'!R22</f>
        <v>11983650</v>
      </c>
      <c r="P74" s="902">
        <f>+'Tab. 6D - Oświata'!S82+'Tab. 6F - Kultura'!S16+'Tab. 6C - Ochrona zdrowia'!S22</f>
        <v>20400000</v>
      </c>
      <c r="Q74" s="902">
        <f>+'Tab. 6D - Oświata'!T82+'Tab. 6F - Kultura'!T16+'Tab. 6C - Ochrona zdrowia'!T22</f>
        <v>11942500</v>
      </c>
      <c r="R74" s="902">
        <f>+'Tab. 6D - Oświata'!U82+'Tab. 6F - Kultura'!U16+'Tab. 6C - Ochrona zdrowia'!U22</f>
        <v>8500000</v>
      </c>
      <c r="S74" s="902">
        <f>+'Tab. 6D - Oświata'!V82+'Tab. 6F - Kultura'!V16+'Tab. 6C - Ochrona zdrowia'!V22</f>
        <v>10092500</v>
      </c>
      <c r="T74" s="901">
        <f>+'Tab. 6D - Oświata'!W82+'Tab. 6F - Kultura'!W16+'Tab. 6C - Ochrona zdrowia'!W22</f>
        <v>0</v>
      </c>
      <c r="U74" s="2562">
        <f>J74+M74+N74+O74+P74+Q74+R74+S74+T74</f>
        <v>62941005</v>
      </c>
      <c r="V74" s="2573">
        <v>0</v>
      </c>
      <c r="W74" s="896"/>
      <c r="X74" s="897">
        <f t="shared" si="25"/>
        <v>90217560</v>
      </c>
      <c r="Y74" s="898">
        <f t="shared" si="24"/>
        <v>-27276555</v>
      </c>
    </row>
    <row r="75" spans="1:25" s="2552" customFormat="1" ht="18" customHeight="1">
      <c r="A75" s="2546" t="s">
        <v>33</v>
      </c>
      <c r="B75" s="2636" t="e">
        <f t="shared" ref="B75:U75" si="32">+B76+B82</f>
        <v>#REF!</v>
      </c>
      <c r="C75" s="2637" t="e">
        <f t="shared" si="32"/>
        <v>#REF!</v>
      </c>
      <c r="D75" s="2637" t="e">
        <f t="shared" si="32"/>
        <v>#REF!</v>
      </c>
      <c r="E75" s="2637" t="e">
        <f t="shared" si="32"/>
        <v>#REF!</v>
      </c>
      <c r="F75" s="2183" t="e">
        <f t="shared" si="32"/>
        <v>#REF!</v>
      </c>
      <c r="G75" s="2183" t="e">
        <f t="shared" si="32"/>
        <v>#REF!</v>
      </c>
      <c r="H75" s="2183" t="e">
        <f t="shared" si="32"/>
        <v>#REF!</v>
      </c>
      <c r="I75" s="2183">
        <f>+I76+I82</f>
        <v>3398605</v>
      </c>
      <c r="J75" s="2183">
        <f>+J76+J82</f>
        <v>49852608</v>
      </c>
      <c r="K75" s="2637">
        <f>+K76+K82</f>
        <v>18126910</v>
      </c>
      <c r="L75" s="2637">
        <f t="shared" si="32"/>
        <v>50803176</v>
      </c>
      <c r="M75" s="2183">
        <f t="shared" si="32"/>
        <v>14212618</v>
      </c>
      <c r="N75" s="2183">
        <f t="shared" ref="N75:Q75" si="33">+N76+N82</f>
        <v>43692386</v>
      </c>
      <c r="O75" s="2183">
        <f t="shared" si="33"/>
        <v>44703547</v>
      </c>
      <c r="P75" s="2183">
        <f t="shared" si="33"/>
        <v>74947360</v>
      </c>
      <c r="Q75" s="2183">
        <f t="shared" si="33"/>
        <v>48326500</v>
      </c>
      <c r="R75" s="2183">
        <f t="shared" ref="R75:T75" si="34">+R76+R82</f>
        <v>50560800</v>
      </c>
      <c r="S75" s="2183">
        <f t="shared" si="34"/>
        <v>12329389</v>
      </c>
      <c r="T75" s="2183">
        <f t="shared" si="34"/>
        <v>0</v>
      </c>
      <c r="U75" s="2638">
        <f t="shared" si="32"/>
        <v>338625208</v>
      </c>
      <c r="V75" s="3591" t="s">
        <v>34</v>
      </c>
      <c r="W75" s="2606"/>
    </row>
    <row r="76" spans="1:25" s="899" customFormat="1" ht="15" customHeight="1">
      <c r="A76" s="890" t="s">
        <v>35</v>
      </c>
      <c r="B76" s="2184" t="e">
        <f t="shared" ref="B76:M76" si="35">SUM(B77:B81)</f>
        <v>#REF!</v>
      </c>
      <c r="C76" s="2184" t="e">
        <f t="shared" si="35"/>
        <v>#REF!</v>
      </c>
      <c r="D76" s="2184" t="e">
        <f t="shared" si="35"/>
        <v>#REF!</v>
      </c>
      <c r="E76" s="2184" t="e">
        <f t="shared" si="35"/>
        <v>#REF!</v>
      </c>
      <c r="F76" s="2184" t="e">
        <f t="shared" si="35"/>
        <v>#REF!</v>
      </c>
      <c r="G76" s="2184" t="e">
        <f t="shared" si="35"/>
        <v>#REF!</v>
      </c>
      <c r="H76" s="2184" t="e">
        <f t="shared" si="35"/>
        <v>#REF!</v>
      </c>
      <c r="I76" s="2184">
        <f>SUM(I77:I81)</f>
        <v>1088671</v>
      </c>
      <c r="J76" s="2184">
        <f>SUM(J77:J81)</f>
        <v>49852608</v>
      </c>
      <c r="K76" s="2574">
        <f>SUM(K77:K81)</f>
        <v>11373643</v>
      </c>
      <c r="L76" s="892">
        <f t="shared" si="35"/>
        <v>28061104</v>
      </c>
      <c r="M76" s="2184">
        <f t="shared" si="35"/>
        <v>14212618</v>
      </c>
      <c r="N76" s="2184">
        <f t="shared" ref="N76:Q76" si="36">SUM(N77:N81)</f>
        <v>43670031</v>
      </c>
      <c r="O76" s="2184">
        <f t="shared" si="36"/>
        <v>32719897</v>
      </c>
      <c r="P76" s="2184">
        <f t="shared" si="36"/>
        <v>54547360</v>
      </c>
      <c r="Q76" s="2184">
        <f t="shared" si="36"/>
        <v>36384000</v>
      </c>
      <c r="R76" s="2184">
        <f t="shared" ref="R76:T76" si="37">SUM(R77:R81)</f>
        <v>42060800</v>
      </c>
      <c r="S76" s="2184">
        <f t="shared" si="37"/>
        <v>2236889</v>
      </c>
      <c r="T76" s="2184">
        <f t="shared" si="37"/>
        <v>0</v>
      </c>
      <c r="U76" s="2582">
        <f>SUM(U77:U81)</f>
        <v>275684203</v>
      </c>
      <c r="V76" s="3589"/>
      <c r="W76" s="896" t="s">
        <v>303</v>
      </c>
    </row>
    <row r="77" spans="1:25" s="899" customFormat="1" ht="15.75" customHeight="1">
      <c r="A77" s="900" t="s">
        <v>24</v>
      </c>
      <c r="B77" s="2639">
        <f>+'Tab. 6A -Drogi'!E592+'Tab. 6C - Ochrona zdrowia'!E25</f>
        <v>0</v>
      </c>
      <c r="C77" s="2639">
        <f>+'Tab. 6A -Drogi'!F592+'Tab. 6C - Ochrona zdrowia'!F25</f>
        <v>0</v>
      </c>
      <c r="D77" s="2639">
        <f>+'Tab. 6A -Drogi'!G592+'Tab. 6C - Ochrona zdrowia'!G25</f>
        <v>0</v>
      </c>
      <c r="E77" s="2639">
        <f>+'Tab. 6A -Drogi'!H592+'Tab. 6C - Ochrona zdrowia'!H25</f>
        <v>0</v>
      </c>
      <c r="F77" s="2639">
        <f>+'Tab. 6A -Drogi'!I592+'Tab. 6C - Ochrona zdrowia'!I25</f>
        <v>0</v>
      </c>
      <c r="G77" s="334">
        <f>+'Tab. 6A -Drogi'!J592+'Tab. 6C - Ochrona zdrowia'!J25</f>
        <v>8065000</v>
      </c>
      <c r="H77" s="334">
        <f>+'Tab. 6A -Drogi'!K592+'Tab. 6C - Ochrona zdrowia'!K25</f>
        <v>1854955</v>
      </c>
      <c r="I77" s="334">
        <f>+'Tab. 6A -Drogi'!L592+'Tab. 6C - Ochrona zdrowia'!L25</f>
        <v>0</v>
      </c>
      <c r="J77" s="2185">
        <f>+'Tab. 6C - Ochrona zdrowia'!M25+'Tab. 6A -Drogi'!M593</f>
        <v>27148284</v>
      </c>
      <c r="K77" s="334">
        <f>+'Tab. 6C - Ochrona zdrowia'!N25+'Tab. 6A -Drogi'!N593</f>
        <v>8487163</v>
      </c>
      <c r="L77" s="334">
        <f>+'Tab. 6C - Ochrona zdrowia'!O25+'Tab. 6A -Drogi'!O593</f>
        <v>15816258</v>
      </c>
      <c r="M77" s="334">
        <f>+'Tab. 6C - Ochrona zdrowia'!P25+'Tab. 6A -Drogi'!P593</f>
        <v>0</v>
      </c>
      <c r="N77" s="334">
        <f>+'Tab. 6C - Ochrona zdrowia'!Q25+'Tab. 6A -Drogi'!Q593</f>
        <v>2303997</v>
      </c>
      <c r="O77" s="2639">
        <f>+'Tab. 6C - Ochrona zdrowia'!R25+'Tab. 6A -Drogi'!R593</f>
        <v>0</v>
      </c>
      <c r="P77" s="2639">
        <f>+'Tab. 6C - Ochrona zdrowia'!S25+'Tab. 6A -Drogi'!S593</f>
        <v>0</v>
      </c>
      <c r="Q77" s="2639">
        <f>+'Tab. 6C - Ochrona zdrowia'!T25+'Tab. 6A -Drogi'!T593</f>
        <v>0</v>
      </c>
      <c r="R77" s="2639">
        <f>+'Tab. 6C - Ochrona zdrowia'!U25+'Tab. 6A -Drogi'!U593</f>
        <v>0</v>
      </c>
      <c r="S77" s="2639">
        <f>+'Tab. 6C - Ochrona zdrowia'!V25+'Tab. 6A -Drogi'!V593</f>
        <v>0</v>
      </c>
      <c r="T77" s="2639">
        <f>+'Tab. 6C - Ochrona zdrowia'!W25+'Tab. 6A -Drogi'!W593</f>
        <v>0</v>
      </c>
      <c r="U77" s="2562">
        <f>J77+M77+N77+O77+P77+Q77+R77+S77+T77</f>
        <v>29452281</v>
      </c>
      <c r="V77" s="3589"/>
      <c r="W77" s="896">
        <f>U77-U70</f>
        <v>0</v>
      </c>
    </row>
    <row r="78" spans="1:25" s="899" customFormat="1" ht="15" customHeight="1">
      <c r="A78" s="900" t="s">
        <v>26</v>
      </c>
      <c r="B78" s="334">
        <f>+'Tab. 6A -Drogi'!E594+'Tab. 6C - Ochrona zdrowia'!E26</f>
        <v>279786</v>
      </c>
      <c r="C78" s="334">
        <f>+'Tab. 6A -Drogi'!F594+'Tab. 6C - Ochrona zdrowia'!F26</f>
        <v>0</v>
      </c>
      <c r="D78" s="334">
        <f>+'Tab. 6A -Drogi'!G594+'Tab. 6C - Ochrona zdrowia'!G26</f>
        <v>0</v>
      </c>
      <c r="E78" s="334">
        <f>+'Tab. 6A -Drogi'!H594+'Tab. 6C - Ochrona zdrowia'!H26</f>
        <v>279786</v>
      </c>
      <c r="F78" s="334">
        <f>+'Tab. 6A -Drogi'!I594+'Tab. 6C - Ochrona zdrowia'!I26</f>
        <v>2494494</v>
      </c>
      <c r="G78" s="334">
        <f>+'Tab. 6A -Drogi'!J594+'Tab. 6C - Ochrona zdrowia'!J26</f>
        <v>2145000</v>
      </c>
      <c r="H78" s="334">
        <f>+'Tab. 6A -Drogi'!K594+'Tab. 6C - Ochrona zdrowia'!K26</f>
        <v>2124947</v>
      </c>
      <c r="I78" s="334">
        <f>+'Tab. 6A -Drogi'!L594+'Tab. 6C - Ochrona zdrowia'!L26</f>
        <v>728771</v>
      </c>
      <c r="J78" s="2185">
        <f>+'Tab. 6A -Drogi'!M594+'Tab. 6C - Ochrona zdrowia'!M26</f>
        <v>12110791</v>
      </c>
      <c r="K78" s="2561">
        <f>+'Tab. 6A -Drogi'!N594+'Tab. 6C - Ochrona zdrowia'!N26</f>
        <v>2686480</v>
      </c>
      <c r="L78" s="334">
        <f>+'Tab. 6A -Drogi'!O594+'Tab. 6C - Ochrona zdrowia'!O26</f>
        <v>1651313</v>
      </c>
      <c r="M78" s="334">
        <f>+'Tab. 6A -Drogi'!P594+'Tab. 6C - Ochrona zdrowia'!P26</f>
        <v>1627200</v>
      </c>
      <c r="N78" s="334">
        <f>+'Tab. 6A -Drogi'!Q594+'Tab. 6C - Ochrona zdrowia'!Q26</f>
        <v>1397794</v>
      </c>
      <c r="O78" s="2639">
        <f>+'Tab. 6A -Drogi'!R594+'Tab. 6C - Ochrona zdrowia'!R26</f>
        <v>0</v>
      </c>
      <c r="P78" s="2639">
        <f>+'Tab. 6A -Drogi'!S594+'Tab. 6C - Ochrona zdrowia'!S26</f>
        <v>0</v>
      </c>
      <c r="Q78" s="2639">
        <f>+'Tab. 6A -Drogi'!T594+'Tab. 6C - Ochrona zdrowia'!T26</f>
        <v>0</v>
      </c>
      <c r="R78" s="2639">
        <f>+'Tab. 6A -Drogi'!U594+'Tab. 6C - Ochrona zdrowia'!U26</f>
        <v>0</v>
      </c>
      <c r="S78" s="2639">
        <f>+'Tab. 6A -Drogi'!V594+'Tab. 6C - Ochrona zdrowia'!V26</f>
        <v>0</v>
      </c>
      <c r="T78" s="2639">
        <f>+'Tab. 6A -Drogi'!W594+'Tab. 6C - Ochrona zdrowia'!W26</f>
        <v>0</v>
      </c>
      <c r="U78" s="2562">
        <f>J78+M78+N78+O78+P78+Q78+R78+S78+T78</f>
        <v>15135785</v>
      </c>
      <c r="V78" s="3589"/>
      <c r="W78" s="896">
        <f>U78-U69</f>
        <v>0</v>
      </c>
    </row>
    <row r="79" spans="1:25" s="899" customFormat="1" ht="15" hidden="1" customHeight="1">
      <c r="A79" s="900" t="s">
        <v>27</v>
      </c>
      <c r="B79" s="2639" t="e">
        <f>+'Tab. 6A -Drogi'!E595+'Tab. 6G - Roln i ochrona środ.'!E194</f>
        <v>#REF!</v>
      </c>
      <c r="C79" s="334" t="e">
        <f>+'Tab. 6A -Drogi'!F595+'Tab. 6G - Roln i ochrona środ.'!F194</f>
        <v>#REF!</v>
      </c>
      <c r="D79" s="334" t="e">
        <f>+'Tab. 6A -Drogi'!G595+'Tab. 6G - Roln i ochrona środ.'!G194</f>
        <v>#REF!</v>
      </c>
      <c r="E79" s="334" t="e">
        <f>+'Tab. 6A -Drogi'!H595+'Tab. 6G - Roln i ochrona środ.'!H194</f>
        <v>#REF!</v>
      </c>
      <c r="F79" s="2639" t="e">
        <f>+'Tab. 6A -Drogi'!I595+'Tab. 6G - Roln i ochrona środ.'!I194</f>
        <v>#REF!</v>
      </c>
      <c r="G79" s="2639" t="e">
        <f>+'Tab. 6A -Drogi'!J595+'Tab. 6G - Roln i ochrona środ.'!J194</f>
        <v>#REF!</v>
      </c>
      <c r="H79" s="334" t="e">
        <f>+'Tab. 6A -Drogi'!K595+'Tab. 6G - Roln i ochrona środ.'!K194</f>
        <v>#REF!</v>
      </c>
      <c r="I79" s="334">
        <f>+'Tab. 6A -Drogi'!L595+'Tab. 6G - Roln i ochrona środ.'!L194</f>
        <v>0</v>
      </c>
      <c r="J79" s="2185">
        <f>+'Tab. 6A -Drogi'!M595+'Tab. 6G - Roln i ochrona środ.'!M194</f>
        <v>0</v>
      </c>
      <c r="K79" s="2561">
        <f>+'Tab. 6A -Drogi'!N595+'Tab. 6G - Roln i ochrona środ.'!N194+'Tab. 6H - Kultura fiz. i turyst'!N214</f>
        <v>0</v>
      </c>
      <c r="L79" s="2561">
        <f>+'Tab. 6A -Drogi'!O595+'Tab. 6G - Roln i ochrona środ.'!O194+'Tab. 6H - Kultura fiz. i turyst'!O214</f>
        <v>0</v>
      </c>
      <c r="M79" s="334">
        <f>+'Tab. 6A -Drogi'!P595+'Tab. 6G - Roln i ochrona środ.'!P194+'Tab. 6H - Kultura fiz. i turyst'!P214</f>
        <v>0</v>
      </c>
      <c r="N79" s="2639">
        <f>+'Tab. 6A -Drogi'!Q595+'Tab. 6G - Roln i ochrona środ.'!Q194+'Tab. 6H - Kultura fiz. i turyst'!Q214</f>
        <v>0</v>
      </c>
      <c r="O79" s="2639">
        <f>+'Tab. 6A -Drogi'!R595+'Tab. 6G - Roln i ochrona środ.'!R194+'Tab. 6H - Kultura fiz. i turyst'!R214</f>
        <v>0</v>
      </c>
      <c r="P79" s="2639">
        <f>+'Tab. 6A -Drogi'!S595+'Tab. 6G - Roln i ochrona środ.'!S194+'Tab. 6H - Kultura fiz. i turyst'!S214</f>
        <v>0</v>
      </c>
      <c r="Q79" s="2639">
        <f>+'Tab. 6A -Drogi'!T595+'Tab. 6G - Roln i ochrona środ.'!T194+'Tab. 6H - Kultura fiz. i turyst'!T214</f>
        <v>0</v>
      </c>
      <c r="R79" s="2639">
        <f>+'Tab. 6A -Drogi'!U595+'Tab. 6G - Roln i ochrona środ.'!U194+'Tab. 6H - Kultura fiz. i turyst'!U214</f>
        <v>0</v>
      </c>
      <c r="S79" s="2639">
        <f>+'Tab. 6A -Drogi'!V595+'Tab. 6G - Roln i ochrona środ.'!V194+'Tab. 6H - Kultura fiz. i turyst'!V214</f>
        <v>0</v>
      </c>
      <c r="T79" s="2639">
        <f>+'Tab. 6A -Drogi'!W595+'Tab. 6G - Roln i ochrona środ.'!W194+'Tab. 6H - Kultura fiz. i turyst'!W214</f>
        <v>0</v>
      </c>
      <c r="U79" s="2640">
        <f>J79+L79+M79+N79+O79+P79+Q79+R79+S79+T79</f>
        <v>0</v>
      </c>
      <c r="V79" s="3589"/>
      <c r="W79" s="896">
        <f>U79-U66</f>
        <v>0</v>
      </c>
    </row>
    <row r="80" spans="1:25" s="899" customFormat="1" ht="27" customHeight="1">
      <c r="A80" s="2559" t="s">
        <v>268</v>
      </c>
      <c r="B80" s="2563">
        <f>+'Tab. 6F - Kultura'!E19+'Tab. 6D - Oświata'!E86</f>
        <v>0</v>
      </c>
      <c r="C80" s="2560">
        <f>+'Tab. 6F - Kultura'!F19+'Tab. 6D - Oświata'!F86</f>
        <v>0</v>
      </c>
      <c r="D80" s="2560">
        <f>+'Tab. 6F - Kultura'!G19+'Tab. 6D - Oświata'!G86</f>
        <v>0</v>
      </c>
      <c r="E80" s="2560">
        <f>+'Tab. 6F - Kultura'!H19+'Tab. 6D - Oświata'!H86</f>
        <v>0</v>
      </c>
      <c r="F80" s="2560">
        <f>+'Tab. 6F - Kultura'!I19+'Tab. 6D - Oświata'!I86</f>
        <v>101937</v>
      </c>
      <c r="G80" s="2560">
        <f>+'Tab. 6F - Kultura'!J19+'Tab. 6D - Oświata'!J86</f>
        <v>220330</v>
      </c>
      <c r="H80" s="2560">
        <f>+'Tab. 6F - Kultura'!K19+'Tab. 6D - Oświata'!K86</f>
        <v>912952</v>
      </c>
      <c r="I80" s="2560">
        <f>+'Tab. 6F - Kultura'!L19+'Tab. 6D - Oświata'!L86</f>
        <v>359900</v>
      </c>
      <c r="J80" s="2186">
        <f>+'Tab. 6F - Kultura'!M19+'Tab. 6D - Oświata'!M86+'Tab. 6A -Drogi'!M592</f>
        <v>10593533</v>
      </c>
      <c r="K80" s="2560">
        <f>+'Tab. 6F - Kultura'!N19+'Tab. 6D - Oświata'!N86+'Tab. 6A -Drogi'!N592</f>
        <v>0</v>
      </c>
      <c r="L80" s="2560">
        <f>+'Tab. 6F - Kultura'!O19+'Tab. 6D - Oświata'!O86+'Tab. 6A -Drogi'!O592</f>
        <v>10593533</v>
      </c>
      <c r="M80" s="2560">
        <f>+'Tab. 6F - Kultura'!P19+'Tab. 6D - Oświata'!P86+'Tab. 6A -Drogi'!P592</f>
        <v>12585418</v>
      </c>
      <c r="N80" s="2560">
        <f>+'Tab. 6F - Kultura'!Q19+'Tab. 6D - Oświata'!Q86+'Tab. 6A -Drogi'!Q592</f>
        <v>12350000</v>
      </c>
      <c r="O80" s="2560">
        <f>+'Tab. 6F - Kultura'!R19+'Tab. 6D - Oświata'!R86+'Tab. 6A -Drogi'!R592</f>
        <v>13855657</v>
      </c>
      <c r="P80" s="2560">
        <f>+'Tab. 6F - Kultura'!S19+'Tab. 6D - Oświata'!S86+'Tab. 6A -Drogi'!S592</f>
        <v>18000000</v>
      </c>
      <c r="Q80" s="2560">
        <f>+'Tab. 6F - Kultura'!T19+'Tab. 6D - Oświata'!T86+'Tab. 6A -Drogi'!T592</f>
        <v>16000000</v>
      </c>
      <c r="R80" s="2560">
        <f>+'Tab. 6F - Kultura'!U19+'Tab. 6D - Oświata'!U86+'Tab. 6A -Drogi'!U592</f>
        <v>2000000</v>
      </c>
      <c r="S80" s="2560">
        <f>+'Tab. 6F - Kultura'!V19+'Tab. 6D - Oświata'!V86+'Tab. 6A -Drogi'!V592</f>
        <v>1650729</v>
      </c>
      <c r="T80" s="2560">
        <f>+'Tab. 6F - Kultura'!W19+'Tab. 6D - Oświata'!W86+'Tab. 6A -Drogi'!W592</f>
        <v>0</v>
      </c>
      <c r="U80" s="2562">
        <f>J80+M80+N80+O80+P80+Q80+R80+S80+T80</f>
        <v>87035337</v>
      </c>
      <c r="V80" s="3589"/>
      <c r="W80" s="896"/>
    </row>
    <row r="81" spans="1:24" s="899" customFormat="1" ht="15" customHeight="1">
      <c r="A81" s="900" t="s">
        <v>25</v>
      </c>
      <c r="B81" s="2639">
        <f>+'Tab. 6G - Roln i ochrona środ.'!E193</f>
        <v>0</v>
      </c>
      <c r="C81" s="334">
        <f>+'Tab. 6G - Roln i ochrona środ.'!F193</f>
        <v>0</v>
      </c>
      <c r="D81" s="334">
        <f>+'Tab. 6G - Roln i ochrona środ.'!G193</f>
        <v>0</v>
      </c>
      <c r="E81" s="334">
        <f>+'Tab. 6G - Roln i ochrona środ.'!H193</f>
        <v>0</v>
      </c>
      <c r="F81" s="2639">
        <f>+'Tab. 6G - Roln i ochrona środ.'!I193</f>
        <v>0</v>
      </c>
      <c r="G81" s="2639">
        <f>+'Tab. 6G - Roln i ochrona środ.'!J193</f>
        <v>0</v>
      </c>
      <c r="H81" s="334">
        <f>+'Tab. 6G - Roln i ochrona środ.'!K193</f>
        <v>0</v>
      </c>
      <c r="I81" s="2639">
        <f>+'Tab. 6G - Roln i ochrona środ.'!L193</f>
        <v>0</v>
      </c>
      <c r="J81" s="2583">
        <f>+'Tab. 6G - Roln i ochrona środ.'!M193+'Tab. 6E - Administracja'!M259</f>
        <v>0</v>
      </c>
      <c r="K81" s="334">
        <f>+'Tab. 6G - Roln i ochrona środ.'!N193+'Tab. 6E - Administracja'!N259</f>
        <v>200000</v>
      </c>
      <c r="L81" s="334">
        <f>+'Tab. 6G - Roln i ochrona środ.'!O193+'Tab. 6E - Administracja'!O259</f>
        <v>0</v>
      </c>
      <c r="M81" s="2639">
        <f>+'Tab. 6G - Roln i ochrona środ.'!P193</f>
        <v>0</v>
      </c>
      <c r="N81" s="2560">
        <f>+'Tab. 6G - Roln i ochrona środ.'!Q193</f>
        <v>27618240</v>
      </c>
      <c r="O81" s="2560">
        <f>+'Tab. 6G - Roln i ochrona środ.'!R193</f>
        <v>18864240</v>
      </c>
      <c r="P81" s="2560">
        <f>+'Tab. 6G - Roln i ochrona środ.'!S193</f>
        <v>36547360</v>
      </c>
      <c r="Q81" s="2560">
        <f>+'Tab. 6G - Roln i ochrona środ.'!T193</f>
        <v>20384000</v>
      </c>
      <c r="R81" s="2560">
        <f>+'Tab. 6G - Roln i ochrona środ.'!U193</f>
        <v>40060800</v>
      </c>
      <c r="S81" s="2560">
        <f>+'Tab. 6G - Roln i ochrona środ.'!V193</f>
        <v>586160</v>
      </c>
      <c r="T81" s="2639">
        <f>+'Tab. 6G - Roln i ochrona środ.'!W193</f>
        <v>0</v>
      </c>
      <c r="U81" s="2640">
        <f>J81+L81+M81+N81+O81+P81+Q81+R81+S81+T81</f>
        <v>144060800</v>
      </c>
      <c r="V81" s="3589"/>
      <c r="W81" s="896">
        <f>U81-U72</f>
        <v>0</v>
      </c>
    </row>
    <row r="82" spans="1:24" s="899" customFormat="1" ht="14.25" customHeight="1">
      <c r="A82" s="890" t="s">
        <v>29</v>
      </c>
      <c r="B82" s="2641">
        <f t="shared" ref="B82:T82" si="38">SUM(B83:B83)</f>
        <v>0</v>
      </c>
      <c r="C82" s="2187">
        <f t="shared" si="38"/>
        <v>0</v>
      </c>
      <c r="D82" s="2187">
        <f t="shared" si="38"/>
        <v>0</v>
      </c>
      <c r="E82" s="2187">
        <f t="shared" si="38"/>
        <v>0</v>
      </c>
      <c r="F82" s="2187">
        <f t="shared" si="38"/>
        <v>0</v>
      </c>
      <c r="G82" s="2187">
        <f t="shared" si="38"/>
        <v>3720</v>
      </c>
      <c r="H82" s="2187">
        <f t="shared" si="38"/>
        <v>1806384</v>
      </c>
      <c r="I82" s="2187">
        <f t="shared" si="38"/>
        <v>2309934</v>
      </c>
      <c r="J82" s="2187">
        <f t="shared" si="38"/>
        <v>0</v>
      </c>
      <c r="K82" s="2587">
        <f>+K83</f>
        <v>6753267</v>
      </c>
      <c r="L82" s="2588">
        <f>+L83</f>
        <v>22742072</v>
      </c>
      <c r="M82" s="2187">
        <f t="shared" si="38"/>
        <v>0</v>
      </c>
      <c r="N82" s="2642">
        <f t="shared" si="38"/>
        <v>22355</v>
      </c>
      <c r="O82" s="2187">
        <f t="shared" si="38"/>
        <v>11983650</v>
      </c>
      <c r="P82" s="2187">
        <f t="shared" si="38"/>
        <v>20400000</v>
      </c>
      <c r="Q82" s="2187">
        <f t="shared" si="38"/>
        <v>11942500</v>
      </c>
      <c r="R82" s="2187">
        <f t="shared" si="38"/>
        <v>8500000</v>
      </c>
      <c r="S82" s="2187">
        <f t="shared" si="38"/>
        <v>10092500</v>
      </c>
      <c r="T82" s="2187">
        <f t="shared" si="38"/>
        <v>0</v>
      </c>
      <c r="U82" s="2643">
        <f>+U83</f>
        <v>62941005</v>
      </c>
      <c r="V82" s="3589"/>
      <c r="W82" s="896"/>
      <c r="X82" s="899" t="s">
        <v>47</v>
      </c>
    </row>
    <row r="83" spans="1:24" s="899" customFormat="1" ht="15.75" customHeight="1" thickBot="1">
      <c r="A83" s="2644" t="s">
        <v>46</v>
      </c>
      <c r="B83" s="2645">
        <f>+'Tab. 6D - Oświata'!E88+'Tab. 6F - Kultura'!E21+'Tab. 6C - Ochrona zdrowia'!E28</f>
        <v>0</v>
      </c>
      <c r="C83" s="2646">
        <f>+'Tab. 6D - Oświata'!F88+'Tab. 6F - Kultura'!F21+'Tab. 6C - Ochrona zdrowia'!F28</f>
        <v>0</v>
      </c>
      <c r="D83" s="2646">
        <f>+'Tab. 6D - Oświata'!G88+'Tab. 6F - Kultura'!G21+'Tab. 6C - Ochrona zdrowia'!G28</f>
        <v>0</v>
      </c>
      <c r="E83" s="2646">
        <f>+'Tab. 6D - Oświata'!H88+'Tab. 6F - Kultura'!H21+'Tab. 6C - Ochrona zdrowia'!H28</f>
        <v>0</v>
      </c>
      <c r="F83" s="2646">
        <f>+'Tab. 6D - Oświata'!I88+'Tab. 6F - Kultura'!I21+'Tab. 6C - Ochrona zdrowia'!I28</f>
        <v>0</v>
      </c>
      <c r="G83" s="2646">
        <f>+'Tab. 6D - Oświata'!J88+'Tab. 6F - Kultura'!J21+'Tab. 6C - Ochrona zdrowia'!J28</f>
        <v>3720</v>
      </c>
      <c r="H83" s="2646">
        <f>+'Tab. 6D - Oświata'!K88+'Tab. 6F - Kultura'!K21+'Tab. 6C - Ochrona zdrowia'!K28</f>
        <v>1806384</v>
      </c>
      <c r="I83" s="2646">
        <f>+'Tab. 6D - Oświata'!L88+'Tab. 6F - Kultura'!L21+'Tab. 6C - Ochrona zdrowia'!L28</f>
        <v>2309934</v>
      </c>
      <c r="J83" s="2188">
        <f>+'Tab. 6D - Oświata'!M88+'Tab. 6F - Kultura'!M21+'Tab. 6C - Ochrona zdrowia'!M28</f>
        <v>0</v>
      </c>
      <c r="K83" s="2647">
        <f>+'Tab. 6D - Oświata'!N88+'Tab. 6F - Kultura'!N21+'Tab. 6C - Ochrona zdrowia'!N28</f>
        <v>6753267</v>
      </c>
      <c r="L83" s="2646">
        <f>+'Tab. 6D - Oświata'!O88+'Tab. 6F - Kultura'!O21+'Tab. 6C - Ochrona zdrowia'!O28</f>
        <v>22742072</v>
      </c>
      <c r="M83" s="2646">
        <f>+'Tab. 6D - Oświata'!P88+'Tab. 6F - Kultura'!P21+'Tab. 6C - Ochrona zdrowia'!P28</f>
        <v>0</v>
      </c>
      <c r="N83" s="2645">
        <f>+'Tab. 6D - Oświata'!Q88+'Tab. 6F - Kultura'!Q21+'Tab. 6C - Ochrona zdrowia'!Q28</f>
        <v>22355</v>
      </c>
      <c r="O83" s="2646">
        <f>+'Tab. 6D - Oświata'!R88+'Tab. 6F - Kultura'!R21+'Tab. 6C - Ochrona zdrowia'!R28</f>
        <v>11983650</v>
      </c>
      <c r="P83" s="2646">
        <f>+'Tab. 6D - Oświata'!S88+'Tab. 6F - Kultura'!S21+'Tab. 6C - Ochrona zdrowia'!S28</f>
        <v>20400000</v>
      </c>
      <c r="Q83" s="2646">
        <f>+'Tab. 6D - Oświata'!T88+'Tab. 6F - Kultura'!T21+'Tab. 6C - Ochrona zdrowia'!T28</f>
        <v>11942500</v>
      </c>
      <c r="R83" s="2646">
        <f>+'Tab. 6D - Oświata'!U88+'Tab. 6F - Kultura'!U21+'Tab. 6C - Ochrona zdrowia'!U28</f>
        <v>8500000</v>
      </c>
      <c r="S83" s="2646">
        <f>+'Tab. 6D - Oświata'!V88+'Tab. 6F - Kultura'!V21+'Tab. 6C - Ochrona zdrowia'!V28</f>
        <v>10092500</v>
      </c>
      <c r="T83" s="2646">
        <f>+'Tab. 6D - Oświata'!W88+'Tab. 6F - Kultura'!W21+'Tab. 6C - Ochrona zdrowia'!W28</f>
        <v>0</v>
      </c>
      <c r="U83" s="2648">
        <f>J83+M83+N83+O83+P83+Q83+R83+S83+T83</f>
        <v>62941005</v>
      </c>
      <c r="V83" s="3592"/>
      <c r="W83" s="896"/>
      <c r="X83" s="2584"/>
    </row>
    <row r="84" spans="1:24" s="899" customFormat="1" ht="9.75" customHeight="1" thickBot="1">
      <c r="A84" s="2613"/>
      <c r="B84" s="2545"/>
      <c r="C84" s="2545"/>
      <c r="D84" s="2545"/>
      <c r="E84" s="2545"/>
      <c r="F84" s="2595"/>
      <c r="G84" s="2545"/>
      <c r="H84" s="2545"/>
      <c r="I84" s="2545"/>
      <c r="J84" s="2545"/>
      <c r="K84" s="2596"/>
      <c r="L84" s="2545"/>
      <c r="M84" s="2545"/>
      <c r="N84" s="2545"/>
      <c r="O84" s="2545"/>
      <c r="P84" s="2545"/>
      <c r="Q84" s="2545"/>
      <c r="R84" s="2597"/>
      <c r="S84" s="2595"/>
      <c r="T84" s="2595"/>
      <c r="U84" s="2599"/>
      <c r="V84" s="2599"/>
      <c r="W84" s="896"/>
    </row>
    <row r="85" spans="1:24" s="2552" customFormat="1" ht="18" customHeight="1" thickBot="1">
      <c r="A85" s="2649" t="s">
        <v>38</v>
      </c>
      <c r="B85" s="2650" t="e">
        <f t="shared" ref="B85:O85" si="39">+B63-B71-B73-B67</f>
        <v>#REF!</v>
      </c>
      <c r="C85" s="2651" t="e">
        <f t="shared" si="39"/>
        <v>#REF!</v>
      </c>
      <c r="D85" s="2651" t="e">
        <f t="shared" si="39"/>
        <v>#REF!</v>
      </c>
      <c r="E85" s="2651" t="e">
        <f t="shared" si="39"/>
        <v>#REF!</v>
      </c>
      <c r="F85" s="2650" t="e">
        <f t="shared" si="39"/>
        <v>#REF!</v>
      </c>
      <c r="G85" s="2650" t="e">
        <f t="shared" si="39"/>
        <v>#REF!</v>
      </c>
      <c r="H85" s="2650" t="e">
        <f t="shared" si="39"/>
        <v>#REF!</v>
      </c>
      <c r="I85" s="2650">
        <f t="shared" si="39"/>
        <v>94240371</v>
      </c>
      <c r="J85" s="2650">
        <f>+J63-J71-J73-J67</f>
        <v>364297612</v>
      </c>
      <c r="K85" s="2603">
        <f>+K63-K71-K73-K67</f>
        <v>117387600</v>
      </c>
      <c r="L85" s="2651">
        <f>+L63-L71-L73-L67</f>
        <v>123120217</v>
      </c>
      <c r="M85" s="2650">
        <f>+M63-M71-M73-M67</f>
        <v>107441573</v>
      </c>
      <c r="N85" s="2650">
        <f t="shared" si="39"/>
        <v>215679320</v>
      </c>
      <c r="O85" s="2652">
        <f t="shared" si="39"/>
        <v>205350778</v>
      </c>
      <c r="P85" s="2652">
        <f>+P63-P71-P73-P67</f>
        <v>204307720</v>
      </c>
      <c r="Q85" s="2652">
        <f>+Q63-Q71-Q73-Q67</f>
        <v>173171470</v>
      </c>
      <c r="R85" s="2652">
        <f>+R63-R71-R73-R67</f>
        <v>47871082</v>
      </c>
      <c r="S85" s="2650">
        <f>+S63-S71-S73-S67</f>
        <v>6317957</v>
      </c>
      <c r="T85" s="2650">
        <f>+T63-T71-T73-T67</f>
        <v>4270868</v>
      </c>
      <c r="U85" s="2653">
        <f>SUM(M85:T85)+J85+'Tab. 6C - Ochrona zdrowia'!Z130+'Tab. 6C - Ochrona zdrowia'!Z135</f>
        <v>1363015827</v>
      </c>
      <c r="V85" s="2654">
        <f>+N85+O85+P85+Q85+R85+S85+T85+'Tab. 6C - Ochrona zdrowia'!Z130+'Tab. 6C - Ochrona zdrowia'!Z135</f>
        <v>891276642</v>
      </c>
      <c r="W85" s="2606">
        <f>M85+N85+O85+P85+Q85+R85+S85+T85+W86-V85</f>
        <v>107441573</v>
      </c>
      <c r="X85" s="2607">
        <f>U65+U66+U68+U69+U70+U72-U85</f>
        <v>0</v>
      </c>
    </row>
    <row r="86" spans="1:24" s="2552" customFormat="1" ht="18" customHeight="1" thickBot="1">
      <c r="A86" s="2649" t="s">
        <v>39</v>
      </c>
      <c r="B86" s="2655" t="e">
        <f t="shared" ref="B86:I86" si="40">+B75-B82</f>
        <v>#REF!</v>
      </c>
      <c r="C86" s="2656" t="e">
        <f t="shared" si="40"/>
        <v>#REF!</v>
      </c>
      <c r="D86" s="2656" t="e">
        <f t="shared" si="40"/>
        <v>#REF!</v>
      </c>
      <c r="E86" s="2656" t="e">
        <f t="shared" si="40"/>
        <v>#REF!</v>
      </c>
      <c r="F86" s="2655" t="e">
        <f t="shared" si="40"/>
        <v>#REF!</v>
      </c>
      <c r="G86" s="2655" t="e">
        <f t="shared" si="40"/>
        <v>#REF!</v>
      </c>
      <c r="H86" s="2655" t="e">
        <f t="shared" si="40"/>
        <v>#REF!</v>
      </c>
      <c r="I86" s="2655">
        <f t="shared" si="40"/>
        <v>1088671</v>
      </c>
      <c r="J86" s="2655">
        <f>+J75-J82</f>
        <v>49852608</v>
      </c>
      <c r="K86" s="2610">
        <f>+K75-K83</f>
        <v>11373643</v>
      </c>
      <c r="L86" s="2656">
        <f>+L75-L83</f>
        <v>28061104</v>
      </c>
      <c r="M86" s="2655">
        <f t="shared" ref="M86:T86" si="41">+M75-M82</f>
        <v>14212618</v>
      </c>
      <c r="N86" s="2655">
        <f t="shared" si="41"/>
        <v>43670031</v>
      </c>
      <c r="O86" s="2657">
        <f t="shared" si="41"/>
        <v>32719897</v>
      </c>
      <c r="P86" s="2657">
        <f t="shared" si="41"/>
        <v>54547360</v>
      </c>
      <c r="Q86" s="2657">
        <f t="shared" si="41"/>
        <v>36384000</v>
      </c>
      <c r="R86" s="2657">
        <f t="shared" si="41"/>
        <v>42060800</v>
      </c>
      <c r="S86" s="2655">
        <f t="shared" si="41"/>
        <v>2236889</v>
      </c>
      <c r="T86" s="2655">
        <f t="shared" si="41"/>
        <v>0</v>
      </c>
      <c r="U86" s="2653">
        <f>SUM(M86:T86)+J86</f>
        <v>275684203</v>
      </c>
      <c r="V86" s="2658" t="s">
        <v>34</v>
      </c>
      <c r="W86" s="2606">
        <f>'Tab. 6C - Ochrona zdrowia'!Z120+'Tab. 6C - Ochrona zdrowia'!Z130+'Tab. 6C - Ochrona zdrowia'!Z135</f>
        <v>34307447</v>
      </c>
      <c r="X86" s="2552" t="s">
        <v>307</v>
      </c>
    </row>
    <row r="87" spans="1:24" s="2664" customFormat="1" ht="15" customHeight="1" thickBot="1">
      <c r="A87" s="2659"/>
      <c r="B87" s="2660" t="e">
        <f t="shared" ref="B87:I87" si="42">+B65+B66+B68+B69+B70+B72-B59</f>
        <v>#REF!</v>
      </c>
      <c r="C87" s="2660" t="e">
        <f t="shared" si="42"/>
        <v>#REF!</v>
      </c>
      <c r="D87" s="2660" t="e">
        <f t="shared" si="42"/>
        <v>#REF!</v>
      </c>
      <c r="E87" s="2660" t="e">
        <f t="shared" si="42"/>
        <v>#REF!</v>
      </c>
      <c r="F87" s="2660" t="e">
        <f t="shared" si="42"/>
        <v>#REF!</v>
      </c>
      <c r="G87" s="2660" t="e">
        <f t="shared" si="42"/>
        <v>#REF!</v>
      </c>
      <c r="H87" s="2660" t="e">
        <f t="shared" si="42"/>
        <v>#REF!</v>
      </c>
      <c r="I87" s="2660">
        <f t="shared" si="42"/>
        <v>0</v>
      </c>
      <c r="J87" s="2660"/>
      <c r="K87" s="2661"/>
      <c r="L87" s="2662"/>
      <c r="M87" s="2660"/>
      <c r="N87" s="2660"/>
      <c r="O87" s="2660"/>
      <c r="P87" s="2660"/>
      <c r="Q87" s="2660"/>
      <c r="R87" s="2660"/>
      <c r="S87" s="2660"/>
      <c r="T87" s="2660"/>
      <c r="U87" s="2660"/>
      <c r="V87" s="2660"/>
      <c r="W87" s="2663"/>
    </row>
    <row r="88" spans="1:24" s="2664" customFormat="1" ht="18" customHeight="1" thickBot="1">
      <c r="A88" s="2665" t="s">
        <v>48</v>
      </c>
      <c r="B88" s="2666">
        <f>B89+B90</f>
        <v>11284352</v>
      </c>
      <c r="C88" s="2666">
        <f t="shared" ref="C88:O88" si="43">C89+C90</f>
        <v>46426</v>
      </c>
      <c r="D88" s="2666">
        <f t="shared" si="43"/>
        <v>5432437</v>
      </c>
      <c r="E88" s="2666">
        <f t="shared" si="43"/>
        <v>5577389.0600000005</v>
      </c>
      <c r="F88" s="2666">
        <f t="shared" si="43"/>
        <v>12371050.300000001</v>
      </c>
      <c r="G88" s="2666">
        <f t="shared" si="43"/>
        <v>40848861.299999997</v>
      </c>
      <c r="H88" s="2666">
        <f t="shared" si="43"/>
        <v>55403937</v>
      </c>
      <c r="I88" s="2666">
        <f>I89+I90</f>
        <v>139692178</v>
      </c>
      <c r="J88" s="2666">
        <f>J89+J90</f>
        <v>562755532</v>
      </c>
      <c r="K88" s="2667">
        <f t="shared" si="43"/>
        <v>174516408</v>
      </c>
      <c r="L88" s="2668">
        <f>L89+L90</f>
        <v>171471348</v>
      </c>
      <c r="M88" s="2666">
        <f t="shared" si="43"/>
        <v>186590534</v>
      </c>
      <c r="N88" s="2666">
        <f t="shared" si="43"/>
        <v>626683848</v>
      </c>
      <c r="O88" s="2666">
        <f t="shared" si="43"/>
        <v>572049747</v>
      </c>
      <c r="P88" s="2666">
        <f t="shared" ref="P88:V88" si="44">P89+P90</f>
        <v>296756227</v>
      </c>
      <c r="Q88" s="2666">
        <f t="shared" si="44"/>
        <v>253757631</v>
      </c>
      <c r="R88" s="2666">
        <f t="shared" si="44"/>
        <v>87618497</v>
      </c>
      <c r="S88" s="2666">
        <f t="shared" si="44"/>
        <v>43852179</v>
      </c>
      <c r="T88" s="2666">
        <f t="shared" si="44"/>
        <v>39930442</v>
      </c>
      <c r="U88" s="2669">
        <f t="shared" si="44"/>
        <v>2704302084</v>
      </c>
      <c r="V88" s="2670">
        <f t="shared" si="44"/>
        <v>1954956018</v>
      </c>
      <c r="W88" s="2663"/>
    </row>
    <row r="89" spans="1:24" s="2664" customFormat="1" ht="18" customHeight="1" thickTop="1">
      <c r="A89" s="2671" t="s">
        <v>49</v>
      </c>
      <c r="B89" s="2672">
        <f t="shared" ref="B89:V89" si="45">B13+B60</f>
        <v>0</v>
      </c>
      <c r="C89" s="2672">
        <f t="shared" si="45"/>
        <v>0</v>
      </c>
      <c r="D89" s="2672">
        <f t="shared" si="45"/>
        <v>0</v>
      </c>
      <c r="E89" s="2672">
        <f t="shared" si="45"/>
        <v>0</v>
      </c>
      <c r="F89" s="2672">
        <f t="shared" si="45"/>
        <v>0.3</v>
      </c>
      <c r="G89" s="2672">
        <f t="shared" si="45"/>
        <v>951324.3</v>
      </c>
      <c r="H89" s="2672">
        <f t="shared" si="45"/>
        <v>5911690</v>
      </c>
      <c r="I89" s="2672">
        <f t="shared" si="45"/>
        <v>83203851</v>
      </c>
      <c r="J89" s="2672">
        <f t="shared" si="45"/>
        <v>276544730</v>
      </c>
      <c r="K89" s="2673">
        <f t="shared" si="45"/>
        <v>89652688</v>
      </c>
      <c r="L89" s="2674">
        <f t="shared" si="45"/>
        <v>96845803</v>
      </c>
      <c r="M89" s="2672">
        <f t="shared" si="45"/>
        <v>135647985</v>
      </c>
      <c r="N89" s="2672">
        <f t="shared" si="45"/>
        <v>205555457</v>
      </c>
      <c r="O89" s="2672">
        <f t="shared" si="45"/>
        <v>195249164</v>
      </c>
      <c r="P89" s="2672">
        <f>P13+P60</f>
        <v>167592072</v>
      </c>
      <c r="Q89" s="2672">
        <f t="shared" si="45"/>
        <v>155513360</v>
      </c>
      <c r="R89" s="2672">
        <f t="shared" si="45"/>
        <v>43829317</v>
      </c>
      <c r="S89" s="2672">
        <f t="shared" si="45"/>
        <v>41632274</v>
      </c>
      <c r="T89" s="2672">
        <f t="shared" si="45"/>
        <v>39768942</v>
      </c>
      <c r="U89" s="2675">
        <f>U13+U60</f>
        <v>1295640748</v>
      </c>
      <c r="V89" s="2676">
        <f t="shared" si="45"/>
        <v>883448033</v>
      </c>
      <c r="W89" s="2663"/>
    </row>
    <row r="90" spans="1:24" s="2664" customFormat="1" ht="18" customHeight="1">
      <c r="A90" s="2671" t="s">
        <v>50</v>
      </c>
      <c r="B90" s="2672">
        <f t="shared" ref="B90:V90" si="46">B14+B61</f>
        <v>11284352</v>
      </c>
      <c r="C90" s="2672">
        <f t="shared" si="46"/>
        <v>46426</v>
      </c>
      <c r="D90" s="2672">
        <f t="shared" si="46"/>
        <v>5432437</v>
      </c>
      <c r="E90" s="2672">
        <f t="shared" si="46"/>
        <v>5577389.0600000005</v>
      </c>
      <c r="F90" s="2672">
        <f t="shared" si="46"/>
        <v>12371050</v>
      </c>
      <c r="G90" s="2672">
        <f t="shared" si="46"/>
        <v>39897537</v>
      </c>
      <c r="H90" s="2672">
        <f t="shared" si="46"/>
        <v>49492247</v>
      </c>
      <c r="I90" s="2672">
        <f t="shared" si="46"/>
        <v>56488327</v>
      </c>
      <c r="J90" s="2672">
        <f t="shared" si="46"/>
        <v>286210802</v>
      </c>
      <c r="K90" s="2673">
        <f t="shared" si="46"/>
        <v>84863720</v>
      </c>
      <c r="L90" s="2674">
        <f t="shared" si="46"/>
        <v>74625545</v>
      </c>
      <c r="M90" s="2672">
        <f t="shared" si="46"/>
        <v>50942549</v>
      </c>
      <c r="N90" s="2672">
        <f t="shared" si="46"/>
        <v>421128391</v>
      </c>
      <c r="O90" s="2672">
        <f t="shared" si="46"/>
        <v>376800583</v>
      </c>
      <c r="P90" s="2672">
        <f t="shared" si="46"/>
        <v>129164155</v>
      </c>
      <c r="Q90" s="2672">
        <f t="shared" si="46"/>
        <v>98244271</v>
      </c>
      <c r="R90" s="2672">
        <f t="shared" si="46"/>
        <v>43789180</v>
      </c>
      <c r="S90" s="2672">
        <f t="shared" si="46"/>
        <v>2219905</v>
      </c>
      <c r="T90" s="2672">
        <f t="shared" si="46"/>
        <v>161500</v>
      </c>
      <c r="U90" s="2675">
        <f>U14+U61</f>
        <v>1408661336</v>
      </c>
      <c r="V90" s="2676">
        <f t="shared" si="46"/>
        <v>1071507985</v>
      </c>
      <c r="W90" s="2663"/>
    </row>
    <row r="91" spans="1:24" s="2664" customFormat="1" ht="18" customHeight="1" thickBot="1">
      <c r="A91" s="2677" t="s">
        <v>51</v>
      </c>
      <c r="B91" s="2678" t="e">
        <f t="shared" ref="B91:O91" si="47">B49+B86</f>
        <v>#REF!</v>
      </c>
      <c r="C91" s="2678" t="e">
        <f t="shared" si="47"/>
        <v>#REF!</v>
      </c>
      <c r="D91" s="2678" t="e">
        <f t="shared" si="47"/>
        <v>#REF!</v>
      </c>
      <c r="E91" s="2678" t="e">
        <f t="shared" si="47"/>
        <v>#REF!</v>
      </c>
      <c r="F91" s="2678" t="e">
        <f t="shared" si="47"/>
        <v>#REF!</v>
      </c>
      <c r="G91" s="2678" t="e">
        <f t="shared" si="47"/>
        <v>#REF!</v>
      </c>
      <c r="H91" s="2678" t="e">
        <f t="shared" si="47"/>
        <v>#REF!</v>
      </c>
      <c r="I91" s="2678" t="e">
        <f t="shared" si="47"/>
        <v>#REF!</v>
      </c>
      <c r="J91" s="2678">
        <f>J49+J86</f>
        <v>238931793</v>
      </c>
      <c r="K91" s="2679">
        <f t="shared" si="47"/>
        <v>81459344</v>
      </c>
      <c r="L91" s="2680">
        <f t="shared" si="47"/>
        <v>84536628</v>
      </c>
      <c r="M91" s="2678">
        <f>M49+M86</f>
        <v>85724499</v>
      </c>
      <c r="N91" s="2678">
        <f t="shared" si="47"/>
        <v>397880133</v>
      </c>
      <c r="O91" s="2678">
        <f t="shared" si="47"/>
        <v>344790304</v>
      </c>
      <c r="P91" s="2678">
        <f t="shared" ref="P91:T91" si="48">P49+P86</f>
        <v>149292448</v>
      </c>
      <c r="Q91" s="2678">
        <f t="shared" si="48"/>
        <v>109617636</v>
      </c>
      <c r="R91" s="2678">
        <f t="shared" si="48"/>
        <v>75693274</v>
      </c>
      <c r="S91" s="2678">
        <f t="shared" si="48"/>
        <v>35438612</v>
      </c>
      <c r="T91" s="2678">
        <f t="shared" si="48"/>
        <v>31577361</v>
      </c>
      <c r="U91" s="2678">
        <f>U49+U86</f>
        <v>1468946060</v>
      </c>
      <c r="V91" s="2681" t="s">
        <v>34</v>
      </c>
      <c r="W91" s="2663">
        <f>'Tab. 6A -Drogi'!D23+'Tab. 6A -Drogi'!D590+'Tab. 6B Polit społ i rozwój prz'!D18+'Tab. 6C - Ochrona zdrowia'!D24+'Tab. 6D - Oświata'!D18+'Tab. 6E - Administracja'!D21+'Tab. 6E - Administracja'!D241+'Tab. 6F - Kultura'!D19+'Tab. 6G - Roln i ochrona środ.'!D23+'Tab. 6G - Roln i ochrona środ.'!D189+'Tab. 6H - Kultura fiz. i turyst'!D17+'Tab.6I - Planow. przestrz.'!D19</f>
        <v>1468946060</v>
      </c>
      <c r="X91" s="2664" t="s">
        <v>304</v>
      </c>
    </row>
    <row r="92" spans="1:24" s="2664" customFormat="1" ht="18.75" customHeight="1" thickTop="1">
      <c r="A92" s="2671" t="s">
        <v>52</v>
      </c>
      <c r="B92" s="2672" t="e">
        <f>B98+B102</f>
        <v>#REF!</v>
      </c>
      <c r="C92" s="2672" t="e">
        <f t="shared" ref="C92:O93" si="49">C98+C102</f>
        <v>#REF!</v>
      </c>
      <c r="D92" s="2672" t="e">
        <f t="shared" si="49"/>
        <v>#REF!</v>
      </c>
      <c r="E92" s="2672" t="e">
        <f t="shared" si="49"/>
        <v>#REF!</v>
      </c>
      <c r="F92" s="2672" t="e">
        <f t="shared" si="49"/>
        <v>#REF!</v>
      </c>
      <c r="G92" s="2672" t="e">
        <f t="shared" si="49"/>
        <v>#REF!</v>
      </c>
      <c r="H92" s="2672" t="e">
        <f>H98+H102</f>
        <v>#REF!</v>
      </c>
      <c r="I92" s="2672" t="e">
        <f t="shared" si="49"/>
        <v>#REF!</v>
      </c>
      <c r="J92" s="2672">
        <f>J98+J102</f>
        <v>15442871</v>
      </c>
      <c r="K92" s="2673">
        <f>K98+K102</f>
        <v>1485486</v>
      </c>
      <c r="L92" s="2674">
        <f>L98+L102</f>
        <v>15969700</v>
      </c>
      <c r="M92" s="2672">
        <f>M98+M102</f>
        <v>43710159</v>
      </c>
      <c r="N92" s="2672">
        <f t="shared" si="49"/>
        <v>92407381</v>
      </c>
      <c r="O92" s="2672">
        <f t="shared" si="49"/>
        <v>99518797</v>
      </c>
      <c r="P92" s="2672">
        <f t="shared" ref="P92:T93" si="50">P98+P102</f>
        <v>62864627</v>
      </c>
      <c r="Q92" s="2672">
        <f t="shared" si="50"/>
        <v>48995038</v>
      </c>
      <c r="R92" s="2672">
        <f t="shared" si="50"/>
        <v>33470974</v>
      </c>
      <c r="S92" s="2672">
        <f t="shared" si="50"/>
        <v>33040223</v>
      </c>
      <c r="T92" s="2672">
        <f t="shared" si="50"/>
        <v>31415861</v>
      </c>
      <c r="U92" s="2672">
        <f>U98+U102</f>
        <v>460865931</v>
      </c>
      <c r="V92" s="2682" t="s">
        <v>34</v>
      </c>
      <c r="W92" s="2663">
        <f>U91-W91</f>
        <v>0</v>
      </c>
      <c r="X92" s="2683"/>
    </row>
    <row r="93" spans="1:24" s="2664" customFormat="1" ht="16.5" customHeight="1" thickBot="1">
      <c r="A93" s="2684" t="s">
        <v>53</v>
      </c>
      <c r="B93" s="2685" t="e">
        <f>B99+B103</f>
        <v>#REF!</v>
      </c>
      <c r="C93" s="2685" t="e">
        <f t="shared" si="49"/>
        <v>#REF!</v>
      </c>
      <c r="D93" s="2685" t="e">
        <f t="shared" si="49"/>
        <v>#REF!</v>
      </c>
      <c r="E93" s="2685" t="e">
        <f t="shared" si="49"/>
        <v>#REF!</v>
      </c>
      <c r="F93" s="2685" t="e">
        <f t="shared" si="49"/>
        <v>#REF!</v>
      </c>
      <c r="G93" s="2685" t="e">
        <f t="shared" si="49"/>
        <v>#REF!</v>
      </c>
      <c r="H93" s="2685" t="e">
        <f>H99+H103</f>
        <v>#REF!</v>
      </c>
      <c r="I93" s="2685" t="e">
        <f>I99+I103</f>
        <v>#REF!</v>
      </c>
      <c r="J93" s="2685">
        <f>J99+J103</f>
        <v>223488922</v>
      </c>
      <c r="K93" s="2686">
        <f t="shared" si="49"/>
        <v>79973858</v>
      </c>
      <c r="L93" s="2687">
        <f t="shared" si="49"/>
        <v>68566928</v>
      </c>
      <c r="M93" s="2685">
        <f>M99+M103</f>
        <v>42014340</v>
      </c>
      <c r="N93" s="2685">
        <f t="shared" si="49"/>
        <v>305472752</v>
      </c>
      <c r="O93" s="2685">
        <f t="shared" si="49"/>
        <v>245271507</v>
      </c>
      <c r="P93" s="2685">
        <f t="shared" si="50"/>
        <v>86427821</v>
      </c>
      <c r="Q93" s="2685">
        <f t="shared" si="50"/>
        <v>60622598</v>
      </c>
      <c r="R93" s="2685">
        <f t="shared" si="50"/>
        <v>42222300</v>
      </c>
      <c r="S93" s="2685">
        <f t="shared" si="50"/>
        <v>2398389</v>
      </c>
      <c r="T93" s="2685">
        <f t="shared" si="50"/>
        <v>161500</v>
      </c>
      <c r="U93" s="2685">
        <f>U99+U103</f>
        <v>1008080129</v>
      </c>
      <c r="V93" s="2688" t="s">
        <v>34</v>
      </c>
      <c r="W93" s="2663">
        <f>W91-U97-U101</f>
        <v>0</v>
      </c>
    </row>
    <row r="94" spans="1:24" s="2664" customFormat="1" ht="18" hidden="1" customHeight="1">
      <c r="A94" s="2689" t="s">
        <v>54</v>
      </c>
      <c r="B94" s="2690" t="e">
        <f>B92+B93-B91</f>
        <v>#REF!</v>
      </c>
      <c r="C94" s="2690" t="e">
        <f t="shared" ref="C94:T94" si="51">C92+C93-C91</f>
        <v>#REF!</v>
      </c>
      <c r="D94" s="2690" t="e">
        <f t="shared" si="51"/>
        <v>#REF!</v>
      </c>
      <c r="E94" s="2690" t="e">
        <f t="shared" si="51"/>
        <v>#REF!</v>
      </c>
      <c r="F94" s="2690" t="e">
        <f t="shared" si="51"/>
        <v>#REF!</v>
      </c>
      <c r="G94" s="2690" t="e">
        <f t="shared" si="51"/>
        <v>#REF!</v>
      </c>
      <c r="H94" s="2690" t="e">
        <f>H92+H93-H91</f>
        <v>#REF!</v>
      </c>
      <c r="I94" s="2690" t="e">
        <f>I92+I93-I91</f>
        <v>#REF!</v>
      </c>
      <c r="J94" s="2690">
        <f>J92+J93-J91</f>
        <v>0</v>
      </c>
      <c r="K94" s="2690">
        <f t="shared" si="51"/>
        <v>0</v>
      </c>
      <c r="L94" s="2691">
        <f>L92+L93-L91</f>
        <v>0</v>
      </c>
      <c r="M94" s="2690">
        <f>M92+M93-M91</f>
        <v>0</v>
      </c>
      <c r="N94" s="2690">
        <f t="shared" si="51"/>
        <v>0</v>
      </c>
      <c r="O94" s="2690">
        <f t="shared" si="51"/>
        <v>0</v>
      </c>
      <c r="P94" s="2690">
        <f t="shared" si="51"/>
        <v>0</v>
      </c>
      <c r="Q94" s="2690">
        <f t="shared" si="51"/>
        <v>0</v>
      </c>
      <c r="R94" s="2690">
        <f t="shared" si="51"/>
        <v>0</v>
      </c>
      <c r="S94" s="2690">
        <f t="shared" si="51"/>
        <v>0</v>
      </c>
      <c r="T94" s="2690">
        <f t="shared" si="51"/>
        <v>0</v>
      </c>
      <c r="U94" s="2690">
        <f>U92+U93-U91</f>
        <v>0</v>
      </c>
      <c r="V94" s="2663"/>
      <c r="W94" s="2663"/>
      <c r="X94" s="2683"/>
    </row>
    <row r="95" spans="1:24" s="2664" customFormat="1" ht="11.25" hidden="1" customHeight="1">
      <c r="A95" s="2692"/>
      <c r="B95" s="2690"/>
      <c r="C95" s="2690"/>
      <c r="D95" s="2690"/>
      <c r="E95" s="2690"/>
      <c r="F95" s="2690"/>
      <c r="G95" s="2690"/>
      <c r="H95" s="2690"/>
      <c r="I95" s="2690"/>
      <c r="J95" s="2690"/>
      <c r="K95" s="2690"/>
      <c r="L95" s="2691"/>
      <c r="M95" s="2690"/>
      <c r="N95" s="2690"/>
      <c r="O95" s="2690"/>
      <c r="P95" s="2690"/>
      <c r="Q95" s="2690"/>
      <c r="R95" s="2690"/>
      <c r="S95" s="2690"/>
      <c r="T95" s="2690"/>
      <c r="U95" s="2690"/>
      <c r="V95" s="2663"/>
      <c r="W95" s="2663"/>
    </row>
    <row r="96" spans="1:24" s="2664" customFormat="1" ht="18" hidden="1" customHeight="1" thickBot="1">
      <c r="A96" s="2693" t="s">
        <v>55</v>
      </c>
      <c r="B96" s="2694" t="e">
        <f t="shared" ref="B96:O96" si="52">B32-B97</f>
        <v>#REF!</v>
      </c>
      <c r="C96" s="2694" t="e">
        <f t="shared" si="52"/>
        <v>#REF!</v>
      </c>
      <c r="D96" s="2694" t="e">
        <f t="shared" si="52"/>
        <v>#REF!</v>
      </c>
      <c r="E96" s="2694" t="e">
        <f t="shared" si="52"/>
        <v>#REF!</v>
      </c>
      <c r="F96" s="2694" t="e">
        <f t="shared" si="52"/>
        <v>#REF!</v>
      </c>
      <c r="G96" s="2694" t="e">
        <f t="shared" si="52"/>
        <v>#REF!</v>
      </c>
      <c r="H96" s="2694" t="e">
        <f t="shared" si="52"/>
        <v>#REF!</v>
      </c>
      <c r="I96" s="2694" t="e">
        <f t="shared" si="52"/>
        <v>#REF!</v>
      </c>
      <c r="J96" s="2694">
        <f>J32-J97</f>
        <v>0</v>
      </c>
      <c r="K96" s="2694">
        <f t="shared" si="52"/>
        <v>0</v>
      </c>
      <c r="L96" s="2695">
        <f t="shared" si="52"/>
        <v>0</v>
      </c>
      <c r="M96" s="2694">
        <f t="shared" si="52"/>
        <v>0</v>
      </c>
      <c r="N96" s="2694">
        <f t="shared" si="52"/>
        <v>0</v>
      </c>
      <c r="O96" s="2694">
        <f t="shared" si="52"/>
        <v>0</v>
      </c>
      <c r="P96" s="2694">
        <f>P32-P97</f>
        <v>0</v>
      </c>
      <c r="Q96" s="2694">
        <f>Q32-Q97</f>
        <v>0</v>
      </c>
      <c r="R96" s="2694">
        <f>R32-R97</f>
        <v>0</v>
      </c>
      <c r="S96" s="2694">
        <f>S32-S97</f>
        <v>0</v>
      </c>
      <c r="T96" s="2694">
        <f>T32-T97</f>
        <v>0</v>
      </c>
      <c r="U96" s="2694">
        <f>+U97+U101</f>
        <v>1468946060</v>
      </c>
      <c r="V96" s="2663"/>
      <c r="W96" s="2663"/>
    </row>
    <row r="97" spans="1:23" s="2664" customFormat="1" ht="18" hidden="1" customHeight="1" thickBot="1">
      <c r="A97" s="2696" t="s">
        <v>56</v>
      </c>
      <c r="B97" s="2697" t="e">
        <f t="shared" ref="B97:O97" si="53">B98+B99</f>
        <v>#REF!</v>
      </c>
      <c r="C97" s="2697" t="e">
        <f t="shared" si="53"/>
        <v>#REF!</v>
      </c>
      <c r="D97" s="2697" t="e">
        <f t="shared" si="53"/>
        <v>#REF!</v>
      </c>
      <c r="E97" s="2697" t="e">
        <f t="shared" si="53"/>
        <v>#REF!</v>
      </c>
      <c r="F97" s="2697" t="e">
        <f t="shared" si="53"/>
        <v>#REF!</v>
      </c>
      <c r="G97" s="2697" t="e">
        <f t="shared" si="53"/>
        <v>#REF!</v>
      </c>
      <c r="H97" s="2697" t="e">
        <f t="shared" si="53"/>
        <v>#REF!</v>
      </c>
      <c r="I97" s="2697" t="e">
        <f t="shared" si="53"/>
        <v>#REF!</v>
      </c>
      <c r="J97" s="2697">
        <f t="shared" si="53"/>
        <v>189079185</v>
      </c>
      <c r="K97" s="2697">
        <f t="shared" si="53"/>
        <v>70085701</v>
      </c>
      <c r="L97" s="2698">
        <f t="shared" si="53"/>
        <v>56475524</v>
      </c>
      <c r="M97" s="2697">
        <f t="shared" si="53"/>
        <v>71511881</v>
      </c>
      <c r="N97" s="2697">
        <f t="shared" si="53"/>
        <v>354210102</v>
      </c>
      <c r="O97" s="2697">
        <f t="shared" si="53"/>
        <v>312070407</v>
      </c>
      <c r="P97" s="2697">
        <f t="shared" ref="P97:U97" si="54">P98+P99</f>
        <v>94745088</v>
      </c>
      <c r="Q97" s="2697">
        <f t="shared" si="54"/>
        <v>73233636</v>
      </c>
      <c r="R97" s="2697">
        <f t="shared" si="54"/>
        <v>33632474</v>
      </c>
      <c r="S97" s="2697">
        <f t="shared" si="54"/>
        <v>33201723</v>
      </c>
      <c r="T97" s="2697">
        <f t="shared" si="54"/>
        <v>31577361</v>
      </c>
      <c r="U97" s="2699">
        <f t="shared" si="54"/>
        <v>1193261857</v>
      </c>
      <c r="V97" s="2663"/>
      <c r="W97" s="2663"/>
    </row>
    <row r="98" spans="1:23" s="2664" customFormat="1" ht="20.25" hidden="1" customHeight="1" thickTop="1">
      <c r="A98" s="2700" t="s">
        <v>57</v>
      </c>
      <c r="B98" s="2701" t="e">
        <f>'Tab. 6B Polit społ i rozwój prz'!E18-'Tab. 6B Polit społ i rozwój prz'!E146+'Tab. 6D - Oświata'!E18+'Tab. 6E - Administracja'!E33+'Tab. 6E - Administracja'!#REF!+'Tab. 6E - Administracja'!E75+'Tab. 6G - Roln i ochrona środ.'!E44+'Tab. 6G - Roln i ochrona środ.'!E111+'Tab. 6H - Kultura fiz. i turyst'!E17-'Tab. 6H - Kultura fiz. i turyst'!E36-'Tab. 6H - Kultura fiz. i turyst'!E68+'Tab.6I - Planow. przestrz.'!E31+'Tab.6I - Planow. przestrz.'!E40+'Tab. 6E - Administracja'!E53</f>
        <v>#REF!</v>
      </c>
      <c r="C98" s="2701" t="e">
        <f>'Tab. 6B Polit społ i rozwój prz'!F18-'Tab. 6B Polit społ i rozwój prz'!F146+'Tab. 6D - Oświata'!F18+'Tab. 6E - Administracja'!F33+'Tab. 6E - Administracja'!#REF!+'Tab. 6E - Administracja'!F75+'Tab. 6G - Roln i ochrona środ.'!F44+'Tab. 6G - Roln i ochrona środ.'!F111+'Tab. 6H - Kultura fiz. i turyst'!F17-'Tab. 6H - Kultura fiz. i turyst'!F36-'Tab. 6H - Kultura fiz. i turyst'!F68+'Tab.6I - Planow. przestrz.'!F31+'Tab.6I - Planow. przestrz.'!F40+'Tab. 6E - Administracja'!F53</f>
        <v>#REF!</v>
      </c>
      <c r="D98" s="2701" t="e">
        <f>'Tab. 6B Polit społ i rozwój prz'!G18-'Tab. 6B Polit społ i rozwój prz'!G146+'Tab. 6D - Oświata'!G18+'Tab. 6E - Administracja'!G33+'Tab. 6E - Administracja'!#REF!+'Tab. 6E - Administracja'!G75+'Tab. 6G - Roln i ochrona środ.'!G44+'Tab. 6G - Roln i ochrona środ.'!G111+'Tab. 6H - Kultura fiz. i turyst'!G17-'Tab. 6H - Kultura fiz. i turyst'!G36-'Tab. 6H - Kultura fiz. i turyst'!G68+'Tab.6I - Planow. przestrz.'!G31+'Tab.6I - Planow. przestrz.'!G40+'Tab. 6E - Administracja'!G53</f>
        <v>#REF!</v>
      </c>
      <c r="E98" s="2701" t="e">
        <f>'Tab. 6B Polit społ i rozwój prz'!H18-'Tab. 6B Polit społ i rozwój prz'!H146+'Tab. 6D - Oświata'!H18+'Tab. 6E - Administracja'!H33+'Tab. 6E - Administracja'!#REF!+'Tab. 6E - Administracja'!H75+'Tab. 6G - Roln i ochrona środ.'!H44+'Tab. 6G - Roln i ochrona środ.'!H111+'Tab. 6H - Kultura fiz. i turyst'!H17-'Tab. 6H - Kultura fiz. i turyst'!H36-'Tab. 6H - Kultura fiz. i turyst'!H68+'Tab.6I - Planow. przestrz.'!H31+'Tab.6I - Planow. przestrz.'!H40+'Tab. 6E - Administracja'!H53</f>
        <v>#REF!</v>
      </c>
      <c r="F98" s="2701" t="e">
        <f>'Tab. 6B Polit społ i rozwój prz'!I18-'Tab. 6B Polit społ i rozwój prz'!I146+'Tab. 6D - Oświata'!I18+'Tab. 6E - Administracja'!I33+'Tab. 6E - Administracja'!#REF!+'Tab. 6E - Administracja'!I75+'Tab. 6G - Roln i ochrona środ.'!I44+'Tab. 6G - Roln i ochrona środ.'!I111+'Tab. 6H - Kultura fiz. i turyst'!I17-'Tab. 6H - Kultura fiz. i turyst'!I36-'Tab. 6H - Kultura fiz. i turyst'!I68+'Tab.6I - Planow. przestrz.'!I31+'Tab.6I - Planow. przestrz.'!I40+'Tab. 6E - Administracja'!I53</f>
        <v>#REF!</v>
      </c>
      <c r="G98" s="2701" t="e">
        <f>'Tab. 6B Polit społ i rozwój prz'!J18-'Tab. 6B Polit społ i rozwój prz'!J146+'Tab. 6D - Oświata'!J18+'Tab. 6E - Administracja'!J33+'Tab. 6E - Administracja'!#REF!+'Tab. 6E - Administracja'!J75+'Tab. 6G - Roln i ochrona środ.'!J44+'Tab. 6G - Roln i ochrona środ.'!J111+'Tab. 6H - Kultura fiz. i turyst'!J17-'Tab. 6H - Kultura fiz. i turyst'!J36-'Tab. 6H - Kultura fiz. i turyst'!J68+'Tab.6I - Planow. przestrz.'!J31+'Tab.6I - Planow. przestrz.'!J40+'Tab. 6E - Administracja'!J53</f>
        <v>#REF!</v>
      </c>
      <c r="H98" s="2701" t="e">
        <f>'Tab. 6B Polit społ i rozwój prz'!K18-'Tab. 6B Polit społ i rozwój prz'!K146+'Tab. 6D - Oświata'!K18+'Tab. 6E - Administracja'!K33+'Tab. 6E - Administracja'!#REF!+'Tab. 6E - Administracja'!K75+'Tab. 6G - Roln i ochrona środ.'!K44+'Tab. 6G - Roln i ochrona środ.'!K111+'Tab. 6H - Kultura fiz. i turyst'!K17-'Tab. 6H - Kultura fiz. i turyst'!K36-'Tab. 6H - Kultura fiz. i turyst'!K68+'Tab.6I - Planow. przestrz.'!K31+'Tab.6I - Planow. przestrz.'!K40+'Tab. 6E - Administracja'!K53</f>
        <v>#REF!</v>
      </c>
      <c r="I98" s="2701" t="e">
        <f>'Tab. 6B Polit społ i rozwój prz'!L18-'Tab. 6B Polit społ i rozwój prz'!L146+'Tab. 6D - Oświata'!L18+'Tab. 6E - Administracja'!L33+'Tab. 6E - Administracja'!#REF!+'Tab. 6E - Administracja'!L75+'Tab. 6G - Roln i ochrona środ.'!L44+'Tab. 6G - Roln i ochrona środ.'!L111+'Tab. 6H - Kultura fiz. i turyst'!L17-'Tab. 6H - Kultura fiz. i turyst'!L36-'Tab. 6H - Kultura fiz. i turyst'!L68+'Tab.6I - Planow. przestrz.'!L31+'Tab.6I - Planow. przestrz.'!L40+'Tab. 6E - Administracja'!L53</f>
        <v>#REF!</v>
      </c>
      <c r="J98" s="2701">
        <f>'Tab. 6B Polit społ i rozwój prz'!M18-'Tab. 6B Polit społ i rozwój prz'!M146+'Tab. 6D - Oświata'!M18+'Tab. 6E - Administracja'!M33+'Tab. 6E - Administracja'!M75+'Tab. 6G - Roln i ochrona środ.'!M44+'Tab. 6G - Roln i ochrona środ.'!M111+'Tab. 6H - Kultura fiz. i turyst'!M17-'Tab. 6H - Kultura fiz. i turyst'!M36-'Tab. 6H - Kultura fiz. i turyst'!M68+'Tab.6I - Planow. przestrz.'!M31+'Tab.6I - Planow. przestrz.'!M40+'Tab. 6E - Administracja'!M53-1</f>
        <v>1782774</v>
      </c>
      <c r="K98" s="2701">
        <f>'Tab. 6B Polit społ i rozwój prz'!N18-'Tab. 6B Polit społ i rozwój prz'!N146+'Tab. 6D - Oświata'!N18+'Tab. 6E - Administracja'!N33++'Tab. 6E - Administracja'!N75+'Tab. 6G - Roln i ochrona środ.'!N44+'Tab. 6G - Roln i ochrona środ.'!N111+'Tab. 6G - Roln i ochrona środ.'!N144+'Tab. 6H - Kultura fiz. i turyst'!N17-'Tab. 6H - Kultura fiz. i turyst'!N36-'Tab. 6H - Kultura fiz. i turyst'!N68+'Tab.6I - Planow. przestrz.'!N31+'Tab.6I - Planow. przestrz.'!N40+'Tab. 6E - Administracja'!N53</f>
        <v>75862</v>
      </c>
      <c r="L98" s="2702">
        <f>'Tab. 6B Polit społ i rozwój prz'!O18-'Tab. 6B Polit społ i rozwój prz'!O146-'Tab. 6B Polit społ i rozwój prz'!O170+'Tab. 6D - Oświata'!O18+'Tab. 6E - Administracja'!O33+'Tab. 6E - Administracja'!O75+'Tab. 6G - Roln i ochrona środ.'!O44+'Tab. 6G - Roln i ochrona środ.'!O111+'Tab. 6G - Roln i ochrona środ.'!O144+'Tab. 6H - Kultura fiz. i turyst'!O17-'Tab. 6H - Kultura fiz. i turyst'!O36-'Tab. 6H - Kultura fiz. i turyst'!O68+'Tab.6I - Planow. przestrz.'!O31+'Tab.6I - Planow. przestrz.'!O40+'Tab. 6E - Administracja'!O53+'Tab. 6E - Administracja'!O111</f>
        <v>3724854</v>
      </c>
      <c r="M98" s="2701">
        <f>'Tab. 6B Polit społ i rozwój prz'!P18-'Tab. 6B Polit społ i rozwój prz'!P146-'Tab. 6B Polit społ i rozwój prz'!P170+'Tab. 6D - Oświata'!P18+'Tab. 6E - Administracja'!P33+'Tab. 6E - Administracja'!P75+'Tab. 6G - Roln i ochrona środ.'!P44+'Tab. 6G - Roln i ochrona środ.'!P111+'Tab. 6G - Roln i ochrona środ.'!P144+'Tab. 6H - Kultura fiz. i turyst'!P17-'Tab. 6H - Kultura fiz. i turyst'!P36-'Tab. 6H - Kultura fiz. i turyst'!P68+'Tab.6I - Planow. przestrz.'!P31+'Tab.6I - Planow. przestrz.'!P40+'Tab. 6E - Administracja'!P53+'Tab. 6E - Administracja'!P111+'Tab. 6A -Drogi'!P516+'Tab. 6E - Administracja'!P159+'Tab. 6E - Administracja'!P188+'Tab. 6E - Administracja'!P216</f>
        <v>29497541</v>
      </c>
      <c r="N98" s="2701">
        <f>'Tab. 6B Polit społ i rozwój prz'!Q18-'Tab. 6B Polit społ i rozwój prz'!Q146-'Tab. 6B Polit społ i rozwój prz'!Q170+'Tab. 6D - Oświata'!Q18+'Tab. 6E - Administracja'!Q33+'Tab. 6E - Administracja'!Q75+'Tab. 6G - Roln i ochrona środ.'!Q44+'Tab. 6G - Roln i ochrona środ.'!Q111+'Tab. 6G - Roln i ochrona środ.'!Q144+'Tab. 6H - Kultura fiz. i turyst'!Q17-'Tab. 6H - Kultura fiz. i turyst'!Q36-'Tab. 6H - Kultura fiz. i turyst'!Q68+'Tab.6I - Planow. przestrz.'!Q31+'Tab.6I - Planow. przestrz.'!Q40+'Tab. 6E - Administracja'!Q53+'Tab. 6E - Administracja'!Q111+'Tab. 6A -Drogi'!Q516+'Tab. 6E - Administracja'!Q159+'Tab. 6E - Administracja'!Q188+'Tab. 6E - Administracja'!Q216+'Tab.6I - Planow. przestrz.'!Q67</f>
        <v>79009587</v>
      </c>
      <c r="O98" s="2701">
        <f>'Tab. 6B Polit społ i rozwój prz'!R18-'Tab. 6B Polit społ i rozwój prz'!R146-'Tab. 6B Polit społ i rozwój prz'!R170+'Tab. 6D - Oświata'!R18+'Tab. 6E - Administracja'!R33+'Tab. 6E - Administracja'!R75+'Tab. 6G - Roln i ochrona środ.'!R44+'Tab. 6G - Roln i ochrona środ.'!R111+'Tab. 6G - Roln i ochrona środ.'!R144+'Tab. 6H - Kultura fiz. i turyst'!R17-'Tab. 6H - Kultura fiz. i turyst'!R36-'Tab. 6H - Kultura fiz. i turyst'!R68+'Tab.6I - Planow. przestrz.'!R31+'Tab.6I - Planow. przestrz.'!R40+'Tab. 6E - Administracja'!R53+'Tab. 6E - Administracja'!R111+'Tab. 6A -Drogi'!R516+'Tab. 6E - Administracja'!R159+'Tab. 6E - Administracja'!R188+'Tab. 6E - Administracja'!R216+'Tab.6I - Planow. przestrz.'!R67</f>
        <v>87518797</v>
      </c>
      <c r="P98" s="2701">
        <f>'Tab. 6B Polit społ i rozwój prz'!S18-'Tab. 6B Polit społ i rozwój prz'!S146-'Tab. 6B Polit społ i rozwój prz'!S170+'Tab. 6D - Oświata'!S18+'Tab. 6E - Administracja'!S33+'Tab. 6E - Administracja'!S75+'Tab. 6G - Roln i ochrona środ.'!S44+'Tab. 6G - Roln i ochrona środ.'!S111+'Tab. 6G - Roln i ochrona środ.'!S144+'Tab. 6H - Kultura fiz. i turyst'!S17-'Tab. 6H - Kultura fiz. i turyst'!S36-'Tab. 6H - Kultura fiz. i turyst'!S68+'Tab.6I - Planow. przestrz.'!S31+'Tab.6I - Planow. przestrz.'!S40+'Tab. 6E - Administracja'!S53+'Tab. 6E - Administracja'!S111+'Tab. 6A -Drogi'!S516+'Tab. 6E - Administracja'!S159+'Tab. 6E - Administracja'!S188+'Tab. 6E - Administracja'!S216+'Tab.6I - Planow. przestrz.'!S67</f>
        <v>50864627</v>
      </c>
      <c r="Q98" s="2701">
        <f>'Tab. 6B Polit społ i rozwój prz'!T18-'Tab. 6B Polit społ i rozwój prz'!T146-'Tab. 6B Polit społ i rozwój prz'!T170+'Tab. 6D - Oświata'!T18+'Tab. 6E - Administracja'!T33+'Tab. 6E - Administracja'!T75+'Tab. 6G - Roln i ochrona środ.'!T44+'Tab. 6G - Roln i ochrona środ.'!T111+'Tab. 6G - Roln i ochrona środ.'!T144+'Tab. 6H - Kultura fiz. i turyst'!T17-'Tab. 6H - Kultura fiz. i turyst'!T36-'Tab. 6H - Kultura fiz. i turyst'!T68+'Tab.6I - Planow. przestrz.'!T31+'Tab.6I - Planow. przestrz.'!T40+'Tab. 6E - Administracja'!T53+'Tab. 6E - Administracja'!T111+'Tab. 6A -Drogi'!T516+'Tab. 6E - Administracja'!T159+'Tab. 6E - Administracja'!T188+'Tab. 6E - Administracja'!T216+'Tab.6I - Planow. przestrz.'!T67</f>
        <v>36995038</v>
      </c>
      <c r="R98" s="2701">
        <f>'Tab. 6B Polit społ i rozwój prz'!U18-'Tab. 6B Polit społ i rozwój prz'!U146-'Tab. 6B Polit społ i rozwój prz'!U170+'Tab. 6D - Oświata'!U18+'Tab. 6E - Administracja'!U33+'Tab. 6E - Administracja'!U75+'Tab. 6G - Roln i ochrona środ.'!U44+'Tab. 6G - Roln i ochrona środ.'!U111+'Tab. 6G - Roln i ochrona środ.'!U144+'Tab. 6H - Kultura fiz. i turyst'!U17-'Tab. 6H - Kultura fiz. i turyst'!U36-'Tab. 6H - Kultura fiz. i turyst'!U68+'Tab.6I - Planow. przestrz.'!U31+'Tab.6I - Planow. przestrz.'!U40+'Tab. 6E - Administracja'!U53+'Tab. 6E - Administracja'!U111+'Tab. 6A -Drogi'!U516+'Tab. 6E - Administracja'!U159+'Tab. 6E - Administracja'!U188+'Tab. 6E - Administracja'!U216+'Tab.6I - Planow. przestrz.'!U67</f>
        <v>33470974</v>
      </c>
      <c r="S98" s="2701">
        <f>'Tab. 6B Polit społ i rozwój prz'!V18-'Tab. 6B Polit społ i rozwój prz'!V146-'Tab. 6B Polit społ i rozwój prz'!V170+'Tab. 6D - Oświata'!V18+'Tab. 6E - Administracja'!V33+'Tab. 6E - Administracja'!V75+'Tab. 6G - Roln i ochrona środ.'!V44+'Tab. 6G - Roln i ochrona środ.'!V111+'Tab. 6G - Roln i ochrona środ.'!V144+'Tab. 6H - Kultura fiz. i turyst'!V17-'Tab. 6H - Kultura fiz. i turyst'!V36-'Tab. 6H - Kultura fiz. i turyst'!V68+'Tab.6I - Planow. przestrz.'!V31+'Tab.6I - Planow. przestrz.'!V40+'Tab. 6E - Administracja'!V53+'Tab. 6E - Administracja'!V111+'Tab. 6A -Drogi'!V516+'Tab. 6E - Administracja'!V159+'Tab. 6E - Administracja'!V188+'Tab. 6E - Administracja'!V216+'Tab.6I - Planow. przestrz.'!V67</f>
        <v>33040223</v>
      </c>
      <c r="T98" s="2701">
        <f>'Tab. 6B Polit społ i rozwój prz'!W18-'Tab. 6B Polit społ i rozwój prz'!W146-'Tab. 6B Polit społ i rozwój prz'!W170+'Tab. 6D - Oświata'!W18+'Tab. 6E - Administracja'!W33+'Tab. 6E - Administracja'!W75+'Tab. 6G - Roln i ochrona środ.'!W44+'Tab. 6G - Roln i ochrona środ.'!W111+'Tab. 6G - Roln i ochrona środ.'!W144+'Tab. 6H - Kultura fiz. i turyst'!W17-'Tab. 6H - Kultura fiz. i turyst'!W36-'Tab. 6H - Kultura fiz. i turyst'!W68+'Tab.6I - Planow. przestrz.'!W31+'Tab.6I - Planow. przestrz.'!W40+'Tab. 6E - Administracja'!W53+'Tab. 6E - Administracja'!W111+'Tab. 6A -Drogi'!W516+'Tab. 6E - Administracja'!W159+'Tab. 6E - Administracja'!W188+'Tab. 6E - Administracja'!W216+'Tab.6I - Planow. przestrz.'!W67</f>
        <v>31415861</v>
      </c>
      <c r="U98" s="2703">
        <f>J98+M98+N98+O98+P98+Q98+R98+S98+T98</f>
        <v>383595422</v>
      </c>
      <c r="V98" s="2663"/>
      <c r="W98" s="2663"/>
    </row>
    <row r="99" spans="1:23" s="2664" customFormat="1" ht="18" hidden="1" customHeight="1">
      <c r="A99" s="2700" t="s">
        <v>53</v>
      </c>
      <c r="B99" s="2701" t="e">
        <f>'Tab. 6A -Drogi'!E23+'Tab. 6B Polit społ i rozwój prz'!E146+'Tab. 6E - Administracja'!E42+'Tab. 6E - Administracja'!#REF!+'Tab. 6E - Administracja'!E86+'Tab. 6G - Roln i ochrona środ.'!E23-'Tab. 6G - Roln i ochrona środ.'!E44-'Tab. 6G - Roln i ochrona środ.'!E111+'Tab. 6H - Kultura fiz. i turyst'!E36+'Tab. 6H - Kultura fiz. i turyst'!E68+'Tab.6I - Planow. przestrz.'!E49+'Tab. 6E - Administracja'!E64</f>
        <v>#REF!</v>
      </c>
      <c r="C99" s="2701" t="e">
        <f>'Tab. 6A -Drogi'!F23+'Tab. 6B Polit społ i rozwój prz'!F146+'Tab. 6E - Administracja'!F42+'Tab. 6E - Administracja'!#REF!+'Tab. 6E - Administracja'!F86+'Tab. 6G - Roln i ochrona środ.'!F23-'Tab. 6G - Roln i ochrona środ.'!F44-'Tab. 6G - Roln i ochrona środ.'!F111+'Tab. 6H - Kultura fiz. i turyst'!F36+'Tab. 6H - Kultura fiz. i turyst'!F68+'Tab.6I - Planow. przestrz.'!F49+'Tab. 6E - Administracja'!F64</f>
        <v>#REF!</v>
      </c>
      <c r="D99" s="2701" t="e">
        <f>'Tab. 6A -Drogi'!G23+'Tab. 6B Polit społ i rozwój prz'!G146+'Tab. 6E - Administracja'!G42+'Tab. 6E - Administracja'!#REF!+'Tab. 6E - Administracja'!G86+'Tab. 6G - Roln i ochrona środ.'!G23-'Tab. 6G - Roln i ochrona środ.'!G44-'Tab. 6G - Roln i ochrona środ.'!G111+'Tab. 6H - Kultura fiz. i turyst'!G36+'Tab. 6H - Kultura fiz. i turyst'!G68+'Tab.6I - Planow. przestrz.'!G49+'Tab. 6E - Administracja'!G64</f>
        <v>#REF!</v>
      </c>
      <c r="E99" s="2701" t="e">
        <f>'Tab. 6A -Drogi'!H23+'Tab. 6B Polit społ i rozwój prz'!H146+'Tab. 6E - Administracja'!H42+'Tab. 6E - Administracja'!#REF!+'Tab. 6E - Administracja'!H86+'Tab. 6G - Roln i ochrona środ.'!H23-'Tab. 6G - Roln i ochrona środ.'!H44-'Tab. 6G - Roln i ochrona środ.'!H111+'Tab. 6H - Kultura fiz. i turyst'!H36+'Tab. 6H - Kultura fiz. i turyst'!H68+'Tab.6I - Planow. przestrz.'!H49+'Tab. 6E - Administracja'!H64</f>
        <v>#REF!</v>
      </c>
      <c r="F99" s="2701" t="e">
        <f>'Tab. 6A -Drogi'!I23+'Tab. 6B Polit społ i rozwój prz'!I146+'Tab. 6E - Administracja'!I42+'Tab. 6E - Administracja'!#REF!+'Tab. 6E - Administracja'!I86+'Tab. 6G - Roln i ochrona środ.'!I23-'Tab. 6G - Roln i ochrona środ.'!I44-'Tab. 6G - Roln i ochrona środ.'!I111+'Tab. 6H - Kultura fiz. i turyst'!I36+'Tab. 6H - Kultura fiz. i turyst'!I68+'Tab.6I - Planow. przestrz.'!I49+'Tab. 6E - Administracja'!I64</f>
        <v>#REF!</v>
      </c>
      <c r="G99" s="2701" t="e">
        <f>'Tab. 6A -Drogi'!J23+'Tab. 6B Polit społ i rozwój prz'!J146+'Tab. 6E - Administracja'!J42+'Tab. 6E - Administracja'!#REF!+'Tab. 6E - Administracja'!J86+'Tab. 6G - Roln i ochrona środ.'!J23-'Tab. 6G - Roln i ochrona środ.'!J44-'Tab. 6G - Roln i ochrona środ.'!J111+'Tab. 6H - Kultura fiz. i turyst'!J36+'Tab. 6H - Kultura fiz. i turyst'!J68+'Tab.6I - Planow. przestrz.'!J49+'Tab. 6E - Administracja'!J64</f>
        <v>#REF!</v>
      </c>
      <c r="H99" s="2701" t="e">
        <f>'Tab. 6A -Drogi'!K23+'Tab. 6B Polit społ i rozwój prz'!K146+'Tab. 6E - Administracja'!K42+'Tab. 6E - Administracja'!#REF!+'Tab. 6E - Administracja'!K86+'Tab. 6G - Roln i ochrona środ.'!K23-'Tab. 6G - Roln i ochrona środ.'!K44-'Tab. 6G - Roln i ochrona środ.'!K111+'Tab. 6H - Kultura fiz. i turyst'!K36+'Tab. 6H - Kultura fiz. i turyst'!K68+'Tab.6I - Planow. przestrz.'!K49+'Tab. 6E - Administracja'!K64</f>
        <v>#REF!</v>
      </c>
      <c r="I99" s="2701" t="e">
        <f>'Tab. 6A -Drogi'!L23+'Tab. 6B Polit społ i rozwój prz'!L146+'Tab. 6E - Administracja'!L42+'Tab. 6E - Administracja'!#REF!+'Tab. 6E - Administracja'!L86+'Tab. 6G - Roln i ochrona środ.'!L23-'Tab. 6G - Roln i ochrona środ.'!L44-'Tab. 6G - Roln i ochrona środ.'!L111+'Tab. 6H - Kultura fiz. i turyst'!L36+'Tab. 6H - Kultura fiz. i turyst'!L68+'Tab.6I - Planow. przestrz.'!L49+'Tab. 6E - Administracja'!L64</f>
        <v>#REF!</v>
      </c>
      <c r="J99" s="2701">
        <f>'Tab. 6A -Drogi'!M23+'Tab. 6B Polit społ i rozwój prz'!M146+'Tab. 6E - Administracja'!M42+'Tab. 6E - Administracja'!M86+'Tab. 6G - Roln i ochrona środ.'!M23-'Tab. 6G - Roln i ochrona środ.'!M44-'Tab. 6G - Roln i ochrona środ.'!M111+'Tab. 6H - Kultura fiz. i turyst'!M36+'Tab. 6H - Kultura fiz. i turyst'!M68+'Tab.6I - Planow. przestrz.'!M49+'Tab. 6E - Administracja'!M64</f>
        <v>187296411</v>
      </c>
      <c r="K99" s="2701">
        <f>'Tab. 6A -Drogi'!N23+'Tab. 6B Polit społ i rozwój prz'!N146+'Tab. 6E - Administracja'!N42+'Tab. 6E - Administracja'!N86+'Tab. 6G - Roln i ochrona środ.'!N23-'Tab. 6G - Roln i ochrona środ.'!N44-'Tab. 6G - Roln i ochrona środ.'!N111-'Tab. 6G - Roln i ochrona środ.'!N144+'Tab. 6H - Kultura fiz. i turyst'!N36+'Tab. 6H - Kultura fiz. i turyst'!N68+'Tab.6I - Planow. przestrz.'!N49+'Tab. 6E - Administracja'!N64</f>
        <v>70009839</v>
      </c>
      <c r="L99" s="2702">
        <f>'Tab. 6A -Drogi'!O23+'Tab. 6B Polit społ i rozwój prz'!O146+'Tab. 6B Polit społ i rozwój prz'!O170+'Tab. 6E - Administracja'!O42+'Tab. 6E - Administracja'!O86+'Tab. 6G - Roln i ochrona środ.'!O23-'Tab. 6G - Roln i ochrona środ.'!O44-'Tab. 6G - Roln i ochrona środ.'!O111-'Tab. 6G - Roln i ochrona środ.'!O144+'Tab. 6H - Kultura fiz. i turyst'!O36+'Tab. 6H - Kultura fiz. i turyst'!O68+'Tab.6I - Planow. przestrz.'!O49+'Tab. 6E - Administracja'!O64+'Tab. 6E - Administracja'!O130</f>
        <v>52750670</v>
      </c>
      <c r="M99" s="2701">
        <f>'Tab. 6A -Drogi'!P23+'Tab. 6B Polit społ i rozwój prz'!P146+'Tab. 6B Polit społ i rozwój prz'!P170+'Tab. 6E - Administracja'!P42+'Tab. 6E - Administracja'!P86+'Tab. 6G - Roln i ochrona środ.'!P23-'Tab. 6G - Roln i ochrona środ.'!P44-'Tab. 6G - Roln i ochrona środ.'!P111-'Tab. 6G - Roln i ochrona środ.'!P144+'Tab. 6H - Kultura fiz. i turyst'!P36+'Tab. 6H - Kultura fiz. i turyst'!P68+'Tab.6I - Planow. przestrz.'!P49+'Tab. 6E - Administracja'!P64+'Tab. 6E - Administracja'!P130+'Tab. 6E - Administracja'!P174+'Tab. 6E - Administracja'!P201-'Tab. 6A -Drogi'!P516+'Tab. 6E - Administracja'!P227</f>
        <v>42014340</v>
      </c>
      <c r="N99" s="2701">
        <f>'Tab. 6A -Drogi'!Q23+'Tab. 6B Polit społ i rozwój prz'!Q146+'Tab. 6B Polit społ i rozwój prz'!Q170+'Tab. 6E - Administracja'!Q42+'Tab. 6E - Administracja'!Q86+'Tab. 6G - Roln i ochrona środ.'!Q23-'Tab. 6G - Roln i ochrona środ.'!Q44-'Tab. 6G - Roln i ochrona środ.'!Q111-'Tab. 6G - Roln i ochrona środ.'!Q144+'Tab. 6H - Kultura fiz. i turyst'!Q36+'Tab. 6H - Kultura fiz. i turyst'!Q68+'Tab.6I - Planow. przestrz.'!Q49+'Tab. 6E - Administracja'!Q64+'Tab. 6E - Administracja'!Q130+'Tab. 6E - Administracja'!Q174+'Tab. 6E - Administracja'!Q201-'Tab. 6A -Drogi'!Q516+'Tab. 6E - Administracja'!Q227</f>
        <v>275200515</v>
      </c>
      <c r="O99" s="2701">
        <f>'Tab. 6A -Drogi'!R23+'Tab. 6B Polit społ i rozwój prz'!R146+'Tab. 6B Polit społ i rozwój prz'!R170+'Tab. 6E - Administracja'!R42+'Tab. 6E - Administracja'!R86+'Tab. 6G - Roln i ochrona środ.'!R23-'Tab. 6G - Roln i ochrona środ.'!R44-'Tab. 6G - Roln i ochrona środ.'!R111-'Tab. 6G - Roln i ochrona środ.'!R144+'Tab. 6H - Kultura fiz. i turyst'!R36+'Tab. 6H - Kultura fiz. i turyst'!R68+'Tab.6I - Planow. przestrz.'!R49+'Tab. 6E - Administracja'!R64+'Tab. 6E - Administracja'!R130+'Tab. 6E - Administracja'!R174+'Tab. 6E - Administracja'!R201-'Tab. 6A -Drogi'!R516+'Tab. 6E - Administracja'!R227</f>
        <v>224551610</v>
      </c>
      <c r="P99" s="2701">
        <f>'Tab. 6A -Drogi'!S23+'Tab. 6B Polit społ i rozwój prz'!S146+'Tab. 6B Polit społ i rozwój prz'!S170+'Tab. 6E - Administracja'!S42+'Tab. 6E - Administracja'!S86+'Tab. 6G - Roln i ochrona środ.'!S23-'Tab. 6G - Roln i ochrona środ.'!S44-'Tab. 6G - Roln i ochrona środ.'!S111-'Tab. 6G - Roln i ochrona środ.'!S144+'Tab. 6H - Kultura fiz. i turyst'!S36+'Tab. 6H - Kultura fiz. i turyst'!S68+'Tab.6I - Planow. przestrz.'!S49+'Tab. 6E - Administracja'!S64+'Tab. 6E - Administracja'!S130+'Tab. 6E - Administracja'!S174+'Tab. 6E - Administracja'!S201-'Tab. 6A -Drogi'!S516+'Tab. 6E - Administracja'!S227</f>
        <v>43880461</v>
      </c>
      <c r="Q99" s="2701">
        <f>'Tab. 6A -Drogi'!T23+'Tab. 6B Polit społ i rozwój prz'!T146+'Tab. 6B Polit społ i rozwój prz'!T170+'Tab. 6E - Administracja'!T42+'Tab. 6E - Administracja'!T86+'Tab. 6G - Roln i ochrona środ.'!T23-'Tab. 6G - Roln i ochrona środ.'!T44-'Tab. 6G - Roln i ochrona środ.'!T111-'Tab. 6G - Roln i ochrona środ.'!T144+'Tab. 6H - Kultura fiz. i turyst'!T36+'Tab. 6H - Kultura fiz. i turyst'!T68+'Tab.6I - Planow. przestrz.'!T49+'Tab. 6E - Administracja'!T64+'Tab. 6E - Administracja'!T130+'Tab. 6E - Administracja'!T174+'Tab. 6E - Administracja'!T201-'Tab. 6A -Drogi'!T516+'Tab. 6E - Administracja'!T227</f>
        <v>36238598</v>
      </c>
      <c r="R99" s="2701">
        <f>'Tab. 6A -Drogi'!U23+'Tab. 6B Polit społ i rozwój prz'!U146+'Tab. 6B Polit społ i rozwój prz'!U170+'Tab. 6E - Administracja'!U42+'Tab. 6E - Administracja'!U86+'Tab. 6G - Roln i ochrona środ.'!U23-'Tab. 6G - Roln i ochrona środ.'!U44-'Tab. 6G - Roln i ochrona środ.'!U111-'Tab. 6G - Roln i ochrona środ.'!U144+'Tab. 6H - Kultura fiz. i turyst'!U36+'Tab. 6H - Kultura fiz. i turyst'!U68+'Tab.6I - Planow. przestrz.'!U49+'Tab. 6E - Administracja'!U64+'Tab. 6E - Administracja'!U130+'Tab. 6E - Administracja'!U174+'Tab. 6E - Administracja'!U201-'Tab. 6A -Drogi'!U516+'Tab. 6E - Administracja'!U227</f>
        <v>161500</v>
      </c>
      <c r="S99" s="2701">
        <f>'Tab. 6A -Drogi'!V23+'Tab. 6B Polit społ i rozwój prz'!V146+'Tab. 6B Polit społ i rozwój prz'!V170+'Tab. 6E - Administracja'!V42+'Tab. 6E - Administracja'!V86+'Tab. 6G - Roln i ochrona środ.'!V23-'Tab. 6G - Roln i ochrona środ.'!V44-'Tab. 6G - Roln i ochrona środ.'!V111-'Tab. 6G - Roln i ochrona środ.'!V144+'Tab. 6H - Kultura fiz. i turyst'!V36+'Tab. 6H - Kultura fiz. i turyst'!V68+'Tab.6I - Planow. przestrz.'!V49+'Tab. 6E - Administracja'!V64+'Tab. 6E - Administracja'!V130+'Tab. 6E - Administracja'!V174+'Tab. 6E - Administracja'!V201-'Tab. 6A -Drogi'!V516+'Tab. 6E - Administracja'!V227</f>
        <v>161500</v>
      </c>
      <c r="T99" s="2701">
        <f>'Tab. 6A -Drogi'!W23+'Tab. 6B Polit społ i rozwój prz'!W146+'Tab. 6B Polit społ i rozwój prz'!W170+'Tab. 6E - Administracja'!W42+'Tab. 6E - Administracja'!W86+'Tab. 6G - Roln i ochrona środ.'!W23-'Tab. 6G - Roln i ochrona środ.'!W44-'Tab. 6G - Roln i ochrona środ.'!W111-'Tab. 6G - Roln i ochrona środ.'!W144+'Tab. 6H - Kultura fiz. i turyst'!W36+'Tab. 6H - Kultura fiz. i turyst'!W68+'Tab.6I - Planow. przestrz.'!W49+'Tab. 6E - Administracja'!W64+'Tab. 6E - Administracja'!W130+'Tab. 6E - Administracja'!W174+'Tab. 6E - Administracja'!W201-'Tab. 6A -Drogi'!W516+'Tab. 6E - Administracja'!W227</f>
        <v>161500</v>
      </c>
      <c r="U99" s="2703">
        <f>J99+M99+N99+O99+P99+Q99+R99+S99+T99</f>
        <v>809666435</v>
      </c>
      <c r="V99" s="2663"/>
      <c r="W99" s="2663"/>
    </row>
    <row r="100" spans="1:23" s="2664" customFormat="1" ht="24" hidden="1" customHeight="1" thickBot="1">
      <c r="A100" s="2693" t="s">
        <v>58</v>
      </c>
      <c r="B100" s="2694" t="e">
        <f t="shared" ref="B100:G100" si="55">B86-B101</f>
        <v>#REF!</v>
      </c>
      <c r="C100" s="2694" t="e">
        <f t="shared" si="55"/>
        <v>#REF!</v>
      </c>
      <c r="D100" s="2694" t="e">
        <f t="shared" si="55"/>
        <v>#REF!</v>
      </c>
      <c r="E100" s="2694" t="e">
        <f t="shared" si="55"/>
        <v>#REF!</v>
      </c>
      <c r="F100" s="2694" t="e">
        <f t="shared" si="55"/>
        <v>#REF!</v>
      </c>
      <c r="G100" s="2694" t="e">
        <f t="shared" si="55"/>
        <v>#REF!</v>
      </c>
      <c r="H100" s="2694" t="e">
        <f>H86-H101</f>
        <v>#REF!</v>
      </c>
      <c r="I100" s="2694">
        <f t="shared" ref="I100:U100" si="56">I86-I101</f>
        <v>0</v>
      </c>
      <c r="J100" s="2694">
        <f t="shared" si="56"/>
        <v>0</v>
      </c>
      <c r="K100" s="2694">
        <f t="shared" si="56"/>
        <v>0</v>
      </c>
      <c r="L100" s="2695">
        <f t="shared" si="56"/>
        <v>0</v>
      </c>
      <c r="M100" s="2694">
        <f>M86-M101</f>
        <v>0</v>
      </c>
      <c r="N100" s="2694">
        <f t="shared" si="56"/>
        <v>0</v>
      </c>
      <c r="O100" s="2694">
        <f t="shared" si="56"/>
        <v>0</v>
      </c>
      <c r="P100" s="2694">
        <f t="shared" si="56"/>
        <v>0</v>
      </c>
      <c r="Q100" s="2694">
        <f t="shared" si="56"/>
        <v>0</v>
      </c>
      <c r="R100" s="2694">
        <f t="shared" si="56"/>
        <v>0</v>
      </c>
      <c r="S100" s="2694">
        <f t="shared" si="56"/>
        <v>0</v>
      </c>
      <c r="T100" s="2694">
        <f t="shared" si="56"/>
        <v>0</v>
      </c>
      <c r="U100" s="2694">
        <f t="shared" si="56"/>
        <v>0</v>
      </c>
      <c r="V100" s="2663"/>
      <c r="W100" s="2663"/>
    </row>
    <row r="101" spans="1:23" s="2664" customFormat="1" ht="19.5" hidden="1" customHeight="1" thickBot="1">
      <c r="A101" s="2696" t="s">
        <v>56</v>
      </c>
      <c r="B101" s="2697">
        <f t="shared" ref="B101:G101" si="57">B102+B103</f>
        <v>279786</v>
      </c>
      <c r="C101" s="2697">
        <f t="shared" si="57"/>
        <v>0</v>
      </c>
      <c r="D101" s="2697">
        <f t="shared" si="57"/>
        <v>0</v>
      </c>
      <c r="E101" s="2697">
        <f t="shared" si="57"/>
        <v>279786</v>
      </c>
      <c r="F101" s="2697">
        <f t="shared" si="57"/>
        <v>2596431</v>
      </c>
      <c r="G101" s="2697">
        <f t="shared" si="57"/>
        <v>10430330</v>
      </c>
      <c r="H101" s="2697" t="e">
        <f>H102+H103</f>
        <v>#REF!</v>
      </c>
      <c r="I101" s="2697">
        <f t="shared" ref="I101:U101" si="58">I102+I103</f>
        <v>1088671</v>
      </c>
      <c r="J101" s="2697">
        <f>J102+J103</f>
        <v>49852608</v>
      </c>
      <c r="K101" s="2697">
        <f t="shared" si="58"/>
        <v>11373643</v>
      </c>
      <c r="L101" s="2698">
        <f t="shared" si="58"/>
        <v>28061104</v>
      </c>
      <c r="M101" s="2697">
        <f t="shared" si="58"/>
        <v>14212618</v>
      </c>
      <c r="N101" s="2697">
        <f t="shared" si="58"/>
        <v>43670031</v>
      </c>
      <c r="O101" s="2697">
        <f t="shared" si="58"/>
        <v>32719897</v>
      </c>
      <c r="P101" s="2697">
        <f t="shared" si="58"/>
        <v>54547360</v>
      </c>
      <c r="Q101" s="2697">
        <f t="shared" si="58"/>
        <v>36384000</v>
      </c>
      <c r="R101" s="2697">
        <f t="shared" si="58"/>
        <v>42060800</v>
      </c>
      <c r="S101" s="2697">
        <f>S102+S103</f>
        <v>2236889</v>
      </c>
      <c r="T101" s="2697">
        <f>T102+T103</f>
        <v>0</v>
      </c>
      <c r="U101" s="2699">
        <f t="shared" si="58"/>
        <v>275684203</v>
      </c>
      <c r="V101" s="2663"/>
      <c r="W101" s="2663"/>
    </row>
    <row r="102" spans="1:23" s="2664" customFormat="1" ht="18" hidden="1" customHeight="1" thickTop="1">
      <c r="A102" s="2700" t="s">
        <v>57</v>
      </c>
      <c r="B102" s="2701">
        <f>'Tab. 6A -Drogi'!E660</f>
        <v>0</v>
      </c>
      <c r="C102" s="2701">
        <f>'Tab. 6A -Drogi'!F660</f>
        <v>0</v>
      </c>
      <c r="D102" s="2701">
        <f>'Tab. 6A -Drogi'!G660</f>
        <v>0</v>
      </c>
      <c r="E102" s="2701">
        <f>'Tab. 6A -Drogi'!H660</f>
        <v>0</v>
      </c>
      <c r="F102" s="2701">
        <f>'Tab. 6A -Drogi'!I660</f>
        <v>0</v>
      </c>
      <c r="G102" s="2701">
        <f>'Tab. 6A -Drogi'!J660</f>
        <v>0</v>
      </c>
      <c r="H102" s="2701">
        <f>'Tab. 6A -Drogi'!K660</f>
        <v>0</v>
      </c>
      <c r="I102" s="2701">
        <f>'Tab. 6A -Drogi'!L660</f>
        <v>205627</v>
      </c>
      <c r="J102" s="2701">
        <f>'Tab. 6A -Drogi'!M660+'Tab. 6E - Administracja'!M257</f>
        <v>13660097</v>
      </c>
      <c r="K102" s="2701">
        <f>'Tab. 6A -Drogi'!N660+'Tab. 6E - Administracja'!N257</f>
        <v>1409624</v>
      </c>
      <c r="L102" s="2702">
        <f>'Tab. 6A -Drogi'!O660+'Tab. 6E - Administracja'!O257+'Tab. 6A -Drogi'!O673+'Tab. 6A -Drogi'!O681</f>
        <v>12244846</v>
      </c>
      <c r="M102" s="2701">
        <f>'Tab. 6A -Drogi'!P660+'Tab. 6E - Administracja'!P257+'Tab. 6A -Drogi'!P673+'Tab. 6A -Drogi'!P681</f>
        <v>14212618</v>
      </c>
      <c r="N102" s="2701">
        <f>'Tab. 6A -Drogi'!Q660+'Tab. 6E - Administracja'!Q257+'Tab. 6A -Drogi'!Q673+'Tab. 6A -Drogi'!Q681</f>
        <v>13397794</v>
      </c>
      <c r="O102" s="2701">
        <f>'Tab. 6A -Drogi'!R660+'Tab. 6E - Administracja'!R257+'Tab. 6A -Drogi'!R673+'Tab. 6A -Drogi'!R681</f>
        <v>12000000</v>
      </c>
      <c r="P102" s="2701">
        <f>'Tab. 6A -Drogi'!S660+'Tab. 6E - Administracja'!S257+'Tab. 6A -Drogi'!S673+'Tab. 6A -Drogi'!S681</f>
        <v>12000000</v>
      </c>
      <c r="Q102" s="2701">
        <f>'Tab. 6A -Drogi'!T660+'Tab. 6E - Administracja'!T257+'Tab. 6A -Drogi'!T673+'Tab. 6A -Drogi'!T681</f>
        <v>12000000</v>
      </c>
      <c r="R102" s="2701">
        <f>'Tab. 6A -Drogi'!U660+'Tab. 6E - Administracja'!U257+'Tab. 6A -Drogi'!U673+'Tab. 6A -Drogi'!U681</f>
        <v>0</v>
      </c>
      <c r="S102" s="2701">
        <f>'Tab. 6A -Drogi'!V660+'Tab. 6E - Administracja'!V257+'Tab. 6A -Drogi'!V673+'Tab. 6A -Drogi'!V681</f>
        <v>0</v>
      </c>
      <c r="T102" s="2701">
        <f>'Tab. 6A -Drogi'!W660+'Tab. 6E - Administracja'!W257+'Tab. 6A -Drogi'!W673+'Tab. 6A -Drogi'!W681</f>
        <v>0</v>
      </c>
      <c r="U102" s="2703">
        <f>J102+M102+N102+O102+P102+Q102+R102+S102+T102</f>
        <v>77270509</v>
      </c>
      <c r="V102" s="2663"/>
      <c r="W102" s="2663"/>
    </row>
    <row r="103" spans="1:23" s="2664" customFormat="1" ht="18" hidden="1" customHeight="1">
      <c r="A103" s="2700" t="s">
        <v>53</v>
      </c>
      <c r="B103" s="2701">
        <f>'Tab. 6A -Drogi'!E590-'Tab. 6A -Drogi'!E660+'Tab. 6C - Ochrona zdrowia'!E24+'Tab. 6D - Oświata'!E86+'Tab. 6F - Kultura'!E18+'Tab. 6G - Roln i ochrona środ.'!E205</f>
        <v>279786</v>
      </c>
      <c r="C103" s="2701">
        <f>'Tab. 6A -Drogi'!F590-'Tab. 6A -Drogi'!F660+'Tab. 6C - Ochrona zdrowia'!F24+'Tab. 6D - Oświata'!F86+'Tab. 6F - Kultura'!F18+'Tab. 6G - Roln i ochrona środ.'!F205</f>
        <v>0</v>
      </c>
      <c r="D103" s="2701">
        <f>'Tab. 6A -Drogi'!G590-'Tab. 6A -Drogi'!G660+'Tab. 6C - Ochrona zdrowia'!G24+'Tab. 6D - Oświata'!G86+'Tab. 6F - Kultura'!G18+'Tab. 6G - Roln i ochrona środ.'!G205</f>
        <v>0</v>
      </c>
      <c r="E103" s="2701">
        <f>'Tab. 6A -Drogi'!H590-'Tab. 6A -Drogi'!H660+'Tab. 6C - Ochrona zdrowia'!H24+'Tab. 6D - Oświata'!H86+'Tab. 6F - Kultura'!H18+'Tab. 6G - Roln i ochrona środ.'!H205</f>
        <v>279786</v>
      </c>
      <c r="F103" s="2701">
        <f>'Tab. 6A -Drogi'!I590-'Tab. 6A -Drogi'!I660+'Tab. 6C - Ochrona zdrowia'!I24+'Tab. 6D - Oświata'!I86+'Tab. 6F - Kultura'!I18+'Tab. 6G - Roln i ochrona środ.'!I205</f>
        <v>2596431</v>
      </c>
      <c r="G103" s="2701">
        <f>'Tab. 6A -Drogi'!J590-'Tab. 6A -Drogi'!J660+'Tab. 6C - Ochrona zdrowia'!J24+'Tab. 6D - Oświata'!J86+'Tab. 6F - Kultura'!J18+'Tab. 6G - Roln i ochrona środ.'!J205</f>
        <v>10430330</v>
      </c>
      <c r="H103" s="2701" t="e">
        <f>'Tab. 6A -Drogi'!K590-'Tab. 6A -Drogi'!K660+'Tab. 6C - Ochrona zdrowia'!K24+'Tab. 6D - Oświata'!K86+'Tab. 6F - Kultura'!K18+'Tab. 6G - Roln i ochrona środ.'!K189</f>
        <v>#REF!</v>
      </c>
      <c r="I103" s="2701">
        <f>'Tab. 6A -Drogi'!L590-'Tab. 6A -Drogi'!L660+'Tab. 6C - Ochrona zdrowia'!L24+'Tab. 6D - Oświata'!L86+'Tab. 6F - Kultura'!L18+'Tab. 6G - Roln i ochrona środ.'!L189</f>
        <v>883044</v>
      </c>
      <c r="J103" s="2701">
        <f>'Tab. 6A -Drogi'!M590-'Tab. 6A -Drogi'!M660+'Tab. 6C - Ochrona zdrowia'!M24+'Tab. 6D - Oświata'!M86+'Tab. 6F - Kultura'!M18+'Tab. 6G - Roln i ochrona środ.'!M189</f>
        <v>36192511</v>
      </c>
      <c r="K103" s="2701">
        <f>'Tab. 6A -Drogi'!N629+'Tab. 6C - Ochrona zdrowia'!N24+'Tab. 6D - Oświata'!N86+'Tab. 6F - Kultura'!N18+'Tab. 6G - Roln i ochrona środ.'!N189</f>
        <v>9964019</v>
      </c>
      <c r="L103" s="2702">
        <f>'Tab. 6A -Drogi'!O590-'Tab. 6A -Drogi'!O660-'Tab. 6A -Drogi'!O673-'Tab. 6A -Drogi'!O681+'Tab. 6C - Ochrona zdrowia'!O24+'Tab. 6D - Oświata'!O86+'Tab. 6F - Kultura'!O18+'Tab. 6G - Roln i ochrona środ.'!O189</f>
        <v>15816258</v>
      </c>
      <c r="M103" s="2701">
        <f>'Tab. 6A -Drogi'!P590-'Tab. 6A -Drogi'!P660-'Tab. 6A -Drogi'!P673-'Tab. 6A -Drogi'!P681+'Tab. 6C - Ochrona zdrowia'!P24+'Tab. 6D - Oświata'!P86+'Tab. 6F - Kultura'!P18+'Tab. 6G - Roln i ochrona środ.'!P189</f>
        <v>0</v>
      </c>
      <c r="N103" s="2701">
        <f>'Tab. 6A -Drogi'!Q590-'Tab. 6A -Drogi'!Q660-'Tab. 6A -Drogi'!Q673-'Tab. 6A -Drogi'!Q681+'Tab. 6C - Ochrona zdrowia'!Q24+'Tab. 6D - Oświata'!Q86+'Tab. 6F - Kultura'!Q18+'Tab. 6G - Roln i ochrona środ.'!Q189</f>
        <v>30272237</v>
      </c>
      <c r="O103" s="2701">
        <f>'Tab. 6A -Drogi'!R590-'Tab. 6A -Drogi'!R660-'Tab. 6A -Drogi'!R673-'Tab. 6A -Drogi'!R681+'Tab. 6C - Ochrona zdrowia'!R24+'Tab. 6D - Oświata'!R86+'Tab. 6F - Kultura'!R18+'Tab. 6G - Roln i ochrona środ.'!R189</f>
        <v>20719897</v>
      </c>
      <c r="P103" s="2701">
        <f>'Tab. 6A -Drogi'!S590-'Tab. 6A -Drogi'!S660-'Tab. 6A -Drogi'!S673-'Tab. 6A -Drogi'!S681+'Tab. 6C - Ochrona zdrowia'!S24+'Tab. 6D - Oświata'!S86+'Tab. 6F - Kultura'!S18+'Tab. 6G - Roln i ochrona środ.'!S189</f>
        <v>42547360</v>
      </c>
      <c r="Q103" s="2701">
        <f>'Tab. 6A -Drogi'!T590-'Tab. 6A -Drogi'!T660-'Tab. 6A -Drogi'!T673-'Tab. 6A -Drogi'!T681+'Tab. 6C - Ochrona zdrowia'!T24+'Tab. 6D - Oświata'!T86+'Tab. 6F - Kultura'!T18+'Tab. 6G - Roln i ochrona środ.'!T189</f>
        <v>24384000</v>
      </c>
      <c r="R103" s="2701">
        <f>'Tab. 6A -Drogi'!U590-'Tab. 6A -Drogi'!U660-'Tab. 6A -Drogi'!U673-'Tab. 6A -Drogi'!U681+'Tab. 6C - Ochrona zdrowia'!U24+'Tab. 6D - Oświata'!U86+'Tab. 6F - Kultura'!U18+'Tab. 6G - Roln i ochrona środ.'!U189</f>
        <v>42060800</v>
      </c>
      <c r="S103" s="2701">
        <f>'Tab. 6A -Drogi'!V590-'Tab. 6A -Drogi'!V660-'Tab. 6A -Drogi'!V673-'Tab. 6A -Drogi'!V681+'Tab. 6C - Ochrona zdrowia'!V24+'Tab. 6D - Oświata'!V86+'Tab. 6F - Kultura'!V18+'Tab. 6G - Roln i ochrona środ.'!V189</f>
        <v>2236889</v>
      </c>
      <c r="T103" s="2701">
        <f>'Tab. 6A -Drogi'!W590-'Tab. 6A -Drogi'!W660-'Tab. 6A -Drogi'!W673-'Tab. 6A -Drogi'!W681+'Tab. 6C - Ochrona zdrowia'!W24+'Tab. 6D - Oświata'!W86+'Tab. 6F - Kultura'!W18+'Tab. 6G - Roln i ochrona środ.'!W189</f>
        <v>0</v>
      </c>
      <c r="U103" s="2703">
        <f>J103+M103+N103+O103+P103+Q103+R103+S103+T103</f>
        <v>198413694</v>
      </c>
      <c r="V103" s="2663"/>
      <c r="W103" s="2663"/>
    </row>
    <row r="104" spans="1:23" s="2664" customFormat="1" ht="18" hidden="1" customHeight="1">
      <c r="A104" s="2692"/>
      <c r="B104" s="2690"/>
      <c r="C104" s="2690"/>
      <c r="D104" s="2690"/>
      <c r="E104" s="2690"/>
      <c r="F104" s="2690"/>
      <c r="G104" s="2690"/>
      <c r="H104" s="2690"/>
      <c r="I104" s="2690"/>
      <c r="J104" s="2690">
        <f>J101+J97-J91</f>
        <v>0</v>
      </c>
      <c r="K104" s="2690">
        <f t="shared" ref="K104:T104" si="59">K101+K97-K91</f>
        <v>0</v>
      </c>
      <c r="L104" s="2691">
        <f t="shared" si="59"/>
        <v>0</v>
      </c>
      <c r="M104" s="2690">
        <f>M101+M97-M91</f>
        <v>0</v>
      </c>
      <c r="N104" s="2690">
        <f>N101+N97-N91</f>
        <v>0</v>
      </c>
      <c r="O104" s="2690">
        <f t="shared" si="59"/>
        <v>0</v>
      </c>
      <c r="P104" s="2690">
        <f t="shared" si="59"/>
        <v>0</v>
      </c>
      <c r="Q104" s="2690">
        <f t="shared" si="59"/>
        <v>0</v>
      </c>
      <c r="R104" s="2690">
        <f t="shared" si="59"/>
        <v>0</v>
      </c>
      <c r="S104" s="2690">
        <f t="shared" si="59"/>
        <v>0</v>
      </c>
      <c r="T104" s="2690">
        <f t="shared" si="59"/>
        <v>0</v>
      </c>
      <c r="U104" s="2690">
        <f>U101+U97-U91</f>
        <v>0</v>
      </c>
      <c r="V104" s="2663"/>
      <c r="W104" s="2663"/>
    </row>
    <row r="105" spans="1:23" s="2664" customFormat="1" ht="18" hidden="1" customHeight="1" thickBot="1">
      <c r="A105" s="2704"/>
      <c r="B105" s="2705"/>
      <c r="C105" s="2705"/>
      <c r="D105" s="2705"/>
      <c r="E105" s="2705"/>
      <c r="F105" s="2705"/>
      <c r="G105" s="2705"/>
      <c r="H105" s="2705"/>
      <c r="I105" s="2705"/>
      <c r="J105" s="2705"/>
      <c r="K105" s="2705"/>
      <c r="L105" s="2706"/>
      <c r="M105" s="2705"/>
      <c r="N105" s="2705"/>
      <c r="O105" s="2705"/>
      <c r="P105" s="2705"/>
      <c r="Q105" s="2705"/>
      <c r="R105" s="2705"/>
      <c r="S105" s="2705"/>
      <c r="T105" s="2705"/>
      <c r="U105" s="2705"/>
      <c r="V105" s="2663"/>
      <c r="W105" s="2663"/>
    </row>
    <row r="106" spans="1:23" s="2664" customFormat="1" ht="18" hidden="1" customHeight="1">
      <c r="A106" s="2659"/>
      <c r="B106" s="2660"/>
      <c r="C106" s="2662"/>
      <c r="D106" s="2662"/>
      <c r="E106" s="2662"/>
      <c r="F106" s="2660"/>
      <c r="G106" s="2660"/>
      <c r="H106" s="2660"/>
      <c r="I106" s="2660"/>
      <c r="J106" s="2660">
        <f>+J85-J59</f>
        <v>0</v>
      </c>
      <c r="K106" s="2660">
        <f t="shared" ref="K106:T106" si="60">+K85-K59</f>
        <v>0</v>
      </c>
      <c r="L106" s="2662">
        <f>+L85-L59</f>
        <v>0</v>
      </c>
      <c r="M106" s="2660">
        <f t="shared" si="60"/>
        <v>0</v>
      </c>
      <c r="N106" s="2660">
        <f>+N85-N59</f>
        <v>0</v>
      </c>
      <c r="O106" s="2660">
        <f>+O85-O59</f>
        <v>0</v>
      </c>
      <c r="P106" s="2660">
        <f t="shared" si="60"/>
        <v>0</v>
      </c>
      <c r="Q106" s="2660">
        <f t="shared" si="60"/>
        <v>0</v>
      </c>
      <c r="R106" s="2660">
        <f t="shared" si="60"/>
        <v>0</v>
      </c>
      <c r="S106" s="2660">
        <f t="shared" si="60"/>
        <v>0</v>
      </c>
      <c r="T106" s="2660">
        <f t="shared" si="60"/>
        <v>0</v>
      </c>
      <c r="U106" s="2660">
        <f>+U85-U59</f>
        <v>0</v>
      </c>
      <c r="V106" s="2660"/>
      <c r="W106" s="2663"/>
    </row>
    <row r="107" spans="1:23" s="2664" customFormat="1" ht="18" hidden="1" customHeight="1" thickBot="1">
      <c r="A107" s="2659"/>
      <c r="B107" s="2660">
        <f t="shared" ref="B107:U107" si="61">B12+B59</f>
        <v>11284352</v>
      </c>
      <c r="C107" s="2660">
        <f t="shared" si="61"/>
        <v>46426</v>
      </c>
      <c r="D107" s="2660">
        <f t="shared" si="61"/>
        <v>5432437</v>
      </c>
      <c r="E107" s="2660">
        <f t="shared" si="61"/>
        <v>5577389.0600000005</v>
      </c>
      <c r="F107" s="2660">
        <f t="shared" si="61"/>
        <v>12371050.300000001</v>
      </c>
      <c r="G107" s="2660">
        <f t="shared" si="61"/>
        <v>40848861.299999997</v>
      </c>
      <c r="H107" s="2660">
        <f t="shared" si="61"/>
        <v>55403937</v>
      </c>
      <c r="I107" s="2660">
        <f t="shared" si="61"/>
        <v>139692178</v>
      </c>
      <c r="J107" s="2660">
        <f t="shared" si="61"/>
        <v>562755532</v>
      </c>
      <c r="K107" s="2660">
        <f t="shared" si="61"/>
        <v>174516408</v>
      </c>
      <c r="L107" s="2662">
        <f t="shared" si="61"/>
        <v>171471348</v>
      </c>
      <c r="M107" s="2660">
        <f t="shared" si="61"/>
        <v>186590534</v>
      </c>
      <c r="N107" s="2660">
        <f t="shared" si="61"/>
        <v>626683848</v>
      </c>
      <c r="O107" s="2660">
        <f t="shared" si="61"/>
        <v>572049747</v>
      </c>
      <c r="P107" s="2660">
        <f t="shared" si="61"/>
        <v>296756227</v>
      </c>
      <c r="Q107" s="2660">
        <f t="shared" si="61"/>
        <v>253757631</v>
      </c>
      <c r="R107" s="2660">
        <f t="shared" si="61"/>
        <v>87618497</v>
      </c>
      <c r="S107" s="2660">
        <f t="shared" si="61"/>
        <v>43852179</v>
      </c>
      <c r="T107" s="2660">
        <f t="shared" si="61"/>
        <v>39930442</v>
      </c>
      <c r="U107" s="2660">
        <f t="shared" si="61"/>
        <v>2704302084</v>
      </c>
      <c r="V107" s="2660"/>
      <c r="W107" s="2663"/>
    </row>
    <row r="108" spans="1:23" s="2664" customFormat="1" ht="16.5" hidden="1" customHeight="1" thickBot="1">
      <c r="A108" s="2659"/>
      <c r="B108" s="2707" t="s">
        <v>5</v>
      </c>
      <c r="C108" s="2708" t="s">
        <v>6</v>
      </c>
      <c r="D108" s="2708" t="s">
        <v>7</v>
      </c>
      <c r="E108" s="2708" t="s">
        <v>8</v>
      </c>
      <c r="F108" s="2707" t="s">
        <v>9</v>
      </c>
      <c r="G108" s="2707" t="s">
        <v>10</v>
      </c>
      <c r="H108" s="2707" t="s">
        <v>11</v>
      </c>
      <c r="I108" s="2707" t="s">
        <v>12</v>
      </c>
      <c r="J108" s="2709" t="s">
        <v>493</v>
      </c>
      <c r="K108" s="2710" t="s">
        <v>13</v>
      </c>
      <c r="L108" s="2711" t="s">
        <v>14</v>
      </c>
      <c r="M108" s="2712" t="s">
        <v>15</v>
      </c>
      <c r="N108" s="2713" t="s">
        <v>16</v>
      </c>
      <c r="O108" s="2714" t="s">
        <v>17</v>
      </c>
      <c r="P108" s="2714" t="s">
        <v>259</v>
      </c>
      <c r="Q108" s="2714" t="s">
        <v>263</v>
      </c>
      <c r="R108" s="2714" t="s">
        <v>324</v>
      </c>
      <c r="S108" s="2714" t="s">
        <v>325</v>
      </c>
      <c r="T108" s="2714" t="s">
        <v>323</v>
      </c>
      <c r="U108" s="2715" t="s">
        <v>59</v>
      </c>
      <c r="V108" s="2715" t="s">
        <v>313</v>
      </c>
      <c r="W108" s="2663"/>
    </row>
    <row r="109" spans="1:23" s="2664" customFormat="1" ht="18" hidden="1" customHeight="1">
      <c r="A109" s="2659"/>
      <c r="B109" s="2660"/>
      <c r="C109" s="2662"/>
      <c r="D109" s="2662"/>
      <c r="E109" s="2662"/>
      <c r="F109" s="2660"/>
      <c r="G109" s="2660"/>
      <c r="H109" s="2660"/>
      <c r="I109" s="2660"/>
      <c r="J109" s="2660"/>
      <c r="K109" s="2660"/>
      <c r="L109" s="2716"/>
      <c r="M109" s="2717"/>
      <c r="N109" s="2660"/>
      <c r="O109" s="2660"/>
      <c r="P109" s="2660"/>
      <c r="Q109" s="2660"/>
      <c r="R109" s="2660"/>
      <c r="S109" s="2660"/>
      <c r="T109" s="2660"/>
      <c r="U109" s="2660"/>
      <c r="V109" s="2718"/>
      <c r="W109" s="2663"/>
    </row>
    <row r="110" spans="1:23" s="2664" customFormat="1" ht="18" hidden="1" customHeight="1">
      <c r="A110" s="2659"/>
      <c r="B110" s="2660"/>
      <c r="C110" s="2662"/>
      <c r="D110" s="2662"/>
      <c r="E110" s="2662"/>
      <c r="F110" s="2660"/>
      <c r="G110" s="2660"/>
      <c r="H110" s="2660"/>
      <c r="I110" s="2660"/>
      <c r="J110" s="2660"/>
      <c r="K110" s="2660"/>
      <c r="L110" s="2716"/>
      <c r="M110" s="2717"/>
      <c r="N110" s="2660"/>
      <c r="O110" s="2660"/>
      <c r="P110" s="2660"/>
      <c r="Q110" s="2660"/>
      <c r="R110" s="2660"/>
      <c r="S110" s="2660"/>
      <c r="T110" s="2660"/>
      <c r="U110" s="2660"/>
      <c r="V110" s="2718"/>
      <c r="W110" s="2663"/>
    </row>
    <row r="111" spans="1:23" s="899" customFormat="1" ht="12.75" hidden="1" customHeight="1">
      <c r="A111" s="2613"/>
      <c r="B111" s="2545"/>
      <c r="C111" s="2545"/>
      <c r="D111" s="2545"/>
      <c r="E111" s="2545"/>
      <c r="F111" s="2545"/>
      <c r="G111" s="2545"/>
      <c r="H111" s="2545"/>
      <c r="I111" s="2545">
        <f>+I13+I60</f>
        <v>83203851</v>
      </c>
      <c r="J111" s="2545"/>
      <c r="K111" s="2545">
        <f t="shared" ref="K111:O112" si="62">+K13+K60</f>
        <v>89652688</v>
      </c>
      <c r="L111" s="2719">
        <f t="shared" si="62"/>
        <v>96845803</v>
      </c>
      <c r="M111" s="2720">
        <f t="shared" si="62"/>
        <v>135647985</v>
      </c>
      <c r="N111" s="2545">
        <f t="shared" si="62"/>
        <v>205555457</v>
      </c>
      <c r="O111" s="2545">
        <f t="shared" si="62"/>
        <v>195249164</v>
      </c>
      <c r="P111" s="2545"/>
      <c r="Q111" s="2545"/>
      <c r="R111" s="2545"/>
      <c r="S111" s="2545"/>
      <c r="T111" s="2545"/>
      <c r="U111" s="2545"/>
      <c r="W111" s="896"/>
    </row>
    <row r="112" spans="1:23" s="899" customFormat="1" ht="28.5" hidden="1" customHeight="1">
      <c r="A112" s="2721"/>
      <c r="B112" s="2721"/>
      <c r="C112" s="2721"/>
      <c r="D112" s="2721"/>
      <c r="E112" s="2721"/>
      <c r="F112" s="2721"/>
      <c r="G112" s="2721"/>
      <c r="H112" s="2721"/>
      <c r="I112" s="2722">
        <f>+I14+I61</f>
        <v>56488327</v>
      </c>
      <c r="J112" s="2722"/>
      <c r="K112" s="2722">
        <f t="shared" si="62"/>
        <v>84863720</v>
      </c>
      <c r="L112" s="2723">
        <f t="shared" si="62"/>
        <v>74625545</v>
      </c>
      <c r="M112" s="2724">
        <f t="shared" si="62"/>
        <v>50942549</v>
      </c>
      <c r="N112" s="2722">
        <f t="shared" si="62"/>
        <v>421128391</v>
      </c>
      <c r="O112" s="2722">
        <f t="shared" si="62"/>
        <v>376800583</v>
      </c>
      <c r="P112" s="2722"/>
      <c r="Q112" s="2722"/>
      <c r="R112" s="2722"/>
      <c r="S112" s="2722"/>
      <c r="T112" s="2722"/>
      <c r="U112" s="2721"/>
      <c r="V112" s="2721"/>
      <c r="W112" s="896"/>
    </row>
    <row r="113" spans="1:23" s="899" customFormat="1" ht="8.25" hidden="1" customHeight="1" thickBot="1">
      <c r="A113" s="2613"/>
      <c r="B113" s="2545"/>
      <c r="C113" s="2545"/>
      <c r="D113" s="2545"/>
      <c r="E113" s="2545"/>
      <c r="F113" s="2545"/>
      <c r="G113" s="2545"/>
      <c r="H113" s="2545"/>
      <c r="I113" s="2545"/>
      <c r="J113" s="2545"/>
      <c r="K113" s="2545"/>
      <c r="L113" s="2719"/>
      <c r="M113" s="2720"/>
      <c r="N113" s="2545"/>
      <c r="O113" s="2545"/>
      <c r="P113" s="2545"/>
      <c r="Q113" s="2545"/>
      <c r="R113" s="2545"/>
      <c r="S113" s="2545"/>
      <c r="T113" s="2545"/>
      <c r="U113" s="2545"/>
      <c r="W113" s="896"/>
    </row>
    <row r="114" spans="1:23" s="899" customFormat="1" ht="12.75" hidden="1" customHeight="1">
      <c r="A114" s="2613"/>
      <c r="B114" s="2545"/>
      <c r="C114" s="2545"/>
      <c r="D114" s="2545"/>
      <c r="E114" s="2545"/>
      <c r="F114" s="3564" t="s">
        <v>60</v>
      </c>
      <c r="G114" s="3565"/>
      <c r="H114" s="3565"/>
      <c r="I114" s="2725">
        <f>+I115+I116</f>
        <v>139692178</v>
      </c>
      <c r="J114" s="2725"/>
      <c r="K114" s="2725">
        <f t="shared" ref="K114:U114" si="63">+K115+K116</f>
        <v>174516408</v>
      </c>
      <c r="L114" s="2726">
        <f t="shared" si="63"/>
        <v>171471348</v>
      </c>
      <c r="M114" s="2727">
        <f t="shared" si="63"/>
        <v>186590534</v>
      </c>
      <c r="N114" s="2728">
        <f t="shared" si="63"/>
        <v>626683848</v>
      </c>
      <c r="O114" s="2728">
        <f>+O115+O116</f>
        <v>572049747</v>
      </c>
      <c r="P114" s="2728"/>
      <c r="Q114" s="2728"/>
      <c r="R114" s="2728"/>
      <c r="S114" s="2728"/>
      <c r="T114" s="2728"/>
      <c r="U114" s="2725">
        <f t="shared" si="63"/>
        <v>2704302084</v>
      </c>
      <c r="V114" s="2729"/>
      <c r="W114" s="896"/>
    </row>
    <row r="115" spans="1:23" s="899" customFormat="1" ht="12.75" hidden="1" customHeight="1">
      <c r="A115" s="2613"/>
      <c r="B115" s="2545"/>
      <c r="C115" s="2545"/>
      <c r="D115" s="2545"/>
      <c r="E115" s="2545"/>
      <c r="F115" s="3566"/>
      <c r="G115" s="3567"/>
      <c r="H115" s="3567"/>
      <c r="I115" s="2730">
        <f>+I13+I60</f>
        <v>83203851</v>
      </c>
      <c r="J115" s="2730"/>
      <c r="K115" s="2730">
        <f t="shared" ref="K115:O116" si="64">+K13+K60</f>
        <v>89652688</v>
      </c>
      <c r="L115" s="2731">
        <f t="shared" si="64"/>
        <v>96845803</v>
      </c>
      <c r="M115" s="2732">
        <f t="shared" si="64"/>
        <v>135647985</v>
      </c>
      <c r="N115" s="2733">
        <f t="shared" si="64"/>
        <v>205555457</v>
      </c>
      <c r="O115" s="2733">
        <f t="shared" si="64"/>
        <v>195249164</v>
      </c>
      <c r="P115" s="2733"/>
      <c r="Q115" s="2733"/>
      <c r="R115" s="2733"/>
      <c r="S115" s="2733"/>
      <c r="T115" s="2733"/>
      <c r="U115" s="2730">
        <f>+U13+U60</f>
        <v>1295640748</v>
      </c>
      <c r="V115" s="2734"/>
      <c r="W115" s="896"/>
    </row>
    <row r="116" spans="1:23" s="899" customFormat="1" ht="12.75" hidden="1" customHeight="1" thickBot="1">
      <c r="A116" s="2613"/>
      <c r="B116" s="2545"/>
      <c r="C116" s="2545"/>
      <c r="D116" s="2545"/>
      <c r="E116" s="2545"/>
      <c r="F116" s="2735"/>
      <c r="G116" s="2736"/>
      <c r="H116" s="2736"/>
      <c r="I116" s="2737">
        <f>+I14+I61</f>
        <v>56488327</v>
      </c>
      <c r="J116" s="2737"/>
      <c r="K116" s="2737">
        <f t="shared" si="64"/>
        <v>84863720</v>
      </c>
      <c r="L116" s="2738">
        <f t="shared" si="64"/>
        <v>74625545</v>
      </c>
      <c r="M116" s="2739">
        <f t="shared" si="64"/>
        <v>50942549</v>
      </c>
      <c r="N116" s="2740">
        <f t="shared" si="64"/>
        <v>421128391</v>
      </c>
      <c r="O116" s="2740">
        <f t="shared" si="64"/>
        <v>376800583</v>
      </c>
      <c r="P116" s="2740"/>
      <c r="Q116" s="2740"/>
      <c r="R116" s="2740"/>
      <c r="S116" s="2740"/>
      <c r="T116" s="2740"/>
      <c r="U116" s="2737">
        <f>+U14+U61</f>
        <v>1408661336</v>
      </c>
      <c r="V116" s="2741"/>
      <c r="W116" s="896"/>
    </row>
    <row r="117" spans="1:23" s="899" customFormat="1" ht="21.75" hidden="1" customHeight="1">
      <c r="A117" s="2742" t="s">
        <v>61</v>
      </c>
      <c r="B117" s="2743" t="e">
        <f t="shared" ref="B117:U117" si="65">+B85+B48</f>
        <v>#REF!</v>
      </c>
      <c r="C117" s="2743" t="e">
        <f t="shared" si="65"/>
        <v>#REF!</v>
      </c>
      <c r="D117" s="2743" t="e">
        <f t="shared" si="65"/>
        <v>#REF!</v>
      </c>
      <c r="E117" s="2743" t="e">
        <f t="shared" si="65"/>
        <v>#REF!</v>
      </c>
      <c r="F117" s="2743" t="e">
        <f t="shared" si="65"/>
        <v>#REF!</v>
      </c>
      <c r="G117" s="2743" t="e">
        <f t="shared" si="65"/>
        <v>#REF!</v>
      </c>
      <c r="H117" s="2743" t="e">
        <f t="shared" si="65"/>
        <v>#REF!</v>
      </c>
      <c r="I117" s="2743" t="e">
        <f t="shared" si="65"/>
        <v>#REF!</v>
      </c>
      <c r="J117" s="2743"/>
      <c r="K117" s="2743">
        <f t="shared" si="65"/>
        <v>174516408</v>
      </c>
      <c r="L117" s="2744">
        <f t="shared" si="65"/>
        <v>171471348</v>
      </c>
      <c r="M117" s="2745">
        <f t="shared" si="65"/>
        <v>186590534</v>
      </c>
      <c r="N117" s="2743">
        <f t="shared" si="65"/>
        <v>626683848</v>
      </c>
      <c r="O117" s="2743">
        <f t="shared" si="65"/>
        <v>572049747</v>
      </c>
      <c r="P117" s="2743"/>
      <c r="Q117" s="2743"/>
      <c r="R117" s="2743"/>
      <c r="S117" s="2743"/>
      <c r="T117" s="2743"/>
      <c r="U117" s="2743">
        <f t="shared" si="65"/>
        <v>2704302084.3000002</v>
      </c>
      <c r="V117" s="2746"/>
      <c r="W117" s="896"/>
    </row>
    <row r="118" spans="1:23" s="899" customFormat="1" ht="9.75" hidden="1" customHeight="1">
      <c r="A118" s="2742"/>
      <c r="B118" s="2722"/>
      <c r="C118" s="2722" t="e">
        <v>#REF!</v>
      </c>
      <c r="D118" s="2722" t="e">
        <v>#REF!</v>
      </c>
      <c r="E118" s="2722" t="e">
        <v>#REF!</v>
      </c>
      <c r="F118" s="2722"/>
      <c r="G118" s="2722"/>
      <c r="H118" s="2722"/>
      <c r="I118" s="2722" t="e">
        <f>+I117-I114</f>
        <v>#REF!</v>
      </c>
      <c r="J118" s="2722"/>
      <c r="K118" s="2722">
        <f t="shared" ref="K118:U118" si="66">+K117-K114</f>
        <v>0</v>
      </c>
      <c r="L118" s="2723">
        <f t="shared" si="66"/>
        <v>0</v>
      </c>
      <c r="M118" s="2724">
        <f t="shared" si="66"/>
        <v>0</v>
      </c>
      <c r="N118" s="2722">
        <f t="shared" si="66"/>
        <v>0</v>
      </c>
      <c r="O118" s="2722">
        <f t="shared" si="66"/>
        <v>0</v>
      </c>
      <c r="P118" s="2722"/>
      <c r="Q118" s="2722"/>
      <c r="R118" s="2722"/>
      <c r="S118" s="2722"/>
      <c r="T118" s="2722"/>
      <c r="U118" s="2722">
        <f t="shared" si="66"/>
        <v>0.30000019073486328</v>
      </c>
      <c r="V118" s="2545"/>
      <c r="W118" s="896"/>
    </row>
    <row r="119" spans="1:23" s="899" customFormat="1" ht="15.75" hidden="1" customHeight="1" thickBot="1">
      <c r="A119" s="2742" t="s">
        <v>62</v>
      </c>
      <c r="B119" s="2743" t="e">
        <f t="shared" ref="B119:U119" si="67">+B86+B49</f>
        <v>#REF!</v>
      </c>
      <c r="C119" s="2743" t="e">
        <f t="shared" si="67"/>
        <v>#REF!</v>
      </c>
      <c r="D119" s="2743" t="e">
        <f t="shared" si="67"/>
        <v>#REF!</v>
      </c>
      <c r="E119" s="2743" t="e">
        <f t="shared" si="67"/>
        <v>#REF!</v>
      </c>
      <c r="F119" s="2743" t="e">
        <f t="shared" si="67"/>
        <v>#REF!</v>
      </c>
      <c r="G119" s="2743" t="e">
        <f t="shared" si="67"/>
        <v>#REF!</v>
      </c>
      <c r="H119" s="2743" t="e">
        <f t="shared" si="67"/>
        <v>#REF!</v>
      </c>
      <c r="I119" s="2743" t="e">
        <f t="shared" si="67"/>
        <v>#REF!</v>
      </c>
      <c r="J119" s="2743"/>
      <c r="K119" s="2743">
        <f t="shared" si="67"/>
        <v>81459344</v>
      </c>
      <c r="L119" s="2744">
        <f t="shared" si="67"/>
        <v>84536628</v>
      </c>
      <c r="M119" s="2745">
        <f t="shared" si="67"/>
        <v>85724499</v>
      </c>
      <c r="N119" s="2743">
        <f t="shared" si="67"/>
        <v>397880133</v>
      </c>
      <c r="O119" s="2743">
        <f t="shared" si="67"/>
        <v>344790304</v>
      </c>
      <c r="P119" s="2743"/>
      <c r="Q119" s="2743"/>
      <c r="R119" s="2743"/>
      <c r="S119" s="2743"/>
      <c r="T119" s="2743"/>
      <c r="U119" s="2743">
        <f t="shared" si="67"/>
        <v>1468946060</v>
      </c>
      <c r="V119" s="2545"/>
      <c r="W119" s="896"/>
    </row>
    <row r="120" spans="1:23" ht="1.5" hidden="1" customHeight="1">
      <c r="A120" s="3560" t="s">
        <v>546</v>
      </c>
      <c r="B120" s="2747"/>
      <c r="C120" s="2747"/>
      <c r="D120" s="2747"/>
      <c r="E120" s="2747"/>
      <c r="F120" s="2747"/>
      <c r="G120" s="2747"/>
      <c r="H120" s="2747"/>
      <c r="I120" s="2747"/>
      <c r="J120" s="2747"/>
      <c r="K120" s="2748"/>
      <c r="L120" s="2748"/>
      <c r="M120" s="2749"/>
      <c r="N120" s="2750"/>
      <c r="O120" s="2747"/>
      <c r="P120" s="2747"/>
      <c r="Q120" s="2747"/>
      <c r="R120" s="2747"/>
      <c r="S120" s="2747"/>
      <c r="T120" s="2747"/>
      <c r="U120" s="2747"/>
      <c r="V120" s="2751"/>
    </row>
    <row r="121" spans="1:23" s="2532" customFormat="1" ht="27.75" hidden="1" customHeight="1" thickBot="1">
      <c r="A121" s="3561"/>
      <c r="B121" s="2752" t="e">
        <f t="shared" ref="B121:U121" si="68">+B85+B48</f>
        <v>#REF!</v>
      </c>
      <c r="C121" s="2753" t="e">
        <f t="shared" si="68"/>
        <v>#REF!</v>
      </c>
      <c r="D121" s="2753" t="e">
        <f t="shared" si="68"/>
        <v>#REF!</v>
      </c>
      <c r="E121" s="2753" t="e">
        <f t="shared" si="68"/>
        <v>#REF!</v>
      </c>
      <c r="F121" s="2752" t="e">
        <f t="shared" si="68"/>
        <v>#REF!</v>
      </c>
      <c r="G121" s="2752" t="e">
        <f t="shared" si="68"/>
        <v>#REF!</v>
      </c>
      <c r="H121" s="2752" t="e">
        <f t="shared" si="68"/>
        <v>#REF!</v>
      </c>
      <c r="I121" s="2752" t="e">
        <f t="shared" si="68"/>
        <v>#REF!</v>
      </c>
      <c r="J121" s="2752">
        <f>+J85+J48</f>
        <v>562755532.29999995</v>
      </c>
      <c r="K121" s="2754">
        <f t="shared" si="68"/>
        <v>174516408</v>
      </c>
      <c r="L121" s="2755">
        <f t="shared" si="68"/>
        <v>171471348</v>
      </c>
      <c r="M121" s="2756">
        <f t="shared" si="68"/>
        <v>186590534</v>
      </c>
      <c r="N121" s="2757">
        <f t="shared" si="68"/>
        <v>626683848</v>
      </c>
      <c r="O121" s="2752">
        <f t="shared" si="68"/>
        <v>572049747</v>
      </c>
      <c r="P121" s="2752">
        <f t="shared" si="68"/>
        <v>296756227</v>
      </c>
      <c r="Q121" s="2752">
        <f t="shared" si="68"/>
        <v>253757631</v>
      </c>
      <c r="R121" s="2752">
        <f>+R85+R48</f>
        <v>87618497</v>
      </c>
      <c r="S121" s="2752">
        <f>+S85+S48</f>
        <v>43852179</v>
      </c>
      <c r="T121" s="2752">
        <f>+T85+T48</f>
        <v>39930442</v>
      </c>
      <c r="U121" s="2752">
        <f t="shared" si="68"/>
        <v>2704302084.3000002</v>
      </c>
      <c r="V121" s="2758">
        <f>+V85+V48</f>
        <v>1954956018</v>
      </c>
      <c r="W121" s="301"/>
    </row>
    <row r="122" spans="1:23" hidden="1">
      <c r="A122" s="1" t="s">
        <v>63</v>
      </c>
      <c r="B122" s="2">
        <f t="shared" ref="B122:U122" si="69">+B18+B65+B27</f>
        <v>7448291</v>
      </c>
      <c r="C122" s="2">
        <f t="shared" si="69"/>
        <v>46426</v>
      </c>
      <c r="D122" s="2">
        <f t="shared" si="69"/>
        <v>5405437</v>
      </c>
      <c r="E122" s="2">
        <f t="shared" si="69"/>
        <v>1939894</v>
      </c>
      <c r="F122" s="2">
        <f t="shared" si="69"/>
        <v>2102586</v>
      </c>
      <c r="G122" s="2">
        <f t="shared" si="69"/>
        <v>4068620</v>
      </c>
      <c r="H122" s="2">
        <f t="shared" si="69"/>
        <v>13590240</v>
      </c>
      <c r="I122" s="2">
        <f t="shared" si="69"/>
        <v>89601743.299999997</v>
      </c>
      <c r="J122" s="2">
        <f t="shared" si="69"/>
        <v>311158236.30000001</v>
      </c>
      <c r="K122" s="337">
        <f t="shared" si="69"/>
        <v>97615233</v>
      </c>
      <c r="L122" s="337">
        <f t="shared" si="69"/>
        <v>96731568</v>
      </c>
      <c r="M122" s="339">
        <f t="shared" si="69"/>
        <v>108256640</v>
      </c>
      <c r="N122" s="338">
        <f t="shared" si="69"/>
        <v>222300871</v>
      </c>
      <c r="O122" s="2">
        <f t="shared" si="69"/>
        <v>222335030</v>
      </c>
      <c r="P122" s="2">
        <f t="shared" si="69"/>
        <v>169944565</v>
      </c>
      <c r="Q122" s="2">
        <f t="shared" si="69"/>
        <v>155728758</v>
      </c>
      <c r="R122" s="2">
        <f t="shared" si="69"/>
        <v>10517774</v>
      </c>
      <c r="S122" s="2">
        <f t="shared" si="69"/>
        <v>8592681</v>
      </c>
      <c r="T122" s="2">
        <f t="shared" si="69"/>
        <v>8633221</v>
      </c>
      <c r="U122" s="3">
        <f t="shared" si="69"/>
        <v>1251775223.3</v>
      </c>
      <c r="V122" s="2759">
        <f>+V18+V65+V27</f>
        <v>832360347</v>
      </c>
    </row>
    <row r="123" spans="1:23" hidden="1">
      <c r="A123" s="1" t="s">
        <v>64</v>
      </c>
      <c r="B123" s="3">
        <f t="shared" ref="B123:O123" si="70">+B68</f>
        <v>3431827</v>
      </c>
      <c r="C123" s="3">
        <f t="shared" si="70"/>
        <v>0</v>
      </c>
      <c r="D123" s="3">
        <f t="shared" si="70"/>
        <v>27000</v>
      </c>
      <c r="E123" s="3">
        <f t="shared" si="70"/>
        <v>3348880.0600000005</v>
      </c>
      <c r="F123" s="3">
        <f t="shared" si="70"/>
        <v>6763671</v>
      </c>
      <c r="G123" s="3">
        <f t="shared" si="70"/>
        <v>10907631</v>
      </c>
      <c r="H123" s="3">
        <f t="shared" si="70"/>
        <v>10053717</v>
      </c>
      <c r="I123" s="3">
        <f t="shared" si="70"/>
        <v>2123912</v>
      </c>
      <c r="J123" s="3">
        <f>+J68</f>
        <v>28476561</v>
      </c>
      <c r="K123" s="1186">
        <f t="shared" si="70"/>
        <v>13835578</v>
      </c>
      <c r="L123" s="1188">
        <f t="shared" si="70"/>
        <v>11604169</v>
      </c>
      <c r="M123" s="1192">
        <f t="shared" si="70"/>
        <v>4523735</v>
      </c>
      <c r="N123" s="1190">
        <f t="shared" si="70"/>
        <v>6017454</v>
      </c>
      <c r="O123" s="3">
        <f t="shared" si="70"/>
        <v>8596763</v>
      </c>
      <c r="P123" s="3">
        <f t="shared" ref="P123:V123" si="71">+P68</f>
        <v>12305000</v>
      </c>
      <c r="Q123" s="3">
        <f t="shared" si="71"/>
        <v>5657500</v>
      </c>
      <c r="R123" s="3">
        <f t="shared" si="71"/>
        <v>3566880</v>
      </c>
      <c r="S123" s="3">
        <f t="shared" si="71"/>
        <v>1472245</v>
      </c>
      <c r="T123" s="3">
        <f t="shared" si="71"/>
        <v>0</v>
      </c>
      <c r="U123" s="3">
        <f t="shared" si="71"/>
        <v>70616138</v>
      </c>
      <c r="V123" s="2760">
        <f t="shared" si="71"/>
        <v>37615842</v>
      </c>
    </row>
    <row r="124" spans="1:23" hidden="1">
      <c r="A124" s="650" t="s">
        <v>24</v>
      </c>
      <c r="B124" s="3" t="e">
        <f t="shared" ref="B124:V124" si="72">+B19+B70</f>
        <v>#REF!</v>
      </c>
      <c r="C124" s="3" t="e">
        <f t="shared" si="72"/>
        <v>#REF!</v>
      </c>
      <c r="D124" s="3" t="e">
        <f t="shared" si="72"/>
        <v>#REF!</v>
      </c>
      <c r="E124" s="3" t="e">
        <f t="shared" si="72"/>
        <v>#REF!</v>
      </c>
      <c r="F124" s="3" t="e">
        <f t="shared" si="72"/>
        <v>#REF!</v>
      </c>
      <c r="G124" s="3" t="e">
        <f t="shared" si="72"/>
        <v>#REF!</v>
      </c>
      <c r="H124" s="3" t="e">
        <f t="shared" si="72"/>
        <v>#REF!</v>
      </c>
      <c r="I124" s="3" t="e">
        <f t="shared" si="72"/>
        <v>#REF!</v>
      </c>
      <c r="J124" s="3">
        <f t="shared" si="72"/>
        <v>28096633</v>
      </c>
      <c r="K124" s="1186">
        <f t="shared" si="72"/>
        <v>10097910</v>
      </c>
      <c r="L124" s="1188">
        <f t="shared" si="72"/>
        <v>16764607</v>
      </c>
      <c r="M124" s="1192">
        <f t="shared" si="72"/>
        <v>1654478</v>
      </c>
      <c r="N124" s="1190">
        <f t="shared" si="72"/>
        <v>4690016</v>
      </c>
      <c r="O124" s="3">
        <f t="shared" si="72"/>
        <v>1648351</v>
      </c>
      <c r="P124" s="3">
        <f t="shared" si="72"/>
        <v>1151570</v>
      </c>
      <c r="Q124" s="3">
        <f t="shared" si="72"/>
        <v>1216734</v>
      </c>
      <c r="R124" s="3">
        <f t="shared" si="72"/>
        <v>989414</v>
      </c>
      <c r="S124" s="3">
        <f t="shared" si="72"/>
        <v>989414</v>
      </c>
      <c r="T124" s="3">
        <f t="shared" si="72"/>
        <v>494707</v>
      </c>
      <c r="U124" s="3">
        <f>+U19+U70</f>
        <v>40931317</v>
      </c>
      <c r="V124" s="2761">
        <f t="shared" si="72"/>
        <v>11180206</v>
      </c>
    </row>
    <row r="125" spans="1:23" ht="24" hidden="1">
      <c r="A125" s="650" t="s">
        <v>65</v>
      </c>
      <c r="B125" s="3">
        <f t="shared" ref="B125:V125" si="73">+B20+B72</f>
        <v>0</v>
      </c>
      <c r="C125" s="3">
        <f t="shared" si="73"/>
        <v>0</v>
      </c>
      <c r="D125" s="3">
        <f t="shared" si="73"/>
        <v>0</v>
      </c>
      <c r="E125" s="3">
        <f t="shared" si="73"/>
        <v>0</v>
      </c>
      <c r="F125" s="3">
        <f t="shared" si="73"/>
        <v>0</v>
      </c>
      <c r="G125" s="3">
        <f t="shared" si="73"/>
        <v>0</v>
      </c>
      <c r="H125" s="3">
        <f t="shared" si="73"/>
        <v>0</v>
      </c>
      <c r="I125" s="3">
        <f t="shared" si="73"/>
        <v>0</v>
      </c>
      <c r="J125" s="3">
        <f t="shared" si="73"/>
        <v>0</v>
      </c>
      <c r="K125" s="1186">
        <f t="shared" si="73"/>
        <v>0</v>
      </c>
      <c r="L125" s="1188">
        <f t="shared" si="73"/>
        <v>0</v>
      </c>
      <c r="M125" s="1192">
        <f t="shared" si="73"/>
        <v>0</v>
      </c>
      <c r="N125" s="1190">
        <f t="shared" si="73"/>
        <v>27618240</v>
      </c>
      <c r="O125" s="3">
        <f t="shared" si="73"/>
        <v>18864240</v>
      </c>
      <c r="P125" s="3">
        <f t="shared" si="73"/>
        <v>36547360</v>
      </c>
      <c r="Q125" s="3">
        <f t="shared" si="73"/>
        <v>20384000</v>
      </c>
      <c r="R125" s="3">
        <f t="shared" si="73"/>
        <v>40060800</v>
      </c>
      <c r="S125" s="3">
        <f t="shared" si="73"/>
        <v>586160</v>
      </c>
      <c r="T125" s="3">
        <f t="shared" si="73"/>
        <v>0</v>
      </c>
      <c r="U125" s="3">
        <f t="shared" si="73"/>
        <v>144060800</v>
      </c>
      <c r="V125" s="2762">
        <f t="shared" si="73"/>
        <v>144060800</v>
      </c>
      <c r="W125" s="299">
        <f>+U125+U130</f>
        <v>144060800</v>
      </c>
    </row>
    <row r="126" spans="1:23" hidden="1">
      <c r="A126" s="650" t="s">
        <v>26</v>
      </c>
      <c r="B126" s="3">
        <f t="shared" ref="B126:V126" si="74">+B21+B69</f>
        <v>279786</v>
      </c>
      <c r="C126" s="3">
        <f t="shared" si="74"/>
        <v>0</v>
      </c>
      <c r="D126" s="3">
        <f t="shared" si="74"/>
        <v>0</v>
      </c>
      <c r="E126" s="3">
        <f t="shared" si="74"/>
        <v>279786</v>
      </c>
      <c r="F126" s="3">
        <f t="shared" si="74"/>
        <v>2494494</v>
      </c>
      <c r="G126" s="3">
        <f t="shared" si="74"/>
        <v>4145000</v>
      </c>
      <c r="H126" s="3">
        <f t="shared" si="74"/>
        <v>7637689</v>
      </c>
      <c r="I126" s="3">
        <f t="shared" si="74"/>
        <v>762896</v>
      </c>
      <c r="J126" s="3">
        <f t="shared" si="74"/>
        <v>21465486</v>
      </c>
      <c r="K126" s="1186">
        <f t="shared" si="74"/>
        <v>4494308</v>
      </c>
      <c r="L126" s="1188">
        <f t="shared" si="74"/>
        <v>1651313</v>
      </c>
      <c r="M126" s="1192">
        <f t="shared" si="74"/>
        <v>2627200</v>
      </c>
      <c r="N126" s="1190">
        <f t="shared" si="74"/>
        <v>6793637</v>
      </c>
      <c r="O126" s="3">
        <f t="shared" si="74"/>
        <v>4774157</v>
      </c>
      <c r="P126" s="3">
        <f t="shared" si="74"/>
        <v>0</v>
      </c>
      <c r="Q126" s="3">
        <f t="shared" si="74"/>
        <v>0</v>
      </c>
      <c r="R126" s="3">
        <f t="shared" si="74"/>
        <v>0</v>
      </c>
      <c r="S126" s="3">
        <f t="shared" si="74"/>
        <v>0</v>
      </c>
      <c r="T126" s="3">
        <f t="shared" si="74"/>
        <v>0</v>
      </c>
      <c r="U126" s="3">
        <f t="shared" si="74"/>
        <v>35660480</v>
      </c>
      <c r="V126" s="2763">
        <f t="shared" si="74"/>
        <v>11567794</v>
      </c>
    </row>
    <row r="127" spans="1:23" hidden="1">
      <c r="A127" s="650" t="s">
        <v>66</v>
      </c>
      <c r="B127" s="3" t="e">
        <f t="shared" ref="B127:V127" si="75">+B22+B66</f>
        <v>#REF!</v>
      </c>
      <c r="C127" s="3" t="e">
        <f t="shared" si="75"/>
        <v>#REF!</v>
      </c>
      <c r="D127" s="3" t="e">
        <f t="shared" si="75"/>
        <v>#REF!</v>
      </c>
      <c r="E127" s="3" t="e">
        <f t="shared" si="75"/>
        <v>#REF!</v>
      </c>
      <c r="F127" s="3" t="e">
        <f t="shared" si="75"/>
        <v>#REF!</v>
      </c>
      <c r="G127" s="3" t="e">
        <f t="shared" si="75"/>
        <v>#REF!</v>
      </c>
      <c r="H127" s="3" t="e">
        <f t="shared" si="75"/>
        <v>#REF!</v>
      </c>
      <c r="I127" s="3">
        <f t="shared" si="75"/>
        <v>3261339</v>
      </c>
      <c r="J127" s="3">
        <f t="shared" si="75"/>
        <v>7366366</v>
      </c>
      <c r="K127" s="1186">
        <f t="shared" si="75"/>
        <v>0</v>
      </c>
      <c r="L127" s="1188">
        <f t="shared" si="75"/>
        <v>303250</v>
      </c>
      <c r="M127" s="1192">
        <f t="shared" si="75"/>
        <v>2039337</v>
      </c>
      <c r="N127" s="1190">
        <f t="shared" si="75"/>
        <v>23896915</v>
      </c>
      <c r="O127" s="3">
        <f t="shared" si="75"/>
        <v>16477588</v>
      </c>
      <c r="P127" s="3">
        <f t="shared" si="75"/>
        <v>4009238</v>
      </c>
      <c r="Q127" s="3">
        <f t="shared" si="75"/>
        <v>3747800</v>
      </c>
      <c r="R127" s="3">
        <f t="shared" si="75"/>
        <v>0</v>
      </c>
      <c r="S127" s="3">
        <f t="shared" si="75"/>
        <v>0</v>
      </c>
      <c r="T127" s="3">
        <f t="shared" si="75"/>
        <v>0</v>
      </c>
      <c r="U127" s="3">
        <f>+U22+U66</f>
        <v>57537244</v>
      </c>
      <c r="V127" s="2763">
        <f t="shared" si="75"/>
        <v>48131541</v>
      </c>
    </row>
    <row r="128" spans="1:23" hidden="1">
      <c r="A128" s="650" t="s">
        <v>31</v>
      </c>
      <c r="B128" s="3">
        <f t="shared" ref="B128:V128" si="76">+B29</f>
        <v>0</v>
      </c>
      <c r="C128" s="3">
        <f t="shared" si="76"/>
        <v>0</v>
      </c>
      <c r="D128" s="3">
        <f t="shared" si="76"/>
        <v>0</v>
      </c>
      <c r="E128" s="3">
        <f t="shared" si="76"/>
        <v>0</v>
      </c>
      <c r="F128" s="3">
        <f t="shared" si="76"/>
        <v>0</v>
      </c>
      <c r="G128" s="3">
        <f t="shared" si="76"/>
        <v>629249</v>
      </c>
      <c r="H128" s="3">
        <f t="shared" si="76"/>
        <v>2188317</v>
      </c>
      <c r="I128" s="3">
        <f t="shared" si="76"/>
        <v>1116737</v>
      </c>
      <c r="J128" s="3">
        <f t="shared" si="76"/>
        <v>11896328</v>
      </c>
      <c r="K128" s="1186">
        <f t="shared" si="76"/>
        <v>3209752</v>
      </c>
      <c r="L128" s="1188">
        <f t="shared" si="76"/>
        <v>4772600</v>
      </c>
      <c r="M128" s="1192">
        <f t="shared" si="76"/>
        <v>3990538</v>
      </c>
      <c r="N128" s="1190">
        <f t="shared" si="76"/>
        <v>25229283</v>
      </c>
      <c r="O128" s="3">
        <f t="shared" si="76"/>
        <v>6187721</v>
      </c>
      <c r="P128" s="3">
        <f t="shared" si="76"/>
        <v>6609205</v>
      </c>
      <c r="Q128" s="3">
        <f t="shared" si="76"/>
        <v>113837</v>
      </c>
      <c r="R128" s="3">
        <f t="shared" si="76"/>
        <v>0</v>
      </c>
      <c r="S128" s="3">
        <f t="shared" si="76"/>
        <v>0</v>
      </c>
      <c r="T128" s="3">
        <f t="shared" si="76"/>
        <v>0</v>
      </c>
      <c r="U128" s="3">
        <f t="shared" si="76"/>
        <v>54026912</v>
      </c>
      <c r="V128" s="2763">
        <f t="shared" si="76"/>
        <v>38140046</v>
      </c>
    </row>
    <row r="129" spans="1:23" hidden="1">
      <c r="A129" s="650" t="s">
        <v>28</v>
      </c>
      <c r="B129" s="3">
        <f t="shared" ref="B129:V129" si="77">+B24</f>
        <v>83</v>
      </c>
      <c r="C129" s="3">
        <f t="shared" si="77"/>
        <v>0</v>
      </c>
      <c r="D129" s="3">
        <f t="shared" si="77"/>
        <v>0</v>
      </c>
      <c r="E129" s="3">
        <f t="shared" si="77"/>
        <v>83</v>
      </c>
      <c r="F129" s="3">
        <f t="shared" si="77"/>
        <v>170850</v>
      </c>
      <c r="G129" s="3">
        <f t="shared" si="77"/>
        <v>6035414</v>
      </c>
      <c r="H129" s="3">
        <f t="shared" si="77"/>
        <v>1616790</v>
      </c>
      <c r="I129" s="3">
        <f t="shared" si="77"/>
        <v>1960926</v>
      </c>
      <c r="J129" s="3">
        <f t="shared" si="77"/>
        <v>11379681</v>
      </c>
      <c r="K129" s="1186">
        <f t="shared" si="77"/>
        <v>1592587</v>
      </c>
      <c r="L129" s="1188">
        <f t="shared" si="77"/>
        <v>3031</v>
      </c>
      <c r="M129" s="1192">
        <f t="shared" si="77"/>
        <v>0</v>
      </c>
      <c r="N129" s="1190">
        <f t="shared" si="77"/>
        <v>0</v>
      </c>
      <c r="O129" s="3">
        <f t="shared" si="77"/>
        <v>0</v>
      </c>
      <c r="P129" s="3">
        <f t="shared" si="77"/>
        <v>0</v>
      </c>
      <c r="Q129" s="3">
        <f t="shared" si="77"/>
        <v>0</v>
      </c>
      <c r="R129" s="3">
        <f t="shared" si="77"/>
        <v>0</v>
      </c>
      <c r="S129" s="3">
        <f t="shared" si="77"/>
        <v>0</v>
      </c>
      <c r="T129" s="3">
        <f t="shared" si="77"/>
        <v>0</v>
      </c>
      <c r="U129" s="3">
        <f t="shared" si="77"/>
        <v>11379681</v>
      </c>
      <c r="V129" s="2763">
        <f t="shared" si="77"/>
        <v>0</v>
      </c>
    </row>
    <row r="130" spans="1:23" ht="22.5" hidden="1" customHeight="1">
      <c r="A130" s="650" t="s">
        <v>67</v>
      </c>
      <c r="B130" s="3">
        <f t="shared" ref="B130:V130" si="78">+B30</f>
        <v>0</v>
      </c>
      <c r="C130" s="3">
        <f t="shared" si="78"/>
        <v>0</v>
      </c>
      <c r="D130" s="3">
        <f t="shared" si="78"/>
        <v>0</v>
      </c>
      <c r="E130" s="3">
        <f t="shared" si="78"/>
        <v>0</v>
      </c>
      <c r="F130" s="3">
        <f t="shared" si="78"/>
        <v>0</v>
      </c>
      <c r="G130" s="3">
        <f t="shared" si="78"/>
        <v>0</v>
      </c>
      <c r="H130" s="3">
        <f t="shared" si="78"/>
        <v>0</v>
      </c>
      <c r="I130" s="3">
        <f t="shared" si="78"/>
        <v>0</v>
      </c>
      <c r="J130" s="3">
        <f t="shared" si="78"/>
        <v>0</v>
      </c>
      <c r="K130" s="1186">
        <f t="shared" si="78"/>
        <v>0</v>
      </c>
      <c r="L130" s="1188">
        <f t="shared" si="78"/>
        <v>0</v>
      </c>
      <c r="M130" s="1192">
        <f t="shared" si="78"/>
        <v>0</v>
      </c>
      <c r="N130" s="1190">
        <f t="shared" si="78"/>
        <v>0</v>
      </c>
      <c r="O130" s="3">
        <f t="shared" si="78"/>
        <v>0</v>
      </c>
      <c r="P130" s="3">
        <f t="shared" si="78"/>
        <v>0</v>
      </c>
      <c r="Q130" s="3">
        <f t="shared" si="78"/>
        <v>0</v>
      </c>
      <c r="R130" s="3">
        <f t="shared" si="78"/>
        <v>0</v>
      </c>
      <c r="S130" s="3">
        <f t="shared" si="78"/>
        <v>0</v>
      </c>
      <c r="T130" s="3">
        <f t="shared" si="78"/>
        <v>0</v>
      </c>
      <c r="U130" s="3">
        <f t="shared" si="78"/>
        <v>0</v>
      </c>
      <c r="V130" s="2763">
        <f t="shared" si="78"/>
        <v>0</v>
      </c>
    </row>
    <row r="131" spans="1:23" ht="16.5" hidden="1" customHeight="1">
      <c r="A131" s="650" t="s">
        <v>30</v>
      </c>
      <c r="B131" s="3">
        <f t="shared" ref="B131:V131" si="79">+B28</f>
        <v>0</v>
      </c>
      <c r="C131" s="3">
        <f t="shared" si="79"/>
        <v>0</v>
      </c>
      <c r="D131" s="3">
        <f t="shared" si="79"/>
        <v>0</v>
      </c>
      <c r="E131" s="3">
        <f t="shared" si="79"/>
        <v>0</v>
      </c>
      <c r="F131" s="3">
        <f t="shared" si="79"/>
        <v>0</v>
      </c>
      <c r="G131" s="3">
        <f t="shared" si="79"/>
        <v>0</v>
      </c>
      <c r="H131" s="3">
        <f t="shared" si="79"/>
        <v>0</v>
      </c>
      <c r="I131" s="3">
        <f t="shared" si="79"/>
        <v>0</v>
      </c>
      <c r="J131" s="3">
        <f t="shared" si="79"/>
        <v>0</v>
      </c>
      <c r="K131" s="1186">
        <f t="shared" si="79"/>
        <v>0</v>
      </c>
      <c r="L131" s="1188">
        <f t="shared" si="79"/>
        <v>0</v>
      </c>
      <c r="M131" s="1192">
        <f t="shared" si="79"/>
        <v>0</v>
      </c>
      <c r="N131" s="1190">
        <f t="shared" si="79"/>
        <v>0</v>
      </c>
      <c r="O131" s="3">
        <f t="shared" si="79"/>
        <v>0</v>
      </c>
      <c r="P131" s="3">
        <f t="shared" si="79"/>
        <v>0</v>
      </c>
      <c r="Q131" s="3">
        <f t="shared" si="79"/>
        <v>0</v>
      </c>
      <c r="R131" s="3">
        <f t="shared" si="79"/>
        <v>0</v>
      </c>
      <c r="S131" s="3">
        <f t="shared" si="79"/>
        <v>0</v>
      </c>
      <c r="T131" s="3">
        <f t="shared" si="79"/>
        <v>0</v>
      </c>
      <c r="U131" s="3">
        <f t="shared" si="79"/>
        <v>0</v>
      </c>
      <c r="V131" s="2764">
        <f t="shared" si="79"/>
        <v>0</v>
      </c>
    </row>
    <row r="132" spans="1:23" ht="13.5" hidden="1" thickBot="1">
      <c r="A132" s="2765" t="s">
        <v>32</v>
      </c>
      <c r="B132" s="5">
        <f t="shared" ref="B132:V132" si="80">+B31</f>
        <v>124365</v>
      </c>
      <c r="C132" s="5">
        <f t="shared" si="80"/>
        <v>0</v>
      </c>
      <c r="D132" s="5">
        <f t="shared" si="80"/>
        <v>0</v>
      </c>
      <c r="E132" s="5">
        <f t="shared" si="80"/>
        <v>8746</v>
      </c>
      <c r="F132" s="5">
        <f t="shared" si="80"/>
        <v>839449</v>
      </c>
      <c r="G132" s="5">
        <f t="shared" si="80"/>
        <v>6997947</v>
      </c>
      <c r="H132" s="5">
        <f t="shared" si="80"/>
        <v>14660452</v>
      </c>
      <c r="I132" s="5">
        <f t="shared" si="80"/>
        <v>36982432</v>
      </c>
      <c r="J132" s="5">
        <f t="shared" si="80"/>
        <v>142916241</v>
      </c>
      <c r="K132" s="1187">
        <f t="shared" si="80"/>
        <v>43671040</v>
      </c>
      <c r="L132" s="2766">
        <f t="shared" si="80"/>
        <v>39640810</v>
      </c>
      <c r="M132" s="340">
        <f t="shared" si="80"/>
        <v>63498606</v>
      </c>
      <c r="N132" s="2767">
        <f t="shared" si="80"/>
        <v>310137432</v>
      </c>
      <c r="O132" s="5">
        <f t="shared" si="80"/>
        <v>293165897</v>
      </c>
      <c r="P132" s="5">
        <f t="shared" si="80"/>
        <v>66189289</v>
      </c>
      <c r="Q132" s="5">
        <f t="shared" si="80"/>
        <v>66909002</v>
      </c>
      <c r="R132" s="5">
        <f t="shared" si="80"/>
        <v>32483629</v>
      </c>
      <c r="S132" s="5">
        <f t="shared" si="80"/>
        <v>32211679</v>
      </c>
      <c r="T132" s="5">
        <f t="shared" si="80"/>
        <v>30802514</v>
      </c>
      <c r="U132" s="5">
        <f t="shared" si="80"/>
        <v>1038314289</v>
      </c>
      <c r="V132" s="5">
        <f t="shared" si="80"/>
        <v>831899442</v>
      </c>
    </row>
    <row r="133" spans="1:23" s="2532" customFormat="1" ht="18" hidden="1" customHeight="1">
      <c r="A133" s="2768">
        <f>+B123+F123</f>
        <v>10195498</v>
      </c>
      <c r="B133" s="2769" t="e">
        <f t="shared" ref="B133:V133" si="81">SUM(B122:B132)</f>
        <v>#REF!</v>
      </c>
      <c r="C133" s="2770" t="e">
        <f t="shared" si="81"/>
        <v>#REF!</v>
      </c>
      <c r="D133" s="2770" t="e">
        <f t="shared" si="81"/>
        <v>#REF!</v>
      </c>
      <c r="E133" s="2770" t="e">
        <f t="shared" si="81"/>
        <v>#REF!</v>
      </c>
      <c r="F133" s="2769" t="e">
        <f t="shared" si="81"/>
        <v>#REF!</v>
      </c>
      <c r="G133" s="2771" t="e">
        <f t="shared" si="81"/>
        <v>#REF!</v>
      </c>
      <c r="H133" s="2772" t="e">
        <f t="shared" si="81"/>
        <v>#REF!</v>
      </c>
      <c r="I133" s="2772" t="e">
        <f t="shared" si="81"/>
        <v>#REF!</v>
      </c>
      <c r="J133" s="2772">
        <f t="shared" si="81"/>
        <v>562755532.29999995</v>
      </c>
      <c r="K133" s="2769">
        <f t="shared" si="81"/>
        <v>174516408</v>
      </c>
      <c r="L133" s="2773">
        <f t="shared" si="81"/>
        <v>171471348</v>
      </c>
      <c r="M133" s="2774">
        <f t="shared" si="81"/>
        <v>186590534</v>
      </c>
      <c r="N133" s="2769">
        <f t="shared" si="81"/>
        <v>626683848</v>
      </c>
      <c r="O133" s="2769">
        <f t="shared" si="81"/>
        <v>572049747</v>
      </c>
      <c r="P133" s="2769">
        <f t="shared" si="81"/>
        <v>296756227</v>
      </c>
      <c r="Q133" s="2769">
        <f t="shared" si="81"/>
        <v>253757631</v>
      </c>
      <c r="R133" s="2769">
        <f t="shared" si="81"/>
        <v>87618497</v>
      </c>
      <c r="S133" s="2769">
        <f t="shared" si="81"/>
        <v>43852179</v>
      </c>
      <c r="T133" s="2769">
        <f t="shared" si="81"/>
        <v>39930442</v>
      </c>
      <c r="U133" s="2769">
        <f t="shared" si="81"/>
        <v>2704302084.3000002</v>
      </c>
      <c r="V133" s="2769">
        <f t="shared" si="81"/>
        <v>1954956018</v>
      </c>
      <c r="W133" s="301"/>
    </row>
    <row r="134" spans="1:23" ht="18" hidden="1" customHeight="1" thickBot="1">
      <c r="A134" s="2775"/>
      <c r="B134" s="2776" t="e">
        <f t="shared" ref="B134:T134" si="82">+B133-B88</f>
        <v>#REF!</v>
      </c>
      <c r="C134" s="2776" t="e">
        <f t="shared" si="82"/>
        <v>#REF!</v>
      </c>
      <c r="D134" s="2776" t="e">
        <f t="shared" si="82"/>
        <v>#REF!</v>
      </c>
      <c r="E134" s="2776" t="e">
        <f t="shared" si="82"/>
        <v>#REF!</v>
      </c>
      <c r="F134" s="2776" t="e">
        <f t="shared" si="82"/>
        <v>#REF!</v>
      </c>
      <c r="G134" s="2776" t="e">
        <f t="shared" si="82"/>
        <v>#REF!</v>
      </c>
      <c r="H134" s="2776" t="e">
        <f t="shared" si="82"/>
        <v>#REF!</v>
      </c>
      <c r="I134" s="2776" t="e">
        <f t="shared" si="82"/>
        <v>#REF!</v>
      </c>
      <c r="J134" s="2776">
        <f t="shared" si="82"/>
        <v>0.29999995231628418</v>
      </c>
      <c r="K134" s="2776">
        <f t="shared" si="82"/>
        <v>0</v>
      </c>
      <c r="L134" s="2777">
        <f t="shared" si="82"/>
        <v>0</v>
      </c>
      <c r="M134" s="2778">
        <f t="shared" si="82"/>
        <v>0</v>
      </c>
      <c r="N134" s="2776">
        <f t="shared" si="82"/>
        <v>0</v>
      </c>
      <c r="O134" s="2776">
        <f t="shared" si="82"/>
        <v>0</v>
      </c>
      <c r="P134" s="2776">
        <f t="shared" si="82"/>
        <v>0</v>
      </c>
      <c r="Q134" s="2776">
        <f t="shared" si="82"/>
        <v>0</v>
      </c>
      <c r="R134" s="2776">
        <f t="shared" si="82"/>
        <v>0</v>
      </c>
      <c r="S134" s="2776">
        <f t="shared" si="82"/>
        <v>0</v>
      </c>
      <c r="T134" s="2776">
        <f t="shared" si="82"/>
        <v>0</v>
      </c>
      <c r="U134" s="2776">
        <f>+U133-U88</f>
        <v>0.30000019073486328</v>
      </c>
      <c r="V134" s="2776"/>
    </row>
    <row r="135" spans="1:23" ht="30" hidden="1" customHeight="1" thickBot="1">
      <c r="A135" s="2779" t="s">
        <v>547</v>
      </c>
      <c r="B135" s="2780" t="e">
        <f t="shared" ref="B135:U135" si="83">+B86+B49</f>
        <v>#REF!</v>
      </c>
      <c r="C135" s="2781" t="e">
        <f t="shared" si="83"/>
        <v>#REF!</v>
      </c>
      <c r="D135" s="2781" t="e">
        <f t="shared" si="83"/>
        <v>#REF!</v>
      </c>
      <c r="E135" s="2781" t="e">
        <f t="shared" si="83"/>
        <v>#REF!</v>
      </c>
      <c r="F135" s="2780" t="e">
        <f t="shared" si="83"/>
        <v>#REF!</v>
      </c>
      <c r="G135" s="2780" t="e">
        <f t="shared" si="83"/>
        <v>#REF!</v>
      </c>
      <c r="H135" s="2780" t="e">
        <f t="shared" si="83"/>
        <v>#REF!</v>
      </c>
      <c r="I135" s="2780" t="e">
        <f t="shared" si="83"/>
        <v>#REF!</v>
      </c>
      <c r="J135" s="2782">
        <f t="shared" si="83"/>
        <v>238931793</v>
      </c>
      <c r="K135" s="2783">
        <f t="shared" si="83"/>
        <v>81459344</v>
      </c>
      <c r="L135" s="2784">
        <f t="shared" si="83"/>
        <v>84536628</v>
      </c>
      <c r="M135" s="2785">
        <f t="shared" si="83"/>
        <v>85724499</v>
      </c>
      <c r="N135" s="2786">
        <f t="shared" si="83"/>
        <v>397880133</v>
      </c>
      <c r="O135" s="2782">
        <f t="shared" si="83"/>
        <v>344790304</v>
      </c>
      <c r="P135" s="2782">
        <f t="shared" si="83"/>
        <v>149292448</v>
      </c>
      <c r="Q135" s="2782">
        <f t="shared" si="83"/>
        <v>109617636</v>
      </c>
      <c r="R135" s="2782">
        <f t="shared" si="83"/>
        <v>75693274</v>
      </c>
      <c r="S135" s="2782">
        <f t="shared" si="83"/>
        <v>35438612</v>
      </c>
      <c r="T135" s="2782">
        <f t="shared" si="83"/>
        <v>31577361</v>
      </c>
      <c r="U135" s="2782">
        <f t="shared" si="83"/>
        <v>1468946060</v>
      </c>
      <c r="V135" s="2787" t="s">
        <v>34</v>
      </c>
    </row>
    <row r="136" spans="1:23" ht="14.25" hidden="1" customHeight="1">
      <c r="A136" s="1" t="s">
        <v>68</v>
      </c>
      <c r="B136" s="2">
        <f t="shared" ref="B136:V136" si="84">+B35</f>
        <v>0</v>
      </c>
      <c r="C136" s="2">
        <f t="shared" si="84"/>
        <v>0</v>
      </c>
      <c r="D136" s="2">
        <f t="shared" si="84"/>
        <v>0</v>
      </c>
      <c r="E136" s="2">
        <f t="shared" si="84"/>
        <v>0</v>
      </c>
      <c r="F136" s="2">
        <f t="shared" si="84"/>
        <v>0</v>
      </c>
      <c r="G136" s="2">
        <f t="shared" si="84"/>
        <v>0</v>
      </c>
      <c r="H136" s="2">
        <f t="shared" si="84"/>
        <v>0</v>
      </c>
      <c r="I136" s="338">
        <f t="shared" si="84"/>
        <v>0</v>
      </c>
      <c r="J136" s="338">
        <f t="shared" si="84"/>
        <v>0</v>
      </c>
      <c r="K136" s="337">
        <f t="shared" si="84"/>
        <v>0</v>
      </c>
      <c r="L136" s="337">
        <f t="shared" si="84"/>
        <v>0</v>
      </c>
      <c r="M136" s="339">
        <f t="shared" si="84"/>
        <v>0</v>
      </c>
      <c r="N136" s="338">
        <f t="shared" si="84"/>
        <v>0</v>
      </c>
      <c r="O136" s="2">
        <f t="shared" si="84"/>
        <v>0</v>
      </c>
      <c r="P136" s="2">
        <f t="shared" si="84"/>
        <v>0</v>
      </c>
      <c r="Q136" s="2">
        <f t="shared" si="84"/>
        <v>0</v>
      </c>
      <c r="R136" s="2">
        <f t="shared" si="84"/>
        <v>0</v>
      </c>
      <c r="S136" s="2">
        <f t="shared" si="84"/>
        <v>0</v>
      </c>
      <c r="T136" s="2">
        <f t="shared" si="84"/>
        <v>0</v>
      </c>
      <c r="U136" s="2788">
        <f t="shared" si="84"/>
        <v>0</v>
      </c>
      <c r="V136" s="2">
        <f t="shared" si="84"/>
        <v>0</v>
      </c>
    </row>
    <row r="137" spans="1:23" ht="14.25" hidden="1" customHeight="1">
      <c r="A137" s="650" t="s">
        <v>24</v>
      </c>
      <c r="B137" s="3" t="e">
        <f t="shared" ref="B137:V137" si="85">+B77+B34</f>
        <v>#REF!</v>
      </c>
      <c r="C137" s="3" t="e">
        <f t="shared" si="85"/>
        <v>#REF!</v>
      </c>
      <c r="D137" s="3" t="e">
        <f t="shared" si="85"/>
        <v>#REF!</v>
      </c>
      <c r="E137" s="3" t="e">
        <f t="shared" si="85"/>
        <v>#REF!</v>
      </c>
      <c r="F137" s="3" t="e">
        <f t="shared" si="85"/>
        <v>#REF!</v>
      </c>
      <c r="G137" s="3" t="e">
        <f t="shared" si="85"/>
        <v>#REF!</v>
      </c>
      <c r="H137" s="3" t="e">
        <f t="shared" si="85"/>
        <v>#REF!</v>
      </c>
      <c r="I137" s="4" t="e">
        <f t="shared" si="85"/>
        <v>#REF!</v>
      </c>
      <c r="J137" s="4">
        <f t="shared" si="85"/>
        <v>28086027</v>
      </c>
      <c r="K137" s="1188">
        <f t="shared" si="85"/>
        <v>8487163</v>
      </c>
      <c r="L137" s="1188">
        <f t="shared" si="85"/>
        <v>16754001</v>
      </c>
      <c r="M137" s="1192">
        <f t="shared" si="85"/>
        <v>1643018</v>
      </c>
      <c r="N137" s="1190">
        <f t="shared" si="85"/>
        <v>4693053</v>
      </c>
      <c r="O137" s="3">
        <f t="shared" si="85"/>
        <v>1654391</v>
      </c>
      <c r="P137" s="3">
        <f t="shared" si="85"/>
        <v>1151569</v>
      </c>
      <c r="Q137" s="3">
        <f t="shared" si="85"/>
        <v>1216734</v>
      </c>
      <c r="R137" s="3">
        <f t="shared" si="85"/>
        <v>1002404</v>
      </c>
      <c r="S137" s="3">
        <f t="shared" si="85"/>
        <v>989414</v>
      </c>
      <c r="T137" s="3">
        <f t="shared" si="85"/>
        <v>494707</v>
      </c>
      <c r="U137" s="2789">
        <f t="shared" si="85"/>
        <v>40931317</v>
      </c>
      <c r="V137" s="3">
        <f t="shared" si="85"/>
        <v>0</v>
      </c>
    </row>
    <row r="138" spans="1:23" ht="14.25" hidden="1" customHeight="1">
      <c r="A138" s="650" t="s">
        <v>26</v>
      </c>
      <c r="B138" s="3">
        <f t="shared" ref="B138:V138" si="86">+B37+B78</f>
        <v>279786</v>
      </c>
      <c r="C138" s="3">
        <f t="shared" si="86"/>
        <v>0</v>
      </c>
      <c r="D138" s="3">
        <f t="shared" si="86"/>
        <v>0</v>
      </c>
      <c r="E138" s="3">
        <f t="shared" si="86"/>
        <v>279786</v>
      </c>
      <c r="F138" s="3">
        <f t="shared" si="86"/>
        <v>2494494</v>
      </c>
      <c r="G138" s="3">
        <f t="shared" si="86"/>
        <v>4145000</v>
      </c>
      <c r="H138" s="3">
        <f t="shared" si="86"/>
        <v>5647825</v>
      </c>
      <c r="I138" s="4">
        <f t="shared" si="86"/>
        <v>2752760</v>
      </c>
      <c r="J138" s="4">
        <f t="shared" si="86"/>
        <v>21465486</v>
      </c>
      <c r="K138" s="1188">
        <f t="shared" si="86"/>
        <v>4494308</v>
      </c>
      <c r="L138" s="1188">
        <f t="shared" si="86"/>
        <v>1651313</v>
      </c>
      <c r="M138" s="1192">
        <f t="shared" si="86"/>
        <v>2627200</v>
      </c>
      <c r="N138" s="1190">
        <f t="shared" si="86"/>
        <v>6793637</v>
      </c>
      <c r="O138" s="3">
        <f t="shared" si="86"/>
        <v>4774157</v>
      </c>
      <c r="P138" s="3">
        <f t="shared" si="86"/>
        <v>0</v>
      </c>
      <c r="Q138" s="3">
        <f t="shared" si="86"/>
        <v>0</v>
      </c>
      <c r="R138" s="3">
        <f t="shared" si="86"/>
        <v>0</v>
      </c>
      <c r="S138" s="3">
        <f t="shared" si="86"/>
        <v>0</v>
      </c>
      <c r="T138" s="3">
        <f t="shared" si="86"/>
        <v>0</v>
      </c>
      <c r="U138" s="2789">
        <f t="shared" si="86"/>
        <v>35660480</v>
      </c>
      <c r="V138" s="3">
        <f t="shared" si="86"/>
        <v>0</v>
      </c>
    </row>
    <row r="139" spans="1:23" ht="14.25" hidden="1" customHeight="1">
      <c r="A139" s="650" t="s">
        <v>66</v>
      </c>
      <c r="B139" s="3" t="e">
        <f t="shared" ref="B139:V139" si="87">+B38+B79</f>
        <v>#REF!</v>
      </c>
      <c r="C139" s="3" t="e">
        <f t="shared" si="87"/>
        <v>#REF!</v>
      </c>
      <c r="D139" s="3" t="e">
        <f t="shared" si="87"/>
        <v>#REF!</v>
      </c>
      <c r="E139" s="3" t="e">
        <f t="shared" si="87"/>
        <v>#REF!</v>
      </c>
      <c r="F139" s="3" t="e">
        <f t="shared" si="87"/>
        <v>#REF!</v>
      </c>
      <c r="G139" s="3" t="e">
        <f t="shared" si="87"/>
        <v>#REF!</v>
      </c>
      <c r="H139" s="3" t="e">
        <f t="shared" si="87"/>
        <v>#REF!</v>
      </c>
      <c r="I139" s="4">
        <f t="shared" si="87"/>
        <v>3261339</v>
      </c>
      <c r="J139" s="4">
        <f t="shared" si="87"/>
        <v>18093511</v>
      </c>
      <c r="K139" s="1188">
        <f t="shared" si="87"/>
        <v>4477145</v>
      </c>
      <c r="L139" s="1188">
        <f t="shared" si="87"/>
        <v>6553250</v>
      </c>
      <c r="M139" s="1192">
        <f t="shared" si="87"/>
        <v>10458622</v>
      </c>
      <c r="N139" s="1190">
        <f t="shared" si="87"/>
        <v>11861826</v>
      </c>
      <c r="O139" s="3">
        <f t="shared" si="87"/>
        <v>8419285</v>
      </c>
      <c r="P139" s="3">
        <f t="shared" si="87"/>
        <v>7032200</v>
      </c>
      <c r="Q139" s="3">
        <f t="shared" si="87"/>
        <v>1671800</v>
      </c>
      <c r="R139" s="3">
        <f t="shared" si="87"/>
        <v>0</v>
      </c>
      <c r="S139" s="3">
        <f t="shared" si="87"/>
        <v>0</v>
      </c>
      <c r="T139" s="3">
        <f t="shared" si="87"/>
        <v>0</v>
      </c>
      <c r="U139" s="2789">
        <f t="shared" si="87"/>
        <v>57537244</v>
      </c>
      <c r="V139" s="3">
        <f t="shared" si="87"/>
        <v>0</v>
      </c>
    </row>
    <row r="140" spans="1:23" ht="14.25" hidden="1" customHeight="1">
      <c r="A140" s="1" t="s">
        <v>23</v>
      </c>
      <c r="B140" s="3">
        <f t="shared" ref="B140:V140" si="88">+B80</f>
        <v>0</v>
      </c>
      <c r="C140" s="3">
        <f t="shared" si="88"/>
        <v>0</v>
      </c>
      <c r="D140" s="3">
        <f t="shared" si="88"/>
        <v>0</v>
      </c>
      <c r="E140" s="3">
        <f t="shared" si="88"/>
        <v>0</v>
      </c>
      <c r="F140" s="3">
        <f t="shared" si="88"/>
        <v>101937</v>
      </c>
      <c r="G140" s="3">
        <f t="shared" si="88"/>
        <v>220330</v>
      </c>
      <c r="H140" s="3">
        <f t="shared" si="88"/>
        <v>912952</v>
      </c>
      <c r="I140" s="4">
        <f t="shared" si="88"/>
        <v>359900</v>
      </c>
      <c r="J140" s="4">
        <f t="shared" si="88"/>
        <v>10593533</v>
      </c>
      <c r="K140" s="1188">
        <f t="shared" si="88"/>
        <v>0</v>
      </c>
      <c r="L140" s="1188">
        <f t="shared" si="88"/>
        <v>10593533</v>
      </c>
      <c r="M140" s="1192">
        <f t="shared" si="88"/>
        <v>12585418</v>
      </c>
      <c r="N140" s="1190">
        <f t="shared" si="88"/>
        <v>12350000</v>
      </c>
      <c r="O140" s="3">
        <f t="shared" si="88"/>
        <v>13855657</v>
      </c>
      <c r="P140" s="3">
        <f t="shared" si="88"/>
        <v>18000000</v>
      </c>
      <c r="Q140" s="3">
        <f t="shared" si="88"/>
        <v>16000000</v>
      </c>
      <c r="R140" s="3">
        <f t="shared" si="88"/>
        <v>2000000</v>
      </c>
      <c r="S140" s="3">
        <f t="shared" si="88"/>
        <v>1650729</v>
      </c>
      <c r="T140" s="3">
        <f t="shared" si="88"/>
        <v>0</v>
      </c>
      <c r="U140" s="2789">
        <f t="shared" si="88"/>
        <v>87035337</v>
      </c>
      <c r="V140" s="3">
        <f t="shared" si="88"/>
        <v>0</v>
      </c>
    </row>
    <row r="141" spans="1:23" ht="13.5" hidden="1" customHeight="1">
      <c r="A141" s="650" t="s">
        <v>69</v>
      </c>
      <c r="B141" s="3">
        <f t="shared" ref="B141:V141" si="89">+B81+B36</f>
        <v>0</v>
      </c>
      <c r="C141" s="3">
        <f t="shared" si="89"/>
        <v>0</v>
      </c>
      <c r="D141" s="3">
        <f t="shared" si="89"/>
        <v>0</v>
      </c>
      <c r="E141" s="3">
        <f t="shared" si="89"/>
        <v>0</v>
      </c>
      <c r="F141" s="3">
        <f t="shared" si="89"/>
        <v>0</v>
      </c>
      <c r="G141" s="3">
        <f t="shared" si="89"/>
        <v>0</v>
      </c>
      <c r="H141" s="3">
        <f t="shared" si="89"/>
        <v>0</v>
      </c>
      <c r="I141" s="4">
        <f t="shared" si="89"/>
        <v>0</v>
      </c>
      <c r="J141" s="4">
        <f t="shared" si="89"/>
        <v>0</v>
      </c>
      <c r="K141" s="1188">
        <f t="shared" si="89"/>
        <v>200000</v>
      </c>
      <c r="L141" s="1188">
        <f t="shared" si="89"/>
        <v>0</v>
      </c>
      <c r="M141" s="1192">
        <f t="shared" si="89"/>
        <v>0</v>
      </c>
      <c r="N141" s="1190">
        <f t="shared" si="89"/>
        <v>27618240</v>
      </c>
      <c r="O141" s="3">
        <f t="shared" si="89"/>
        <v>18864240</v>
      </c>
      <c r="P141" s="3">
        <f t="shared" si="89"/>
        <v>36547360</v>
      </c>
      <c r="Q141" s="3">
        <f t="shared" si="89"/>
        <v>20384000</v>
      </c>
      <c r="R141" s="3">
        <f t="shared" si="89"/>
        <v>40060800</v>
      </c>
      <c r="S141" s="3">
        <f t="shared" si="89"/>
        <v>586160</v>
      </c>
      <c r="T141" s="3">
        <f t="shared" si="89"/>
        <v>0</v>
      </c>
      <c r="U141" s="2789">
        <f t="shared" si="89"/>
        <v>144060800</v>
      </c>
      <c r="V141" s="3">
        <f t="shared" si="89"/>
        <v>0</v>
      </c>
    </row>
    <row r="142" spans="1:23" ht="12.75" hidden="1" customHeight="1">
      <c r="A142" s="650" t="s">
        <v>70</v>
      </c>
      <c r="B142" s="3">
        <f t="shared" ref="B142:V142" si="90">+B44</f>
        <v>0</v>
      </c>
      <c r="C142" s="3">
        <f t="shared" si="90"/>
        <v>0</v>
      </c>
      <c r="D142" s="3">
        <f t="shared" si="90"/>
        <v>0</v>
      </c>
      <c r="E142" s="3">
        <f t="shared" si="90"/>
        <v>0</v>
      </c>
      <c r="F142" s="3">
        <f t="shared" si="90"/>
        <v>0</v>
      </c>
      <c r="G142" s="3">
        <f t="shared" si="90"/>
        <v>0</v>
      </c>
      <c r="H142" s="3">
        <f t="shared" si="90"/>
        <v>0</v>
      </c>
      <c r="I142" s="4">
        <f t="shared" si="90"/>
        <v>0</v>
      </c>
      <c r="J142" s="4">
        <f t="shared" si="90"/>
        <v>0</v>
      </c>
      <c r="K142" s="1188">
        <f t="shared" si="90"/>
        <v>0</v>
      </c>
      <c r="L142" s="1188">
        <f t="shared" si="90"/>
        <v>0</v>
      </c>
      <c r="M142" s="1192">
        <f t="shared" si="90"/>
        <v>0</v>
      </c>
      <c r="N142" s="1190">
        <f t="shared" si="90"/>
        <v>0</v>
      </c>
      <c r="O142" s="3">
        <f t="shared" si="90"/>
        <v>0</v>
      </c>
      <c r="P142" s="3">
        <f t="shared" si="90"/>
        <v>0</v>
      </c>
      <c r="Q142" s="3">
        <f t="shared" si="90"/>
        <v>0</v>
      </c>
      <c r="R142" s="3">
        <f t="shared" si="90"/>
        <v>0</v>
      </c>
      <c r="S142" s="3">
        <f t="shared" si="90"/>
        <v>0</v>
      </c>
      <c r="T142" s="3">
        <f t="shared" si="90"/>
        <v>0</v>
      </c>
      <c r="U142" s="2789">
        <f t="shared" si="90"/>
        <v>0</v>
      </c>
      <c r="V142" s="3">
        <f t="shared" si="90"/>
        <v>0</v>
      </c>
    </row>
    <row r="143" spans="1:23" ht="14.25" hidden="1" customHeight="1">
      <c r="A143" s="650" t="s">
        <v>28</v>
      </c>
      <c r="B143" s="3">
        <f t="shared" ref="B143:V143" si="91">+B42+B39</f>
        <v>0</v>
      </c>
      <c r="C143" s="3">
        <f t="shared" si="91"/>
        <v>0</v>
      </c>
      <c r="D143" s="3">
        <f t="shared" si="91"/>
        <v>0</v>
      </c>
      <c r="E143" s="3">
        <f t="shared" si="91"/>
        <v>0</v>
      </c>
      <c r="F143" s="3">
        <f t="shared" si="91"/>
        <v>0</v>
      </c>
      <c r="G143" s="3">
        <f t="shared" si="91"/>
        <v>3068526</v>
      </c>
      <c r="H143" s="3">
        <f t="shared" si="91"/>
        <v>4314923</v>
      </c>
      <c r="I143" s="4">
        <f t="shared" si="91"/>
        <v>424164</v>
      </c>
      <c r="J143" s="4">
        <f t="shared" si="91"/>
        <v>11379681</v>
      </c>
      <c r="K143" s="1188">
        <f t="shared" si="91"/>
        <v>2875044</v>
      </c>
      <c r="L143" s="1188">
        <f t="shared" si="91"/>
        <v>697024</v>
      </c>
      <c r="M143" s="1192">
        <f t="shared" si="91"/>
        <v>0</v>
      </c>
      <c r="N143" s="1190">
        <f t="shared" si="91"/>
        <v>0</v>
      </c>
      <c r="O143" s="3">
        <f t="shared" si="91"/>
        <v>0</v>
      </c>
      <c r="P143" s="3">
        <f t="shared" si="91"/>
        <v>0</v>
      </c>
      <c r="Q143" s="3">
        <f t="shared" si="91"/>
        <v>0</v>
      </c>
      <c r="R143" s="3">
        <f t="shared" si="91"/>
        <v>0</v>
      </c>
      <c r="S143" s="3">
        <f t="shared" si="91"/>
        <v>0</v>
      </c>
      <c r="T143" s="3">
        <f t="shared" si="91"/>
        <v>0</v>
      </c>
      <c r="U143" s="2789">
        <f t="shared" si="91"/>
        <v>11379681</v>
      </c>
      <c r="V143" s="3">
        <f t="shared" si="91"/>
        <v>0</v>
      </c>
    </row>
    <row r="144" spans="1:23" ht="21.75" hidden="1" customHeight="1">
      <c r="A144" s="650" t="s">
        <v>37</v>
      </c>
      <c r="B144" s="3">
        <f t="shared" ref="B144:V144" si="92">+B40</f>
        <v>0</v>
      </c>
      <c r="C144" s="3">
        <f t="shared" si="92"/>
        <v>0</v>
      </c>
      <c r="D144" s="3">
        <f t="shared" si="92"/>
        <v>0</v>
      </c>
      <c r="E144" s="3">
        <f t="shared" si="92"/>
        <v>0</v>
      </c>
      <c r="F144" s="3">
        <f t="shared" si="92"/>
        <v>0</v>
      </c>
      <c r="G144" s="3">
        <f t="shared" si="92"/>
        <v>0</v>
      </c>
      <c r="H144" s="3">
        <f t="shared" si="92"/>
        <v>0</v>
      </c>
      <c r="I144" s="3">
        <f t="shared" si="92"/>
        <v>0</v>
      </c>
      <c r="J144" s="3">
        <f t="shared" si="92"/>
        <v>0</v>
      </c>
      <c r="K144" s="1188">
        <f t="shared" si="92"/>
        <v>0</v>
      </c>
      <c r="L144" s="1188">
        <f t="shared" si="92"/>
        <v>0</v>
      </c>
      <c r="M144" s="1192">
        <f t="shared" si="92"/>
        <v>0</v>
      </c>
      <c r="N144" s="1190">
        <f t="shared" si="92"/>
        <v>0</v>
      </c>
      <c r="O144" s="3">
        <f t="shared" si="92"/>
        <v>0</v>
      </c>
      <c r="P144" s="3">
        <f t="shared" si="92"/>
        <v>0</v>
      </c>
      <c r="Q144" s="3">
        <f t="shared" si="92"/>
        <v>0</v>
      </c>
      <c r="R144" s="3">
        <f t="shared" si="92"/>
        <v>0</v>
      </c>
      <c r="S144" s="3">
        <f t="shared" si="92"/>
        <v>0</v>
      </c>
      <c r="T144" s="3">
        <f t="shared" si="92"/>
        <v>0</v>
      </c>
      <c r="U144" s="2789">
        <f t="shared" si="92"/>
        <v>0</v>
      </c>
      <c r="V144" s="3">
        <f t="shared" si="92"/>
        <v>0</v>
      </c>
    </row>
    <row r="145" spans="1:25" ht="14.25" hidden="1" customHeight="1">
      <c r="A145" s="650" t="s">
        <v>31</v>
      </c>
      <c r="B145" s="3">
        <f t="shared" ref="B145:V145" si="93">+B45</f>
        <v>0</v>
      </c>
      <c r="C145" s="3">
        <f t="shared" si="93"/>
        <v>0</v>
      </c>
      <c r="D145" s="3">
        <f t="shared" si="93"/>
        <v>0</v>
      </c>
      <c r="E145" s="3">
        <f t="shared" si="93"/>
        <v>0</v>
      </c>
      <c r="F145" s="3">
        <f t="shared" si="93"/>
        <v>0</v>
      </c>
      <c r="G145" s="3">
        <f t="shared" si="93"/>
        <v>3544011</v>
      </c>
      <c r="H145" s="3">
        <f t="shared" si="93"/>
        <v>4405356</v>
      </c>
      <c r="I145" s="4">
        <f t="shared" si="93"/>
        <v>3461860</v>
      </c>
      <c r="J145" s="4">
        <f t="shared" si="93"/>
        <v>11570572</v>
      </c>
      <c r="K145" s="1188">
        <f t="shared" si="93"/>
        <v>75862</v>
      </c>
      <c r="L145" s="1188">
        <f t="shared" si="93"/>
        <v>83483</v>
      </c>
      <c r="M145" s="1192">
        <f t="shared" si="93"/>
        <v>4799969</v>
      </c>
      <c r="N145" s="1190">
        <f t="shared" si="93"/>
        <v>15370536</v>
      </c>
      <c r="O145" s="3">
        <f t="shared" si="93"/>
        <v>10506348</v>
      </c>
      <c r="P145" s="3">
        <f t="shared" si="93"/>
        <v>8407665</v>
      </c>
      <c r="Q145" s="3">
        <f t="shared" si="93"/>
        <v>3225381</v>
      </c>
      <c r="R145" s="3">
        <f t="shared" si="93"/>
        <v>146441</v>
      </c>
      <c r="S145" s="3">
        <f t="shared" si="93"/>
        <v>0</v>
      </c>
      <c r="T145" s="3">
        <f t="shared" si="93"/>
        <v>0</v>
      </c>
      <c r="U145" s="2789">
        <f t="shared" si="93"/>
        <v>54026912</v>
      </c>
      <c r="V145" s="3">
        <f t="shared" si="93"/>
        <v>0</v>
      </c>
    </row>
    <row r="146" spans="1:25" ht="14.25" hidden="1" customHeight="1">
      <c r="A146" s="2790" t="s">
        <v>30</v>
      </c>
      <c r="B146" s="349">
        <f t="shared" ref="B146:V146" si="94">+B43</f>
        <v>0</v>
      </c>
      <c r="C146" s="349">
        <f t="shared" si="94"/>
        <v>0</v>
      </c>
      <c r="D146" s="349">
        <f t="shared" si="94"/>
        <v>0</v>
      </c>
      <c r="E146" s="349">
        <f t="shared" si="94"/>
        <v>0</v>
      </c>
      <c r="F146" s="349">
        <f t="shared" si="94"/>
        <v>0</v>
      </c>
      <c r="G146" s="349">
        <f t="shared" si="94"/>
        <v>0</v>
      </c>
      <c r="H146" s="349">
        <f t="shared" si="94"/>
        <v>0</v>
      </c>
      <c r="I146" s="349">
        <f t="shared" si="94"/>
        <v>0</v>
      </c>
      <c r="J146" s="349">
        <f t="shared" si="94"/>
        <v>0</v>
      </c>
      <c r="K146" s="1189">
        <f t="shared" si="94"/>
        <v>0</v>
      </c>
      <c r="L146" s="1189">
        <f t="shared" si="94"/>
        <v>0</v>
      </c>
      <c r="M146" s="1193">
        <f t="shared" si="94"/>
        <v>0</v>
      </c>
      <c r="N146" s="1191">
        <f t="shared" si="94"/>
        <v>0</v>
      </c>
      <c r="O146" s="349">
        <f t="shared" si="94"/>
        <v>0</v>
      </c>
      <c r="P146" s="349">
        <f t="shared" si="94"/>
        <v>0</v>
      </c>
      <c r="Q146" s="349">
        <f t="shared" si="94"/>
        <v>0</v>
      </c>
      <c r="R146" s="349">
        <f t="shared" si="94"/>
        <v>0</v>
      </c>
      <c r="S146" s="349">
        <f t="shared" si="94"/>
        <v>0</v>
      </c>
      <c r="T146" s="349">
        <f t="shared" si="94"/>
        <v>0</v>
      </c>
      <c r="U146" s="2789">
        <f t="shared" si="94"/>
        <v>0</v>
      </c>
      <c r="V146" s="349">
        <f t="shared" si="94"/>
        <v>0</v>
      </c>
    </row>
    <row r="147" spans="1:25" ht="14.25" hidden="1" customHeight="1" thickBot="1">
      <c r="A147" s="2765" t="s">
        <v>32</v>
      </c>
      <c r="B147" s="2791">
        <f t="shared" ref="B147:V147" si="95">+B46</f>
        <v>0</v>
      </c>
      <c r="C147" s="2791">
        <f t="shared" si="95"/>
        <v>0</v>
      </c>
      <c r="D147" s="2791">
        <f t="shared" si="95"/>
        <v>2563346</v>
      </c>
      <c r="E147" s="2791">
        <f t="shared" si="95"/>
        <v>8310034</v>
      </c>
      <c r="F147" s="2791">
        <f t="shared" si="95"/>
        <v>0</v>
      </c>
      <c r="G147" s="2791">
        <f t="shared" si="95"/>
        <v>2655274</v>
      </c>
      <c r="H147" s="2791">
        <f t="shared" si="95"/>
        <v>16295861</v>
      </c>
      <c r="I147" s="2792">
        <f t="shared" si="95"/>
        <v>9738002</v>
      </c>
      <c r="J147" s="2792">
        <f t="shared" si="95"/>
        <v>137742983</v>
      </c>
      <c r="K147" s="2766">
        <f t="shared" si="95"/>
        <v>60849822</v>
      </c>
      <c r="L147" s="2766">
        <f t="shared" si="95"/>
        <v>48204024</v>
      </c>
      <c r="M147" s="2793">
        <f t="shared" si="95"/>
        <v>53610272</v>
      </c>
      <c r="N147" s="2794">
        <f t="shared" si="95"/>
        <v>319192841</v>
      </c>
      <c r="O147" s="2791">
        <f t="shared" si="95"/>
        <v>286716226</v>
      </c>
      <c r="P147" s="2791">
        <f t="shared" si="95"/>
        <v>78153654</v>
      </c>
      <c r="Q147" s="2791">
        <f t="shared" si="95"/>
        <v>67119721</v>
      </c>
      <c r="R147" s="2791">
        <f t="shared" si="95"/>
        <v>32483629</v>
      </c>
      <c r="S147" s="2791">
        <f t="shared" si="95"/>
        <v>32212309</v>
      </c>
      <c r="T147" s="2791">
        <f t="shared" si="95"/>
        <v>31082654</v>
      </c>
      <c r="U147" s="2795">
        <f t="shared" si="95"/>
        <v>1038314289</v>
      </c>
      <c r="V147" s="2791">
        <f t="shared" si="95"/>
        <v>0</v>
      </c>
    </row>
    <row r="148" spans="1:25" ht="14.25" hidden="1" customHeight="1">
      <c r="A148" s="2796">
        <f>+L137+L143</f>
        <v>17451025</v>
      </c>
      <c r="B148" s="2797" t="e">
        <f t="shared" ref="B148:U148" si="96">SUM(B136:B147)</f>
        <v>#REF!</v>
      </c>
      <c r="C148" s="2798" t="e">
        <f t="shared" si="96"/>
        <v>#REF!</v>
      </c>
      <c r="D148" s="2798" t="e">
        <f t="shared" si="96"/>
        <v>#REF!</v>
      </c>
      <c r="E148" s="2798" t="e">
        <f t="shared" si="96"/>
        <v>#REF!</v>
      </c>
      <c r="F148" s="2797" t="e">
        <f t="shared" si="96"/>
        <v>#REF!</v>
      </c>
      <c r="G148" s="2799" t="e">
        <f t="shared" si="96"/>
        <v>#REF!</v>
      </c>
      <c r="H148" s="2800" t="e">
        <f t="shared" si="96"/>
        <v>#REF!</v>
      </c>
      <c r="I148" s="2797" t="e">
        <f t="shared" si="96"/>
        <v>#REF!</v>
      </c>
      <c r="J148" s="2797">
        <f>SUM(J136:J147)</f>
        <v>238931793</v>
      </c>
      <c r="K148" s="2797">
        <f t="shared" si="96"/>
        <v>81459344</v>
      </c>
      <c r="L148" s="2801">
        <f t="shared" si="96"/>
        <v>84536628</v>
      </c>
      <c r="M148" s="2802">
        <f t="shared" si="96"/>
        <v>85724499</v>
      </c>
      <c r="N148" s="2797">
        <f t="shared" si="96"/>
        <v>397880133</v>
      </c>
      <c r="O148" s="2797">
        <f t="shared" si="96"/>
        <v>344790304</v>
      </c>
      <c r="P148" s="2797">
        <f>SUM(P136:P147)</f>
        <v>149292448</v>
      </c>
      <c r="Q148" s="2797">
        <f>SUM(Q136:Q147)</f>
        <v>109617636</v>
      </c>
      <c r="R148" s="2797">
        <f t="shared" ref="R148:T148" si="97">SUM(R136:R147)</f>
        <v>75693274</v>
      </c>
      <c r="S148" s="2797">
        <f t="shared" si="97"/>
        <v>35438612</v>
      </c>
      <c r="T148" s="2797">
        <f t="shared" si="97"/>
        <v>31577361</v>
      </c>
      <c r="U148" s="2797">
        <f t="shared" si="96"/>
        <v>1468946060</v>
      </c>
      <c r="V148" s="2797">
        <f>SUM(V136:V147)</f>
        <v>0</v>
      </c>
    </row>
    <row r="149" spans="1:25" ht="14.25" hidden="1" customHeight="1">
      <c r="A149" s="2803"/>
      <c r="B149" s="2804" t="e">
        <f t="shared" ref="B149:Q149" si="98">+B148-B91</f>
        <v>#REF!</v>
      </c>
      <c r="C149" s="2804" t="e">
        <f t="shared" si="98"/>
        <v>#REF!</v>
      </c>
      <c r="D149" s="2804" t="e">
        <f t="shared" si="98"/>
        <v>#REF!</v>
      </c>
      <c r="E149" s="2804" t="e">
        <f t="shared" si="98"/>
        <v>#REF!</v>
      </c>
      <c r="F149" s="2804" t="e">
        <f t="shared" si="98"/>
        <v>#REF!</v>
      </c>
      <c r="G149" s="2804" t="e">
        <f t="shared" si="98"/>
        <v>#REF!</v>
      </c>
      <c r="H149" s="2804" t="e">
        <f t="shared" si="98"/>
        <v>#REF!</v>
      </c>
      <c r="I149" s="2804" t="e">
        <f t="shared" si="98"/>
        <v>#REF!</v>
      </c>
      <c r="J149" s="2804">
        <f t="shared" si="98"/>
        <v>0</v>
      </c>
      <c r="K149" s="2797">
        <f t="shared" si="98"/>
        <v>0</v>
      </c>
      <c r="L149" s="2805">
        <f t="shared" si="98"/>
        <v>0</v>
      </c>
      <c r="M149" s="2806">
        <f t="shared" si="98"/>
        <v>0</v>
      </c>
      <c r="N149" s="2804">
        <f t="shared" si="98"/>
        <v>0</v>
      </c>
      <c r="O149" s="2804">
        <f t="shared" si="98"/>
        <v>0</v>
      </c>
      <c r="P149" s="2804">
        <f t="shared" si="98"/>
        <v>0</v>
      </c>
      <c r="Q149" s="2804">
        <f t="shared" si="98"/>
        <v>0</v>
      </c>
      <c r="R149" s="2804">
        <f t="shared" ref="R149:T149" si="99">+R148-R91</f>
        <v>0</v>
      </c>
      <c r="S149" s="2804">
        <f t="shared" si="99"/>
        <v>0</v>
      </c>
      <c r="T149" s="2804">
        <f t="shared" si="99"/>
        <v>0</v>
      </c>
      <c r="U149" s="2804">
        <f>+U148-U91</f>
        <v>0</v>
      </c>
      <c r="V149" s="2797"/>
    </row>
    <row r="150" spans="1:25" ht="13.5" hidden="1" thickBot="1">
      <c r="A150" s="2489"/>
      <c r="B150" s="2807" t="s">
        <v>5</v>
      </c>
      <c r="C150" s="2808" t="s">
        <v>6</v>
      </c>
      <c r="D150" s="2808" t="s">
        <v>7</v>
      </c>
      <c r="E150" s="2808" t="s">
        <v>8</v>
      </c>
      <c r="F150" s="2807" t="s">
        <v>9</v>
      </c>
      <c r="G150" s="2809" t="s">
        <v>10</v>
      </c>
      <c r="H150" s="2714" t="s">
        <v>11</v>
      </c>
      <c r="I150" s="2810" t="s">
        <v>12</v>
      </c>
      <c r="J150" s="2811" t="s">
        <v>322</v>
      </c>
      <c r="K150" s="2812" t="s">
        <v>13</v>
      </c>
      <c r="L150" s="2813" t="s">
        <v>14</v>
      </c>
      <c r="M150" s="2814" t="s">
        <v>15</v>
      </c>
      <c r="N150" s="2713" t="s">
        <v>16</v>
      </c>
      <c r="O150" s="2714" t="s">
        <v>17</v>
      </c>
      <c r="P150" s="2714" t="s">
        <v>259</v>
      </c>
      <c r="Q150" s="2714" t="s">
        <v>263</v>
      </c>
      <c r="R150" s="2714" t="s">
        <v>324</v>
      </c>
      <c r="S150" s="2714" t="s">
        <v>325</v>
      </c>
      <c r="T150" s="2714" t="s">
        <v>323</v>
      </c>
      <c r="U150" s="2715" t="s">
        <v>59</v>
      </c>
      <c r="V150" s="2815" t="s">
        <v>313</v>
      </c>
    </row>
    <row r="151" spans="1:25" ht="3" hidden="1" customHeight="1">
      <c r="A151" s="3562" t="s">
        <v>548</v>
      </c>
      <c r="B151" s="2816"/>
      <c r="C151" s="2816"/>
      <c r="D151" s="2816"/>
      <c r="E151" s="2816"/>
      <c r="F151" s="2816"/>
      <c r="G151" s="2817"/>
      <c r="H151" s="2816"/>
      <c r="I151" s="2818"/>
      <c r="J151" s="2818"/>
      <c r="K151" s="2817"/>
      <c r="L151" s="2817"/>
      <c r="M151" s="2819"/>
      <c r="N151" s="2820"/>
      <c r="O151" s="2816"/>
      <c r="P151" s="2816"/>
      <c r="Q151" s="2816"/>
      <c r="R151" s="2816"/>
      <c r="S151" s="2816"/>
      <c r="T151" s="2816"/>
      <c r="U151" s="2816"/>
      <c r="V151" s="2821"/>
    </row>
    <row r="152" spans="1:25" ht="27" hidden="1" customHeight="1" thickBot="1">
      <c r="A152" s="3563"/>
      <c r="B152" s="2822">
        <f>SUM(B153:B163)</f>
        <v>64233113</v>
      </c>
      <c r="C152" s="2823" t="e">
        <f t="shared" ref="C152:O152" si="100">SUM(C153:C163)</f>
        <v>#REF!</v>
      </c>
      <c r="D152" s="2823" t="e">
        <f t="shared" si="100"/>
        <v>#REF!</v>
      </c>
      <c r="E152" s="2823" t="e">
        <f t="shared" si="100"/>
        <v>#REF!</v>
      </c>
      <c r="F152" s="2822">
        <f t="shared" si="100"/>
        <v>106866512</v>
      </c>
      <c r="G152" s="2824">
        <f t="shared" si="100"/>
        <v>210123298</v>
      </c>
      <c r="H152" s="2822">
        <f t="shared" si="100"/>
        <v>232143167.30000001</v>
      </c>
      <c r="I152" s="2822">
        <f t="shared" si="100"/>
        <v>373564523.30000001</v>
      </c>
      <c r="J152" s="2825">
        <f>SUM(J153:J163)</f>
        <v>562762693.29999995</v>
      </c>
      <c r="K152" s="2826">
        <f t="shared" si="100"/>
        <v>174735942</v>
      </c>
      <c r="L152" s="2827">
        <f t="shared" si="100"/>
        <v>171679776</v>
      </c>
      <c r="M152" s="2828">
        <f t="shared" si="100"/>
        <v>188435139</v>
      </c>
      <c r="N152" s="2829">
        <f t="shared" si="100"/>
        <v>621403413</v>
      </c>
      <c r="O152" s="2825">
        <f t="shared" si="100"/>
        <v>572411233</v>
      </c>
      <c r="P152" s="2825">
        <f t="shared" ref="P152:V152" si="101">SUM(P153:P163)</f>
        <v>299363858</v>
      </c>
      <c r="Q152" s="2825">
        <f t="shared" si="101"/>
        <v>243913680</v>
      </c>
      <c r="R152" s="2825">
        <f t="shared" si="101"/>
        <v>85381670</v>
      </c>
      <c r="S152" s="2825">
        <f t="shared" si="101"/>
        <v>41150453</v>
      </c>
      <c r="T152" s="2825">
        <f t="shared" si="101"/>
        <v>36692370</v>
      </c>
      <c r="U152" s="2825">
        <f t="shared" si="101"/>
        <v>2655078799.3000002</v>
      </c>
      <c r="V152" s="2830">
        <f t="shared" si="101"/>
        <v>1903880967</v>
      </c>
    </row>
    <row r="153" spans="1:25" hidden="1">
      <c r="A153" s="2831" t="s">
        <v>63</v>
      </c>
      <c r="B153" s="2832">
        <v>14165198</v>
      </c>
      <c r="C153" s="2832" t="e">
        <v>#REF!</v>
      </c>
      <c r="D153" s="2832" t="e">
        <v>#REF!</v>
      </c>
      <c r="E153" s="2832" t="e">
        <v>#REF!</v>
      </c>
      <c r="F153" s="2832">
        <v>14686560</v>
      </c>
      <c r="G153" s="2833">
        <v>58576756</v>
      </c>
      <c r="H153" s="2832">
        <v>56208229.299999997</v>
      </c>
      <c r="I153" s="2832">
        <v>139739807.30000001</v>
      </c>
      <c r="J153" s="2834">
        <v>311158282.30000001</v>
      </c>
      <c r="K153" s="2835">
        <v>97615233</v>
      </c>
      <c r="L153" s="2835">
        <v>96731569</v>
      </c>
      <c r="M153" s="2836">
        <v>108719435</v>
      </c>
      <c r="N153" s="2837">
        <v>218611229</v>
      </c>
      <c r="O153" s="2832">
        <v>226057253</v>
      </c>
      <c r="P153" s="2832">
        <v>166210010</v>
      </c>
      <c r="Q153" s="2832">
        <v>152213938</v>
      </c>
      <c r="R153" s="2832">
        <v>8178290</v>
      </c>
      <c r="S153" s="2832">
        <v>5855614</v>
      </c>
      <c r="T153" s="2832">
        <v>4989418</v>
      </c>
      <c r="U153" s="2832">
        <v>1205557759.3</v>
      </c>
      <c r="V153" s="2833">
        <v>785680042</v>
      </c>
      <c r="X153" s="2511"/>
      <c r="Y153" s="2511"/>
    </row>
    <row r="154" spans="1:25" hidden="1">
      <c r="A154" s="2831" t="s">
        <v>64</v>
      </c>
      <c r="B154" s="2832">
        <v>3621827</v>
      </c>
      <c r="C154" s="2832" t="e">
        <v>#REF!</v>
      </c>
      <c r="D154" s="2832" t="e">
        <v>#REF!</v>
      </c>
      <c r="E154" s="2832" t="e">
        <v>#REF!</v>
      </c>
      <c r="F154" s="2832">
        <v>6819986</v>
      </c>
      <c r="G154" s="2833">
        <v>10846424</v>
      </c>
      <c r="H154" s="2832">
        <v>13251483</v>
      </c>
      <c r="I154" s="2832">
        <v>6472922</v>
      </c>
      <c r="J154" s="2834">
        <v>28476561</v>
      </c>
      <c r="K154" s="2835">
        <v>13835578</v>
      </c>
      <c r="L154" s="2835">
        <v>11604169</v>
      </c>
      <c r="M154" s="2836">
        <v>4528401</v>
      </c>
      <c r="N154" s="2837">
        <v>5955000</v>
      </c>
      <c r="O154" s="2832">
        <v>7127000</v>
      </c>
      <c r="P154" s="2832">
        <v>12305000</v>
      </c>
      <c r="Q154" s="2832">
        <v>5657500</v>
      </c>
      <c r="R154" s="2832">
        <v>3566880</v>
      </c>
      <c r="S154" s="2832">
        <v>1467579</v>
      </c>
      <c r="T154" s="2832">
        <v>0</v>
      </c>
      <c r="U154" s="2832">
        <v>69083921</v>
      </c>
      <c r="V154" s="2833">
        <v>36078959</v>
      </c>
      <c r="X154" s="2511"/>
      <c r="Y154" s="2511"/>
    </row>
    <row r="155" spans="1:25" hidden="1">
      <c r="A155" s="203" t="s">
        <v>24</v>
      </c>
      <c r="B155" s="2832">
        <v>535781</v>
      </c>
      <c r="C155" s="2832" t="e">
        <v>#REF!</v>
      </c>
      <c r="D155" s="2832" t="e">
        <v>#REF!</v>
      </c>
      <c r="E155" s="2832" t="e">
        <v>#REF!</v>
      </c>
      <c r="F155" s="2832">
        <v>624623</v>
      </c>
      <c r="G155" s="2833">
        <v>8734797</v>
      </c>
      <c r="H155" s="2832">
        <v>2799809</v>
      </c>
      <c r="I155" s="2832">
        <v>5170948</v>
      </c>
      <c r="J155" s="2834">
        <v>28098348</v>
      </c>
      <c r="K155" s="2835">
        <v>10130840</v>
      </c>
      <c r="L155" s="2835">
        <v>16796557</v>
      </c>
      <c r="M155" s="2836">
        <v>1722305</v>
      </c>
      <c r="N155" s="2837">
        <v>4563596</v>
      </c>
      <c r="O155" s="2832">
        <v>1761902</v>
      </c>
      <c r="P155" s="2832">
        <v>1151570</v>
      </c>
      <c r="Q155" s="2832">
        <v>1216734</v>
      </c>
      <c r="R155" s="2832">
        <v>989414</v>
      </c>
      <c r="S155" s="2832">
        <v>989414</v>
      </c>
      <c r="T155" s="2832">
        <v>494707</v>
      </c>
      <c r="U155" s="2832">
        <v>40987990</v>
      </c>
      <c r="V155" s="2833">
        <v>11167337</v>
      </c>
      <c r="X155" s="2511"/>
      <c r="Y155" s="2511"/>
    </row>
    <row r="156" spans="1:25" ht="24" hidden="1">
      <c r="A156" s="203" t="s">
        <v>65</v>
      </c>
      <c r="B156" s="2832">
        <v>5935894</v>
      </c>
      <c r="C156" s="2832">
        <v>0</v>
      </c>
      <c r="D156" s="2832">
        <v>0</v>
      </c>
      <c r="E156" s="2832">
        <v>6647405</v>
      </c>
      <c r="F156" s="2832">
        <v>10285500</v>
      </c>
      <c r="G156" s="2833">
        <v>12796084</v>
      </c>
      <c r="H156" s="2832">
        <v>12792166</v>
      </c>
      <c r="I156" s="2832">
        <v>9659941</v>
      </c>
      <c r="J156" s="2834">
        <v>0</v>
      </c>
      <c r="K156" s="2835">
        <v>0</v>
      </c>
      <c r="L156" s="2835">
        <v>0</v>
      </c>
      <c r="M156" s="2836">
        <v>0</v>
      </c>
      <c r="N156" s="2837">
        <v>27618240</v>
      </c>
      <c r="O156" s="2832">
        <v>18864240</v>
      </c>
      <c r="P156" s="2832">
        <v>36547360</v>
      </c>
      <c r="Q156" s="2832">
        <v>20384000</v>
      </c>
      <c r="R156" s="2832">
        <v>40060800</v>
      </c>
      <c r="S156" s="2832">
        <v>586160</v>
      </c>
      <c r="T156" s="2832">
        <v>0</v>
      </c>
      <c r="U156" s="2832">
        <v>144060800</v>
      </c>
      <c r="V156" s="2833">
        <v>144060800</v>
      </c>
      <c r="X156" s="2511"/>
      <c r="Y156" s="2511"/>
    </row>
    <row r="157" spans="1:25" hidden="1">
      <c r="A157" s="203" t="s">
        <v>26</v>
      </c>
      <c r="B157" s="2832">
        <v>3923747</v>
      </c>
      <c r="C157" s="2832">
        <v>0</v>
      </c>
      <c r="D157" s="2832">
        <v>0</v>
      </c>
      <c r="E157" s="2832">
        <v>3923747</v>
      </c>
      <c r="F157" s="2832">
        <v>3817914</v>
      </c>
      <c r="G157" s="2833">
        <v>4145000</v>
      </c>
      <c r="H157" s="2832">
        <v>8232289</v>
      </c>
      <c r="I157" s="2832">
        <v>3712896</v>
      </c>
      <c r="J157" s="2834">
        <v>21465486</v>
      </c>
      <c r="K157" s="2835">
        <v>4494308</v>
      </c>
      <c r="L157" s="2835">
        <v>1651313</v>
      </c>
      <c r="M157" s="2836">
        <v>2628414</v>
      </c>
      <c r="N157" s="2837">
        <v>6793637</v>
      </c>
      <c r="O157" s="2832">
        <v>4774157</v>
      </c>
      <c r="P157" s="2832">
        <v>0</v>
      </c>
      <c r="Q157" s="2832">
        <v>0</v>
      </c>
      <c r="R157" s="2832">
        <v>0</v>
      </c>
      <c r="S157" s="2832">
        <v>0</v>
      </c>
      <c r="T157" s="2832">
        <v>0</v>
      </c>
      <c r="U157" s="2832">
        <v>35661694</v>
      </c>
      <c r="V157" s="2833">
        <v>11567794</v>
      </c>
      <c r="X157" s="2511"/>
      <c r="Y157" s="2511"/>
    </row>
    <row r="158" spans="1:25" hidden="1">
      <c r="A158" s="203" t="s">
        <v>66</v>
      </c>
      <c r="B158" s="2832">
        <v>0</v>
      </c>
      <c r="C158" s="2832">
        <v>0</v>
      </c>
      <c r="D158" s="2832">
        <v>0</v>
      </c>
      <c r="E158" s="2832">
        <v>0</v>
      </c>
      <c r="F158" s="2832">
        <v>0</v>
      </c>
      <c r="G158" s="2833">
        <v>0</v>
      </c>
      <c r="H158" s="2832">
        <v>3849132</v>
      </c>
      <c r="I158" s="2832">
        <v>19947789</v>
      </c>
      <c r="J158" s="2834">
        <v>7366366</v>
      </c>
      <c r="K158" s="2835">
        <v>0</v>
      </c>
      <c r="L158" s="2835">
        <v>303250</v>
      </c>
      <c r="M158" s="2836">
        <v>2039337</v>
      </c>
      <c r="N158" s="2837">
        <v>23896915</v>
      </c>
      <c r="O158" s="2832">
        <v>16754888</v>
      </c>
      <c r="P158" s="2832">
        <v>4009238</v>
      </c>
      <c r="Q158" s="2832">
        <v>3470500</v>
      </c>
      <c r="R158" s="2832">
        <v>0</v>
      </c>
      <c r="S158" s="2832">
        <v>0</v>
      </c>
      <c r="T158" s="2832">
        <v>0</v>
      </c>
      <c r="U158" s="2832">
        <v>57537244</v>
      </c>
      <c r="V158" s="2833">
        <v>48131541</v>
      </c>
      <c r="X158" s="2511"/>
      <c r="Y158" s="2511"/>
    </row>
    <row r="159" spans="1:25" hidden="1">
      <c r="A159" s="203" t="s">
        <v>31</v>
      </c>
      <c r="B159" s="2832">
        <v>0</v>
      </c>
      <c r="C159" s="2832">
        <v>0</v>
      </c>
      <c r="D159" s="2832">
        <v>0</v>
      </c>
      <c r="E159" s="2832">
        <v>0</v>
      </c>
      <c r="F159" s="2832">
        <v>829536</v>
      </c>
      <c r="G159" s="2833">
        <v>4707541</v>
      </c>
      <c r="H159" s="2832">
        <v>2188317</v>
      </c>
      <c r="I159" s="2832">
        <v>1176214</v>
      </c>
      <c r="J159" s="2834">
        <v>11901474</v>
      </c>
      <c r="K159" s="2835">
        <v>3209752</v>
      </c>
      <c r="L159" s="2835">
        <v>4777746</v>
      </c>
      <c r="M159" s="2836">
        <v>4225747</v>
      </c>
      <c r="N159" s="2837">
        <v>25146222</v>
      </c>
      <c r="O159" s="2832">
        <v>6028854</v>
      </c>
      <c r="P159" s="2832">
        <v>6609205</v>
      </c>
      <c r="Q159" s="2832">
        <v>113837</v>
      </c>
      <c r="R159" s="2832">
        <v>0</v>
      </c>
      <c r="S159" s="2832">
        <v>0</v>
      </c>
      <c r="T159" s="2832">
        <v>0</v>
      </c>
      <c r="U159" s="2832">
        <v>54025339</v>
      </c>
      <c r="V159" s="2833">
        <v>37898118</v>
      </c>
      <c r="X159" s="2511"/>
      <c r="Y159" s="2511"/>
    </row>
    <row r="160" spans="1:25" hidden="1">
      <c r="A160" s="203" t="s">
        <v>28</v>
      </c>
      <c r="B160" s="2832">
        <v>289954</v>
      </c>
      <c r="C160" s="2832">
        <v>0</v>
      </c>
      <c r="D160" s="2832">
        <v>43011</v>
      </c>
      <c r="E160" s="2832">
        <v>230832</v>
      </c>
      <c r="F160" s="2832">
        <v>787833</v>
      </c>
      <c r="G160" s="2833">
        <v>29963574</v>
      </c>
      <c r="H160" s="2832">
        <v>7405834</v>
      </c>
      <c r="I160" s="2832">
        <v>1961906</v>
      </c>
      <c r="J160" s="2834">
        <v>11379681</v>
      </c>
      <c r="K160" s="2835">
        <v>1592587</v>
      </c>
      <c r="L160" s="2835">
        <v>3031</v>
      </c>
      <c r="M160" s="2836">
        <v>0</v>
      </c>
      <c r="N160" s="2837">
        <v>0</v>
      </c>
      <c r="O160" s="2832">
        <v>0</v>
      </c>
      <c r="P160" s="2832">
        <v>0</v>
      </c>
      <c r="Q160" s="2832">
        <v>0</v>
      </c>
      <c r="R160" s="2832">
        <v>0</v>
      </c>
      <c r="S160" s="2832">
        <v>0</v>
      </c>
      <c r="T160" s="2832">
        <v>0</v>
      </c>
      <c r="U160" s="2832">
        <v>11379681</v>
      </c>
      <c r="V160" s="2833">
        <v>0</v>
      </c>
      <c r="X160" s="2511"/>
      <c r="Y160" s="2511"/>
    </row>
    <row r="161" spans="1:25" hidden="1">
      <c r="A161" s="2838" t="s">
        <v>67</v>
      </c>
      <c r="B161" s="2832">
        <v>10594223</v>
      </c>
      <c r="C161" s="2832">
        <v>0</v>
      </c>
      <c r="D161" s="2832">
        <v>0</v>
      </c>
      <c r="E161" s="2832">
        <v>3058368</v>
      </c>
      <c r="F161" s="2832">
        <v>17692550</v>
      </c>
      <c r="G161" s="2833">
        <v>2998223</v>
      </c>
      <c r="H161" s="2832">
        <v>3753212</v>
      </c>
      <c r="I161" s="2832">
        <v>4711864</v>
      </c>
      <c r="J161" s="2834">
        <v>0</v>
      </c>
      <c r="K161" s="2835">
        <v>0</v>
      </c>
      <c r="L161" s="2835">
        <v>0</v>
      </c>
      <c r="M161" s="2836">
        <v>0</v>
      </c>
      <c r="N161" s="2837">
        <v>0</v>
      </c>
      <c r="O161" s="2832">
        <v>0</v>
      </c>
      <c r="P161" s="2832">
        <v>0</v>
      </c>
      <c r="Q161" s="2832">
        <v>0</v>
      </c>
      <c r="R161" s="2832">
        <v>0</v>
      </c>
      <c r="S161" s="2832">
        <v>0</v>
      </c>
      <c r="T161" s="2832">
        <v>0</v>
      </c>
      <c r="U161" s="2832">
        <v>0</v>
      </c>
      <c r="V161" s="2833">
        <v>0</v>
      </c>
      <c r="W161" s="299"/>
      <c r="X161" s="2511"/>
      <c r="Y161" s="2511"/>
    </row>
    <row r="162" spans="1:25" hidden="1">
      <c r="A162" s="2839" t="s">
        <v>30</v>
      </c>
      <c r="B162" s="2840">
        <v>0</v>
      </c>
      <c r="C162" s="2840">
        <v>0</v>
      </c>
      <c r="D162" s="2840">
        <v>0</v>
      </c>
      <c r="E162" s="2840">
        <v>0</v>
      </c>
      <c r="F162" s="2840">
        <v>0</v>
      </c>
      <c r="G162" s="2841">
        <v>0</v>
      </c>
      <c r="H162" s="2840">
        <v>0</v>
      </c>
      <c r="I162" s="2840">
        <v>1023120</v>
      </c>
      <c r="J162" s="2834">
        <v>0</v>
      </c>
      <c r="K162" s="2842">
        <v>0</v>
      </c>
      <c r="L162" s="2842">
        <v>0</v>
      </c>
      <c r="M162" s="2843">
        <v>0</v>
      </c>
      <c r="N162" s="2844">
        <v>0</v>
      </c>
      <c r="O162" s="2840">
        <v>0</v>
      </c>
      <c r="P162" s="2840">
        <v>0</v>
      </c>
      <c r="Q162" s="2840">
        <v>0</v>
      </c>
      <c r="R162" s="2840">
        <v>0</v>
      </c>
      <c r="S162" s="2840">
        <v>0</v>
      </c>
      <c r="T162" s="2840">
        <v>0</v>
      </c>
      <c r="U162" s="2832">
        <v>0</v>
      </c>
      <c r="V162" s="2833">
        <v>0</v>
      </c>
      <c r="X162" s="2511"/>
      <c r="Y162" s="2511"/>
    </row>
    <row r="163" spans="1:25" ht="13.5" hidden="1" thickBot="1">
      <c r="A163" s="1490" t="s">
        <v>32</v>
      </c>
      <c r="B163" s="2845">
        <v>25166489</v>
      </c>
      <c r="C163" s="2845" t="e">
        <v>#REF!</v>
      </c>
      <c r="D163" s="2845" t="e">
        <v>#REF!</v>
      </c>
      <c r="E163" s="2845" t="e">
        <v>#REF!</v>
      </c>
      <c r="F163" s="2845">
        <v>51322010</v>
      </c>
      <c r="G163" s="2846">
        <v>77354899</v>
      </c>
      <c r="H163" s="2845">
        <v>121662696</v>
      </c>
      <c r="I163" s="2845">
        <v>179987116</v>
      </c>
      <c r="J163" s="2845">
        <v>142916495</v>
      </c>
      <c r="K163" s="2847">
        <v>43857644</v>
      </c>
      <c r="L163" s="2847">
        <v>39812141</v>
      </c>
      <c r="M163" s="2848">
        <v>64571500</v>
      </c>
      <c r="N163" s="2849">
        <v>308818574</v>
      </c>
      <c r="O163" s="2845">
        <v>291042939</v>
      </c>
      <c r="P163" s="2845">
        <v>72531475</v>
      </c>
      <c r="Q163" s="2845">
        <v>60857171</v>
      </c>
      <c r="R163" s="2845">
        <v>32586286</v>
      </c>
      <c r="S163" s="2845">
        <v>32251686</v>
      </c>
      <c r="T163" s="2845">
        <v>31208245</v>
      </c>
      <c r="U163" s="2845">
        <v>1036784371</v>
      </c>
      <c r="V163" s="2846">
        <v>829296376</v>
      </c>
      <c r="X163" s="2511"/>
      <c r="Y163" s="2511"/>
    </row>
    <row r="164" spans="1:25" hidden="1">
      <c r="A164" s="2850"/>
      <c r="B164" s="2851">
        <f>SUM(B153:B163)</f>
        <v>64233113</v>
      </c>
      <c r="C164" s="2851" t="e">
        <f t="shared" ref="C164:U164" si="102">SUM(C153:C163)</f>
        <v>#REF!</v>
      </c>
      <c r="D164" s="2851" t="e">
        <f t="shared" si="102"/>
        <v>#REF!</v>
      </c>
      <c r="E164" s="2851" t="e">
        <f t="shared" si="102"/>
        <v>#REF!</v>
      </c>
      <c r="F164" s="2851">
        <f t="shared" si="102"/>
        <v>106866512</v>
      </c>
      <c r="G164" s="2851">
        <f t="shared" si="102"/>
        <v>210123298</v>
      </c>
      <c r="H164" s="2852">
        <f t="shared" si="102"/>
        <v>232143167.30000001</v>
      </c>
      <c r="I164" s="2852">
        <f t="shared" si="102"/>
        <v>373564523.30000001</v>
      </c>
      <c r="J164" s="2852">
        <f t="shared" si="102"/>
        <v>562762693.29999995</v>
      </c>
      <c r="K164" s="2853">
        <f t="shared" si="102"/>
        <v>174735942</v>
      </c>
      <c r="L164" s="2853">
        <f t="shared" si="102"/>
        <v>171679776</v>
      </c>
      <c r="M164" s="2854">
        <f t="shared" si="102"/>
        <v>188435139</v>
      </c>
      <c r="N164" s="2851">
        <f t="shared" ref="N164:T164" si="103">SUM(N153:N163)</f>
        <v>621403413</v>
      </c>
      <c r="O164" s="2851">
        <f t="shared" si="103"/>
        <v>572411233</v>
      </c>
      <c r="P164" s="2851">
        <f t="shared" si="103"/>
        <v>299363858</v>
      </c>
      <c r="Q164" s="2851">
        <f t="shared" si="103"/>
        <v>243913680</v>
      </c>
      <c r="R164" s="2851">
        <f t="shared" si="103"/>
        <v>85381670</v>
      </c>
      <c r="S164" s="2851">
        <f t="shared" si="103"/>
        <v>41150453</v>
      </c>
      <c r="T164" s="2851">
        <f t="shared" si="103"/>
        <v>36692370</v>
      </c>
      <c r="U164" s="2851">
        <f t="shared" si="102"/>
        <v>2655078799.3000002</v>
      </c>
      <c r="V164" s="2851">
        <f>SUM(V153:V163)</f>
        <v>1903880967</v>
      </c>
    </row>
    <row r="165" spans="1:25" hidden="1">
      <c r="A165" s="2855" t="s">
        <v>54</v>
      </c>
      <c r="B165" s="2856">
        <f t="shared" ref="B165:V165" si="104">+B164-B152</f>
        <v>0</v>
      </c>
      <c r="C165" s="2856" t="e">
        <f t="shared" si="104"/>
        <v>#REF!</v>
      </c>
      <c r="D165" s="2856" t="e">
        <f t="shared" si="104"/>
        <v>#REF!</v>
      </c>
      <c r="E165" s="2856" t="e">
        <f t="shared" si="104"/>
        <v>#REF!</v>
      </c>
      <c r="F165" s="2856">
        <f t="shared" si="104"/>
        <v>0</v>
      </c>
      <c r="G165" s="2856">
        <f t="shared" si="104"/>
        <v>0</v>
      </c>
      <c r="H165" s="2857">
        <f t="shared" si="104"/>
        <v>0</v>
      </c>
      <c r="I165" s="2857">
        <f t="shared" si="104"/>
        <v>0</v>
      </c>
      <c r="J165" s="2857">
        <f t="shared" si="104"/>
        <v>0</v>
      </c>
      <c r="K165" s="2777">
        <f t="shared" si="104"/>
        <v>0</v>
      </c>
      <c r="L165" s="2777">
        <f t="shared" si="104"/>
        <v>0</v>
      </c>
      <c r="M165" s="2858">
        <f>+M164-M152</f>
        <v>0</v>
      </c>
      <c r="N165" s="2856">
        <f>+N164-N152</f>
        <v>0</v>
      </c>
      <c r="O165" s="2856">
        <f>+O164-O152</f>
        <v>0</v>
      </c>
      <c r="P165" s="2856">
        <f>+P164-P152</f>
        <v>0</v>
      </c>
      <c r="Q165" s="2856">
        <f>+Q164-Q152</f>
        <v>0</v>
      </c>
      <c r="R165" s="2856"/>
      <c r="S165" s="2856"/>
      <c r="T165" s="2856"/>
      <c r="U165" s="2856">
        <f t="shared" si="104"/>
        <v>0</v>
      </c>
      <c r="V165" s="2856">
        <f t="shared" si="104"/>
        <v>0</v>
      </c>
    </row>
    <row r="166" spans="1:25" ht="3.75" hidden="1" customHeight="1" thickBot="1">
      <c r="A166" s="2775"/>
      <c r="B166" s="2859"/>
      <c r="C166" s="2859"/>
      <c r="D166" s="2859"/>
      <c r="E166" s="2859"/>
      <c r="F166" s="2859"/>
      <c r="G166" s="2859"/>
      <c r="H166" s="2860"/>
      <c r="I166" s="2860"/>
      <c r="J166" s="2859"/>
      <c r="K166" s="2861"/>
      <c r="L166" s="2861"/>
      <c r="M166" s="2862"/>
      <c r="N166" s="2859"/>
      <c r="O166" s="2859"/>
      <c r="P166" s="2859"/>
      <c r="Q166" s="2859"/>
      <c r="R166" s="2859"/>
      <c r="S166" s="2859"/>
      <c r="T166" s="2859"/>
      <c r="U166" s="2859"/>
    </row>
    <row r="167" spans="1:25" ht="32.25" hidden="1" customHeight="1" thickBot="1">
      <c r="A167" s="2863" t="s">
        <v>508</v>
      </c>
      <c r="B167" s="2864">
        <f>SUM(B168:B179)</f>
        <v>41617945</v>
      </c>
      <c r="C167" s="2864" t="e">
        <f t="shared" ref="C167:U167" si="105">SUM(C168:C179)</f>
        <v>#REF!</v>
      </c>
      <c r="D167" s="2864" t="e">
        <f t="shared" si="105"/>
        <v>#REF!</v>
      </c>
      <c r="E167" s="2864" t="e">
        <f t="shared" si="105"/>
        <v>#REF!</v>
      </c>
      <c r="F167" s="2864">
        <f t="shared" si="105"/>
        <v>85458386</v>
      </c>
      <c r="G167" s="2865">
        <f t="shared" si="105"/>
        <v>136543290</v>
      </c>
      <c r="H167" s="2864">
        <f t="shared" si="105"/>
        <v>176246118</v>
      </c>
      <c r="I167" s="2864">
        <f t="shared" si="105"/>
        <v>213347494</v>
      </c>
      <c r="J167" s="2864">
        <f>SUM(J168:J179)</f>
        <v>238931793</v>
      </c>
      <c r="K167" s="2865">
        <f t="shared" si="105"/>
        <v>81736722</v>
      </c>
      <c r="L167" s="2865">
        <f t="shared" si="105"/>
        <v>84878764</v>
      </c>
      <c r="M167" s="2866">
        <f t="shared" si="105"/>
        <v>89130422</v>
      </c>
      <c r="N167" s="2867">
        <f t="shared" si="105"/>
        <v>395414410</v>
      </c>
      <c r="O167" s="2864">
        <f t="shared" si="105"/>
        <v>347288571</v>
      </c>
      <c r="P167" s="2864">
        <f>SUM(P168:P179)</f>
        <v>149881409</v>
      </c>
      <c r="Q167" s="2864">
        <f>SUM(Q168:Q179)</f>
        <v>103011065</v>
      </c>
      <c r="R167" s="2864">
        <f>SUM(R168:R179)</f>
        <v>75767657</v>
      </c>
      <c r="S167" s="2864">
        <f>SUM(S168:S179)</f>
        <v>35478619</v>
      </c>
      <c r="T167" s="2864">
        <f>SUM(T168:T179)</f>
        <v>31983092</v>
      </c>
      <c r="U167" s="2864">
        <f t="shared" si="105"/>
        <v>1466887038</v>
      </c>
      <c r="V167" s="2868"/>
    </row>
    <row r="168" spans="1:25" hidden="1">
      <c r="A168" s="2831" t="s">
        <v>68</v>
      </c>
      <c r="B168" s="2869">
        <v>0</v>
      </c>
      <c r="C168" s="2869">
        <v>0</v>
      </c>
      <c r="D168" s="2869">
        <v>0</v>
      </c>
      <c r="E168" s="2869">
        <v>0</v>
      </c>
      <c r="F168" s="2869">
        <v>453868</v>
      </c>
      <c r="G168" s="2870">
        <v>569798</v>
      </c>
      <c r="H168" s="2869">
        <v>474487</v>
      </c>
      <c r="I168" s="2869">
        <v>126548</v>
      </c>
      <c r="J168" s="2869">
        <v>0</v>
      </c>
      <c r="K168" s="2870">
        <v>0</v>
      </c>
      <c r="L168" s="2870">
        <v>0</v>
      </c>
      <c r="M168" s="2871">
        <v>0</v>
      </c>
      <c r="N168" s="2872">
        <v>0</v>
      </c>
      <c r="O168" s="2869">
        <v>0</v>
      </c>
      <c r="P168" s="2869">
        <v>0</v>
      </c>
      <c r="Q168" s="2869">
        <v>0</v>
      </c>
      <c r="R168" s="2873">
        <v>0</v>
      </c>
      <c r="S168" s="2873">
        <v>0</v>
      </c>
      <c r="T168" s="2873">
        <v>0</v>
      </c>
      <c r="U168" s="2832">
        <v>0</v>
      </c>
      <c r="V168" s="2874"/>
    </row>
    <row r="169" spans="1:25" hidden="1">
      <c r="A169" s="203" t="s">
        <v>24</v>
      </c>
      <c r="B169" s="2832">
        <v>473501</v>
      </c>
      <c r="C169" s="2832" t="e">
        <v>#REF!</v>
      </c>
      <c r="D169" s="2832" t="e">
        <v>#REF!</v>
      </c>
      <c r="E169" s="2832" t="e">
        <v>#REF!</v>
      </c>
      <c r="F169" s="2832">
        <v>642141</v>
      </c>
      <c r="G169" s="2833">
        <v>8751565</v>
      </c>
      <c r="H169" s="2832">
        <v>2800194</v>
      </c>
      <c r="I169" s="2832">
        <v>5158660</v>
      </c>
      <c r="J169" s="2832">
        <v>28086027</v>
      </c>
      <c r="K169" s="2835">
        <v>8543787</v>
      </c>
      <c r="L169" s="2835">
        <v>16785675</v>
      </c>
      <c r="M169" s="2836">
        <v>1704507</v>
      </c>
      <c r="N169" s="2837">
        <v>4576396</v>
      </c>
      <c r="O169" s="2832">
        <v>1761902</v>
      </c>
      <c r="P169" s="2832">
        <v>1151569</v>
      </c>
      <c r="Q169" s="2832">
        <v>1216734</v>
      </c>
      <c r="R169" s="2832">
        <v>1006734</v>
      </c>
      <c r="S169" s="2832">
        <v>989414</v>
      </c>
      <c r="T169" s="2832">
        <v>494707</v>
      </c>
      <c r="U169" s="2832">
        <v>40987990</v>
      </c>
      <c r="V169" s="2874"/>
    </row>
    <row r="170" spans="1:25" ht="14.25" hidden="1" customHeight="1">
      <c r="A170" s="203" t="s">
        <v>26</v>
      </c>
      <c r="B170" s="2832">
        <v>279786</v>
      </c>
      <c r="C170" s="2832">
        <v>0</v>
      </c>
      <c r="D170" s="2832">
        <v>0</v>
      </c>
      <c r="E170" s="2832">
        <v>279786</v>
      </c>
      <c r="F170" s="2832">
        <v>7461875</v>
      </c>
      <c r="G170" s="2833">
        <v>4145000</v>
      </c>
      <c r="H170" s="2832">
        <v>6242425</v>
      </c>
      <c r="I170" s="2832">
        <v>5702760</v>
      </c>
      <c r="J170" s="2832">
        <v>21465486</v>
      </c>
      <c r="K170" s="2835">
        <v>4494308</v>
      </c>
      <c r="L170" s="2835">
        <v>1651313</v>
      </c>
      <c r="M170" s="2836">
        <v>2628414</v>
      </c>
      <c r="N170" s="2837">
        <v>6793637</v>
      </c>
      <c r="O170" s="2832">
        <v>4774157</v>
      </c>
      <c r="P170" s="2832">
        <v>0</v>
      </c>
      <c r="Q170" s="2832">
        <v>0</v>
      </c>
      <c r="R170" s="2832">
        <v>0</v>
      </c>
      <c r="S170" s="2832">
        <v>0</v>
      </c>
      <c r="T170" s="2832">
        <v>0</v>
      </c>
      <c r="U170" s="2832">
        <v>35661694</v>
      </c>
      <c r="V170" s="2874"/>
    </row>
    <row r="171" spans="1:25" ht="14.25" hidden="1" customHeight="1">
      <c r="A171" s="203" t="s">
        <v>66</v>
      </c>
      <c r="B171" s="2832">
        <v>0</v>
      </c>
      <c r="C171" s="2832">
        <v>0</v>
      </c>
      <c r="D171" s="2832">
        <v>0</v>
      </c>
      <c r="E171" s="2832">
        <v>0</v>
      </c>
      <c r="F171" s="2832">
        <v>8238536</v>
      </c>
      <c r="G171" s="2833">
        <v>6250000</v>
      </c>
      <c r="H171" s="2832">
        <v>10099132</v>
      </c>
      <c r="I171" s="2832">
        <v>10537789</v>
      </c>
      <c r="J171" s="2832">
        <v>18093511</v>
      </c>
      <c r="K171" s="2835">
        <v>4477145</v>
      </c>
      <c r="L171" s="2835">
        <v>6553250</v>
      </c>
      <c r="M171" s="2836">
        <v>10458622</v>
      </c>
      <c r="N171" s="2837">
        <v>11861826</v>
      </c>
      <c r="O171" s="2832">
        <v>8696585</v>
      </c>
      <c r="P171" s="2832">
        <v>7032200</v>
      </c>
      <c r="Q171" s="2832">
        <v>1394500</v>
      </c>
      <c r="R171" s="2832">
        <v>0</v>
      </c>
      <c r="S171" s="2832">
        <v>0</v>
      </c>
      <c r="T171" s="2832">
        <v>0</v>
      </c>
      <c r="U171" s="2832">
        <v>57537244</v>
      </c>
      <c r="V171" s="2874"/>
    </row>
    <row r="172" spans="1:25" hidden="1">
      <c r="A172" s="2831" t="s">
        <v>23</v>
      </c>
      <c r="B172" s="2832">
        <v>0</v>
      </c>
      <c r="C172" s="2832">
        <v>0</v>
      </c>
      <c r="D172" s="2832">
        <v>0</v>
      </c>
      <c r="E172" s="2832">
        <v>0</v>
      </c>
      <c r="F172" s="2832">
        <v>101937</v>
      </c>
      <c r="G172" s="2833">
        <v>220330</v>
      </c>
      <c r="H172" s="2832">
        <v>1345053</v>
      </c>
      <c r="I172" s="2832">
        <v>2037072</v>
      </c>
      <c r="J172" s="2832">
        <v>10593533</v>
      </c>
      <c r="K172" s="2835">
        <v>0</v>
      </c>
      <c r="L172" s="2835">
        <v>10593533</v>
      </c>
      <c r="M172" s="2836">
        <v>12000000</v>
      </c>
      <c r="N172" s="2837">
        <v>12350000</v>
      </c>
      <c r="O172" s="2832">
        <v>13855657</v>
      </c>
      <c r="P172" s="2832">
        <v>18000000</v>
      </c>
      <c r="Q172" s="2832">
        <v>16000000</v>
      </c>
      <c r="R172" s="2832">
        <v>2000000</v>
      </c>
      <c r="S172" s="2832">
        <v>1650729</v>
      </c>
      <c r="T172" s="2832">
        <v>0</v>
      </c>
      <c r="U172" s="2832">
        <v>86449919</v>
      </c>
      <c r="V172" s="2874"/>
    </row>
    <row r="173" spans="1:25" hidden="1">
      <c r="A173" s="203" t="s">
        <v>71</v>
      </c>
      <c r="B173" s="2832">
        <v>5935894</v>
      </c>
      <c r="C173" s="2832">
        <v>0</v>
      </c>
      <c r="D173" s="2832">
        <v>0</v>
      </c>
      <c r="E173" s="2832">
        <v>6647405</v>
      </c>
      <c r="F173" s="2832">
        <v>10285500</v>
      </c>
      <c r="G173" s="2833">
        <v>12796084</v>
      </c>
      <c r="H173" s="2832">
        <v>12792166</v>
      </c>
      <c r="I173" s="2832">
        <v>9659941</v>
      </c>
      <c r="J173" s="2832">
        <v>0</v>
      </c>
      <c r="K173" s="2835">
        <v>200000</v>
      </c>
      <c r="L173" s="2835">
        <v>0</v>
      </c>
      <c r="M173" s="2836">
        <v>0</v>
      </c>
      <c r="N173" s="2837">
        <v>27618240</v>
      </c>
      <c r="O173" s="2832">
        <v>18864240</v>
      </c>
      <c r="P173" s="2832">
        <v>36547360</v>
      </c>
      <c r="Q173" s="2832">
        <v>20384000</v>
      </c>
      <c r="R173" s="2832">
        <v>40060800</v>
      </c>
      <c r="S173" s="2832">
        <v>586160</v>
      </c>
      <c r="T173" s="2832">
        <v>0</v>
      </c>
      <c r="U173" s="2832">
        <v>144060800</v>
      </c>
      <c r="V173" s="2874"/>
    </row>
    <row r="174" spans="1:25" hidden="1">
      <c r="A174" s="203" t="s">
        <v>72</v>
      </c>
      <c r="B174" s="2832">
        <v>10594223</v>
      </c>
      <c r="C174" s="2832">
        <v>0</v>
      </c>
      <c r="D174" s="2832">
        <v>0</v>
      </c>
      <c r="E174" s="2832">
        <v>3058368</v>
      </c>
      <c r="F174" s="2832">
        <v>17692550</v>
      </c>
      <c r="G174" s="2833">
        <v>2998223</v>
      </c>
      <c r="H174" s="2832">
        <v>3753212</v>
      </c>
      <c r="I174" s="2832">
        <v>4711864</v>
      </c>
      <c r="J174" s="2832">
        <v>0</v>
      </c>
      <c r="K174" s="2835">
        <v>0</v>
      </c>
      <c r="L174" s="2835">
        <v>0</v>
      </c>
      <c r="M174" s="2836">
        <v>0</v>
      </c>
      <c r="N174" s="2837">
        <v>0</v>
      </c>
      <c r="O174" s="2832">
        <v>0</v>
      </c>
      <c r="P174" s="2832">
        <v>0</v>
      </c>
      <c r="Q174" s="2832">
        <v>0</v>
      </c>
      <c r="R174" s="2832">
        <v>0</v>
      </c>
      <c r="S174" s="2832">
        <v>0</v>
      </c>
      <c r="T174" s="2832">
        <v>0</v>
      </c>
      <c r="U174" s="2832">
        <v>0</v>
      </c>
      <c r="V174" s="2874"/>
    </row>
    <row r="175" spans="1:25" hidden="1">
      <c r="A175" s="203" t="s">
        <v>28</v>
      </c>
      <c r="B175" s="2832">
        <v>0</v>
      </c>
      <c r="C175" s="2832">
        <v>0</v>
      </c>
      <c r="D175" s="2832">
        <v>0</v>
      </c>
      <c r="E175" s="2832">
        <v>0</v>
      </c>
      <c r="F175" s="2832">
        <v>0</v>
      </c>
      <c r="G175" s="2833">
        <v>18718271</v>
      </c>
      <c r="H175" s="2832">
        <v>16003036</v>
      </c>
      <c r="I175" s="2832">
        <v>3705956</v>
      </c>
      <c r="J175" s="2832">
        <v>11379681</v>
      </c>
      <c r="K175" s="2835">
        <v>2875044</v>
      </c>
      <c r="L175" s="2835">
        <v>697024</v>
      </c>
      <c r="M175" s="2836">
        <v>0</v>
      </c>
      <c r="N175" s="2837">
        <v>0</v>
      </c>
      <c r="O175" s="2832">
        <v>0</v>
      </c>
      <c r="P175" s="2832">
        <v>0</v>
      </c>
      <c r="Q175" s="2832">
        <v>0</v>
      </c>
      <c r="R175" s="2832">
        <v>0</v>
      </c>
      <c r="S175" s="2832">
        <v>0</v>
      </c>
      <c r="T175" s="2832">
        <v>0</v>
      </c>
      <c r="U175" s="2832">
        <v>11379681</v>
      </c>
      <c r="V175" s="2874"/>
    </row>
    <row r="176" spans="1:25" ht="24" hidden="1">
      <c r="A176" s="203" t="s">
        <v>37</v>
      </c>
      <c r="B176" s="2832">
        <v>0</v>
      </c>
      <c r="C176" s="2832">
        <v>0</v>
      </c>
      <c r="D176" s="2832">
        <v>0</v>
      </c>
      <c r="E176" s="2832">
        <v>0</v>
      </c>
      <c r="F176" s="2832">
        <v>0</v>
      </c>
      <c r="G176" s="2833">
        <v>0</v>
      </c>
      <c r="H176" s="2832">
        <v>0</v>
      </c>
      <c r="I176" s="2832">
        <v>841481</v>
      </c>
      <c r="J176" s="2875">
        <v>0</v>
      </c>
      <c r="K176" s="2876">
        <v>0</v>
      </c>
      <c r="L176" s="2876">
        <v>0</v>
      </c>
      <c r="M176" s="2877">
        <v>0</v>
      </c>
      <c r="N176" s="2878">
        <v>0</v>
      </c>
      <c r="O176" s="2875">
        <v>0</v>
      </c>
      <c r="P176" s="2875">
        <v>0</v>
      </c>
      <c r="Q176" s="2875">
        <v>0</v>
      </c>
      <c r="R176" s="2875">
        <v>0</v>
      </c>
      <c r="S176" s="2875">
        <v>0</v>
      </c>
      <c r="T176" s="2875">
        <v>0</v>
      </c>
      <c r="U176" s="2832">
        <v>0</v>
      </c>
      <c r="V176" s="2879"/>
    </row>
    <row r="177" spans="1:22" ht="13.5" hidden="1" customHeight="1">
      <c r="A177" s="203" t="s">
        <v>31</v>
      </c>
      <c r="B177" s="2832">
        <v>0</v>
      </c>
      <c r="C177" s="2832" t="e">
        <v>#REF!</v>
      </c>
      <c r="D177" s="2832" t="e">
        <v>#REF!</v>
      </c>
      <c r="E177" s="2832" t="e">
        <v>#REF!</v>
      </c>
      <c r="F177" s="2832">
        <v>1361604</v>
      </c>
      <c r="G177" s="2833">
        <v>6341970</v>
      </c>
      <c r="H177" s="2832">
        <v>5828817</v>
      </c>
      <c r="I177" s="2832">
        <v>8011553</v>
      </c>
      <c r="J177" s="2832">
        <v>11570572</v>
      </c>
      <c r="K177" s="2835">
        <v>75862</v>
      </c>
      <c r="L177" s="2835">
        <v>83483</v>
      </c>
      <c r="M177" s="2836">
        <v>4804784</v>
      </c>
      <c r="N177" s="2837">
        <v>15423597</v>
      </c>
      <c r="O177" s="2832">
        <v>10410084</v>
      </c>
      <c r="P177" s="2832">
        <v>8543805</v>
      </c>
      <c r="Q177" s="2832">
        <v>3158660</v>
      </c>
      <c r="R177" s="2832">
        <v>113837</v>
      </c>
      <c r="S177" s="2832">
        <v>0</v>
      </c>
      <c r="T177" s="2832">
        <v>0</v>
      </c>
      <c r="U177" s="2832">
        <v>54025339</v>
      </c>
      <c r="V177" s="2874"/>
    </row>
    <row r="178" spans="1:22" ht="14.25" hidden="1" customHeight="1">
      <c r="A178" s="2880" t="s">
        <v>30</v>
      </c>
      <c r="B178" s="2840">
        <v>0</v>
      </c>
      <c r="C178" s="2840">
        <v>0</v>
      </c>
      <c r="D178" s="2840">
        <v>0</v>
      </c>
      <c r="E178" s="2840">
        <v>0</v>
      </c>
      <c r="F178" s="2840">
        <v>0</v>
      </c>
      <c r="G178" s="2841">
        <v>0</v>
      </c>
      <c r="H178" s="2840">
        <v>0</v>
      </c>
      <c r="I178" s="2840">
        <v>1023120</v>
      </c>
      <c r="J178" s="2832">
        <v>0</v>
      </c>
      <c r="K178" s="2842">
        <v>0</v>
      </c>
      <c r="L178" s="2842">
        <v>0</v>
      </c>
      <c r="M178" s="2843">
        <v>0</v>
      </c>
      <c r="N178" s="2844">
        <v>0</v>
      </c>
      <c r="O178" s="2840">
        <v>0</v>
      </c>
      <c r="P178" s="2840">
        <v>0</v>
      </c>
      <c r="Q178" s="2840">
        <v>0</v>
      </c>
      <c r="R178" s="2840">
        <v>0</v>
      </c>
      <c r="S178" s="2840">
        <v>0</v>
      </c>
      <c r="T178" s="2840">
        <v>0</v>
      </c>
      <c r="U178" s="2832">
        <v>0</v>
      </c>
      <c r="V178" s="2874"/>
    </row>
    <row r="179" spans="1:22" ht="13.5" hidden="1" thickBot="1">
      <c r="A179" s="1490" t="s">
        <v>32</v>
      </c>
      <c r="B179" s="2845">
        <v>24334541</v>
      </c>
      <c r="C179" s="2845" t="e">
        <v>#REF!</v>
      </c>
      <c r="D179" s="2845" t="e">
        <v>#REF!</v>
      </c>
      <c r="E179" s="2845" t="e">
        <v>#REF!</v>
      </c>
      <c r="F179" s="2845">
        <v>39220375</v>
      </c>
      <c r="G179" s="2846">
        <v>75752049</v>
      </c>
      <c r="H179" s="2845">
        <v>116907596</v>
      </c>
      <c r="I179" s="2845">
        <v>161830750</v>
      </c>
      <c r="J179" s="2847">
        <v>137742983</v>
      </c>
      <c r="K179" s="2847">
        <v>61070576</v>
      </c>
      <c r="L179" s="2881">
        <v>48514486</v>
      </c>
      <c r="M179" s="2848">
        <v>57534095</v>
      </c>
      <c r="N179" s="2849">
        <v>316790714</v>
      </c>
      <c r="O179" s="2845">
        <v>288925946</v>
      </c>
      <c r="P179" s="2845">
        <v>78606475</v>
      </c>
      <c r="Q179" s="2845">
        <v>60857171</v>
      </c>
      <c r="R179" s="2845">
        <v>32586286</v>
      </c>
      <c r="S179" s="2845">
        <v>32252316</v>
      </c>
      <c r="T179" s="2845">
        <v>31488385</v>
      </c>
      <c r="U179" s="2832">
        <v>1036784371</v>
      </c>
      <c r="V179" s="2874"/>
    </row>
    <row r="180" spans="1:22" hidden="1">
      <c r="A180" s="2882"/>
      <c r="B180" s="2883">
        <f>SUM(B168:B179)</f>
        <v>41617945</v>
      </c>
      <c r="C180" s="2883" t="e">
        <f t="shared" ref="C180:U180" si="106">SUM(C168:C179)</f>
        <v>#REF!</v>
      </c>
      <c r="D180" s="2883" t="e">
        <f t="shared" si="106"/>
        <v>#REF!</v>
      </c>
      <c r="E180" s="2883" t="e">
        <f t="shared" si="106"/>
        <v>#REF!</v>
      </c>
      <c r="F180" s="2883">
        <f t="shared" si="106"/>
        <v>85458386</v>
      </c>
      <c r="G180" s="2883">
        <f t="shared" si="106"/>
        <v>136543290</v>
      </c>
      <c r="H180" s="2884">
        <f t="shared" si="106"/>
        <v>176246118</v>
      </c>
      <c r="I180" s="2884">
        <f t="shared" si="106"/>
        <v>213347494</v>
      </c>
      <c r="J180" s="2884">
        <f t="shared" si="106"/>
        <v>238931793</v>
      </c>
      <c r="K180" s="2885">
        <f t="shared" si="106"/>
        <v>81736722</v>
      </c>
      <c r="L180" s="2886">
        <f t="shared" si="106"/>
        <v>84878764</v>
      </c>
      <c r="M180" s="2887">
        <f t="shared" si="106"/>
        <v>89130422</v>
      </c>
      <c r="N180" s="2883">
        <f t="shared" si="106"/>
        <v>395414410</v>
      </c>
      <c r="O180" s="2883">
        <f t="shared" si="106"/>
        <v>347288571</v>
      </c>
      <c r="P180" s="2883">
        <f t="shared" si="106"/>
        <v>149881409</v>
      </c>
      <c r="Q180" s="2883">
        <f t="shared" si="106"/>
        <v>103011065</v>
      </c>
      <c r="R180" s="2883">
        <f t="shared" si="106"/>
        <v>75767657</v>
      </c>
      <c r="S180" s="2883">
        <f t="shared" si="106"/>
        <v>35478619</v>
      </c>
      <c r="T180" s="2883">
        <f t="shared" si="106"/>
        <v>31983092</v>
      </c>
      <c r="U180" s="2883">
        <f t="shared" si="106"/>
        <v>1466887038</v>
      </c>
      <c r="V180" s="2888"/>
    </row>
    <row r="181" spans="1:22" ht="17.25" hidden="1" customHeight="1" thickBot="1">
      <c r="A181" s="2889"/>
      <c r="B181" s="2714" t="s">
        <v>5</v>
      </c>
      <c r="C181" s="2890" t="s">
        <v>6</v>
      </c>
      <c r="D181" s="2890" t="s">
        <v>7</v>
      </c>
      <c r="E181" s="2890" t="s">
        <v>8</v>
      </c>
      <c r="F181" s="2714" t="s">
        <v>9</v>
      </c>
      <c r="G181" s="2809" t="s">
        <v>10</v>
      </c>
      <c r="H181" s="2714" t="s">
        <v>11</v>
      </c>
      <c r="I181" s="2714" t="s">
        <v>12</v>
      </c>
      <c r="J181" s="2811" t="s">
        <v>493</v>
      </c>
      <c r="K181" s="2710" t="s">
        <v>13</v>
      </c>
      <c r="L181" s="2711" t="s">
        <v>14</v>
      </c>
      <c r="M181" s="2814" t="s">
        <v>15</v>
      </c>
      <c r="N181" s="2713" t="s">
        <v>16</v>
      </c>
      <c r="O181" s="2714" t="s">
        <v>17</v>
      </c>
      <c r="P181" s="2714" t="s">
        <v>259</v>
      </c>
      <c r="Q181" s="2714" t="s">
        <v>263</v>
      </c>
      <c r="R181" s="2714" t="s">
        <v>324</v>
      </c>
      <c r="S181" s="2714" t="s">
        <v>325</v>
      </c>
      <c r="T181" s="2714" t="s">
        <v>323</v>
      </c>
      <c r="U181" s="2715" t="s">
        <v>59</v>
      </c>
    </row>
    <row r="182" spans="1:22" ht="9" hidden="1" customHeight="1">
      <c r="A182" s="2891"/>
      <c r="B182" s="2892"/>
      <c r="C182" s="2892"/>
      <c r="D182" s="2892"/>
      <c r="E182" s="2892"/>
      <c r="F182" s="2892"/>
      <c r="G182" s="2893"/>
      <c r="H182" s="2892"/>
      <c r="I182" s="2892"/>
      <c r="J182" s="2894"/>
      <c r="K182" s="2893"/>
      <c r="L182" s="2893"/>
      <c r="M182" s="2895"/>
      <c r="N182" s="2896"/>
      <c r="O182" s="2892"/>
      <c r="P182" s="2892"/>
      <c r="Q182" s="2892"/>
      <c r="R182" s="2892"/>
      <c r="S182" s="2892"/>
      <c r="T182" s="2892"/>
      <c r="U182" s="2892"/>
      <c r="V182" s="2897"/>
    </row>
    <row r="183" spans="1:22" ht="13.5" hidden="1" thickBot="1">
      <c r="A183" s="2898" t="s">
        <v>73</v>
      </c>
      <c r="B183" s="2899" t="e">
        <f t="shared" ref="B183:U183" si="107">+B121-B152</f>
        <v>#REF!</v>
      </c>
      <c r="C183" s="2899" t="e">
        <f t="shared" si="107"/>
        <v>#REF!</v>
      </c>
      <c r="D183" s="2899" t="e">
        <f t="shared" si="107"/>
        <v>#REF!</v>
      </c>
      <c r="E183" s="2899" t="e">
        <f t="shared" si="107"/>
        <v>#REF!</v>
      </c>
      <c r="F183" s="2899" t="e">
        <f t="shared" si="107"/>
        <v>#REF!</v>
      </c>
      <c r="G183" s="2900" t="e">
        <f t="shared" si="107"/>
        <v>#REF!</v>
      </c>
      <c r="H183" s="2899" t="e">
        <f t="shared" si="107"/>
        <v>#REF!</v>
      </c>
      <c r="I183" s="2899" t="e">
        <f t="shared" si="107"/>
        <v>#REF!</v>
      </c>
      <c r="J183" s="2899">
        <f>+J121-J152</f>
        <v>-7161</v>
      </c>
      <c r="K183" s="2900">
        <f t="shared" si="107"/>
        <v>-219534</v>
      </c>
      <c r="L183" s="2901">
        <f t="shared" si="107"/>
        <v>-208428</v>
      </c>
      <c r="M183" s="2902">
        <f t="shared" si="107"/>
        <v>-1844605</v>
      </c>
      <c r="N183" s="2903">
        <f t="shared" si="107"/>
        <v>5280435</v>
      </c>
      <c r="O183" s="2899">
        <f t="shared" si="107"/>
        <v>-361486</v>
      </c>
      <c r="P183" s="2899">
        <f t="shared" si="107"/>
        <v>-2607631</v>
      </c>
      <c r="Q183" s="2899">
        <f t="shared" si="107"/>
        <v>9843951</v>
      </c>
      <c r="R183" s="2899">
        <f t="shared" si="107"/>
        <v>2236827</v>
      </c>
      <c r="S183" s="2899">
        <f t="shared" si="107"/>
        <v>2701726</v>
      </c>
      <c r="T183" s="2899">
        <f t="shared" si="107"/>
        <v>3238072</v>
      </c>
      <c r="U183" s="2899">
        <f t="shared" si="107"/>
        <v>49223285</v>
      </c>
      <c r="V183" s="2904"/>
    </row>
    <row r="184" spans="1:22" hidden="1">
      <c r="A184" s="2905" t="s">
        <v>23</v>
      </c>
      <c r="B184" s="2906">
        <f t="shared" ref="B184:U184" si="108">+B122-B153</f>
        <v>-6716907</v>
      </c>
      <c r="C184" s="2906" t="e">
        <f t="shared" si="108"/>
        <v>#REF!</v>
      </c>
      <c r="D184" s="2906" t="e">
        <f t="shared" si="108"/>
        <v>#REF!</v>
      </c>
      <c r="E184" s="2906" t="e">
        <f t="shared" si="108"/>
        <v>#REF!</v>
      </c>
      <c r="F184" s="2906">
        <f t="shared" si="108"/>
        <v>-12583974</v>
      </c>
      <c r="G184" s="2907">
        <f t="shared" si="108"/>
        <v>-54508136</v>
      </c>
      <c r="H184" s="2906">
        <f t="shared" si="108"/>
        <v>-42617989.299999997</v>
      </c>
      <c r="I184" s="2906">
        <f t="shared" si="108"/>
        <v>-50138064.000000015</v>
      </c>
      <c r="J184" s="2906">
        <f t="shared" si="108"/>
        <v>-46</v>
      </c>
      <c r="K184" s="2907">
        <f t="shared" si="108"/>
        <v>0</v>
      </c>
      <c r="L184" s="2908">
        <f t="shared" si="108"/>
        <v>-1</v>
      </c>
      <c r="M184" s="2909">
        <f t="shared" si="108"/>
        <v>-462795</v>
      </c>
      <c r="N184" s="2910">
        <f t="shared" si="108"/>
        <v>3689642</v>
      </c>
      <c r="O184" s="2906">
        <f t="shared" si="108"/>
        <v>-3722223</v>
      </c>
      <c r="P184" s="2906">
        <f t="shared" si="108"/>
        <v>3734555</v>
      </c>
      <c r="Q184" s="2906">
        <f t="shared" si="108"/>
        <v>3514820</v>
      </c>
      <c r="R184" s="2906">
        <f t="shared" si="108"/>
        <v>2339484</v>
      </c>
      <c r="S184" s="2906">
        <f t="shared" si="108"/>
        <v>2737067</v>
      </c>
      <c r="T184" s="2906">
        <f t="shared" si="108"/>
        <v>3643803</v>
      </c>
      <c r="U184" s="2911">
        <f t="shared" si="108"/>
        <v>46217464</v>
      </c>
      <c r="V184" s="2912"/>
    </row>
    <row r="185" spans="1:22" hidden="1">
      <c r="A185" s="2913" t="s">
        <v>64</v>
      </c>
      <c r="B185" s="2911">
        <f t="shared" ref="B185:U185" si="109">+B123-B154</f>
        <v>-190000</v>
      </c>
      <c r="C185" s="2911" t="e">
        <f t="shared" si="109"/>
        <v>#REF!</v>
      </c>
      <c r="D185" s="2911" t="e">
        <f t="shared" si="109"/>
        <v>#REF!</v>
      </c>
      <c r="E185" s="2911" t="e">
        <f t="shared" si="109"/>
        <v>#REF!</v>
      </c>
      <c r="F185" s="2911">
        <f t="shared" si="109"/>
        <v>-56315</v>
      </c>
      <c r="G185" s="2914">
        <f t="shared" si="109"/>
        <v>61207</v>
      </c>
      <c r="H185" s="2911">
        <f t="shared" si="109"/>
        <v>-3197766</v>
      </c>
      <c r="I185" s="2911">
        <f t="shared" si="109"/>
        <v>-4349010</v>
      </c>
      <c r="J185" s="2911">
        <f t="shared" si="109"/>
        <v>0</v>
      </c>
      <c r="K185" s="2915">
        <f t="shared" si="109"/>
        <v>0</v>
      </c>
      <c r="L185" s="2916">
        <f t="shared" si="109"/>
        <v>0</v>
      </c>
      <c r="M185" s="2917">
        <f t="shared" si="109"/>
        <v>-4666</v>
      </c>
      <c r="N185" s="2918">
        <f t="shared" si="109"/>
        <v>62454</v>
      </c>
      <c r="O185" s="2911">
        <f t="shared" si="109"/>
        <v>1469763</v>
      </c>
      <c r="P185" s="2911">
        <f t="shared" si="109"/>
        <v>0</v>
      </c>
      <c r="Q185" s="2911">
        <f t="shared" si="109"/>
        <v>0</v>
      </c>
      <c r="R185" s="2911">
        <f t="shared" si="109"/>
        <v>0</v>
      </c>
      <c r="S185" s="2911">
        <f t="shared" si="109"/>
        <v>4666</v>
      </c>
      <c r="T185" s="2911">
        <f t="shared" si="109"/>
        <v>0</v>
      </c>
      <c r="U185" s="2911">
        <f t="shared" si="109"/>
        <v>1532217</v>
      </c>
      <c r="V185" s="2912"/>
    </row>
    <row r="186" spans="1:22" hidden="1">
      <c r="A186" s="2913" t="s">
        <v>24</v>
      </c>
      <c r="B186" s="2911" t="e">
        <f t="shared" ref="B186:U186" si="110">+B124-B155</f>
        <v>#REF!</v>
      </c>
      <c r="C186" s="2911" t="e">
        <f t="shared" si="110"/>
        <v>#REF!</v>
      </c>
      <c r="D186" s="2911" t="e">
        <f t="shared" si="110"/>
        <v>#REF!</v>
      </c>
      <c r="E186" s="2911" t="e">
        <f t="shared" si="110"/>
        <v>#REF!</v>
      </c>
      <c r="F186" s="2911" t="e">
        <f t="shared" si="110"/>
        <v>#REF!</v>
      </c>
      <c r="G186" s="2914" t="e">
        <f t="shared" si="110"/>
        <v>#REF!</v>
      </c>
      <c r="H186" s="2911" t="e">
        <f t="shared" si="110"/>
        <v>#REF!</v>
      </c>
      <c r="I186" s="2911" t="e">
        <f t="shared" si="110"/>
        <v>#REF!</v>
      </c>
      <c r="J186" s="2911">
        <f t="shared" si="110"/>
        <v>-1715</v>
      </c>
      <c r="K186" s="2915">
        <f t="shared" si="110"/>
        <v>-32930</v>
      </c>
      <c r="L186" s="2916">
        <f t="shared" si="110"/>
        <v>-31950</v>
      </c>
      <c r="M186" s="2917">
        <f t="shared" si="110"/>
        <v>-67827</v>
      </c>
      <c r="N186" s="2918">
        <f t="shared" si="110"/>
        <v>126420</v>
      </c>
      <c r="O186" s="2911">
        <f t="shared" si="110"/>
        <v>-113551</v>
      </c>
      <c r="P186" s="2911">
        <f t="shared" si="110"/>
        <v>0</v>
      </c>
      <c r="Q186" s="2911">
        <f t="shared" si="110"/>
        <v>0</v>
      </c>
      <c r="R186" s="2911">
        <f t="shared" si="110"/>
        <v>0</v>
      </c>
      <c r="S186" s="2911">
        <f t="shared" si="110"/>
        <v>0</v>
      </c>
      <c r="T186" s="2911">
        <f t="shared" si="110"/>
        <v>0</v>
      </c>
      <c r="U186" s="2911">
        <f t="shared" si="110"/>
        <v>-56673</v>
      </c>
      <c r="V186" s="2912"/>
    </row>
    <row r="187" spans="1:22" hidden="1">
      <c r="A187" s="2913" t="s">
        <v>26</v>
      </c>
      <c r="B187" s="2911">
        <f t="shared" ref="B187:U187" si="111">+B126-B157</f>
        <v>-3643961</v>
      </c>
      <c r="C187" s="2911">
        <f t="shared" si="111"/>
        <v>0</v>
      </c>
      <c r="D187" s="2911">
        <f t="shared" si="111"/>
        <v>0</v>
      </c>
      <c r="E187" s="2911">
        <f t="shared" si="111"/>
        <v>-3643961</v>
      </c>
      <c r="F187" s="2911">
        <f t="shared" si="111"/>
        <v>-1323420</v>
      </c>
      <c r="G187" s="2914">
        <f t="shared" si="111"/>
        <v>0</v>
      </c>
      <c r="H187" s="2911">
        <f t="shared" si="111"/>
        <v>-594600</v>
      </c>
      <c r="I187" s="2911">
        <f t="shared" si="111"/>
        <v>-2950000</v>
      </c>
      <c r="J187" s="2911">
        <f t="shared" si="111"/>
        <v>0</v>
      </c>
      <c r="K187" s="2915">
        <f t="shared" si="111"/>
        <v>0</v>
      </c>
      <c r="L187" s="2916">
        <f t="shared" si="111"/>
        <v>0</v>
      </c>
      <c r="M187" s="2917">
        <f t="shared" si="111"/>
        <v>-1214</v>
      </c>
      <c r="N187" s="2918">
        <f t="shared" si="111"/>
        <v>0</v>
      </c>
      <c r="O187" s="2911">
        <f t="shared" si="111"/>
        <v>0</v>
      </c>
      <c r="P187" s="2911">
        <f t="shared" si="111"/>
        <v>0</v>
      </c>
      <c r="Q187" s="2911">
        <f t="shared" si="111"/>
        <v>0</v>
      </c>
      <c r="R187" s="2911">
        <f t="shared" si="111"/>
        <v>0</v>
      </c>
      <c r="S187" s="2911">
        <f t="shared" si="111"/>
        <v>0</v>
      </c>
      <c r="T187" s="2911">
        <f t="shared" si="111"/>
        <v>0</v>
      </c>
      <c r="U187" s="2911">
        <f t="shared" si="111"/>
        <v>-1214</v>
      </c>
      <c r="V187" s="2912"/>
    </row>
    <row r="188" spans="1:22" hidden="1">
      <c r="A188" s="2913" t="s">
        <v>66</v>
      </c>
      <c r="B188" s="2911" t="e">
        <f t="shared" ref="B188:U188" si="112">+B127-B158</f>
        <v>#REF!</v>
      </c>
      <c r="C188" s="2911" t="e">
        <f t="shared" si="112"/>
        <v>#REF!</v>
      </c>
      <c r="D188" s="2911" t="e">
        <f t="shared" si="112"/>
        <v>#REF!</v>
      </c>
      <c r="E188" s="2911" t="e">
        <f t="shared" si="112"/>
        <v>#REF!</v>
      </c>
      <c r="F188" s="2911" t="e">
        <f t="shared" si="112"/>
        <v>#REF!</v>
      </c>
      <c r="G188" s="2914" t="e">
        <f t="shared" si="112"/>
        <v>#REF!</v>
      </c>
      <c r="H188" s="2911" t="e">
        <f t="shared" si="112"/>
        <v>#REF!</v>
      </c>
      <c r="I188" s="2911">
        <f t="shared" si="112"/>
        <v>-16686450</v>
      </c>
      <c r="J188" s="2911">
        <f t="shared" si="112"/>
        <v>0</v>
      </c>
      <c r="K188" s="2915">
        <f t="shared" si="112"/>
        <v>0</v>
      </c>
      <c r="L188" s="2916">
        <f t="shared" si="112"/>
        <v>0</v>
      </c>
      <c r="M188" s="2917">
        <f t="shared" si="112"/>
        <v>0</v>
      </c>
      <c r="N188" s="2918">
        <f t="shared" si="112"/>
        <v>0</v>
      </c>
      <c r="O188" s="2911">
        <f t="shared" si="112"/>
        <v>-277300</v>
      </c>
      <c r="P188" s="2911">
        <f t="shared" si="112"/>
        <v>0</v>
      </c>
      <c r="Q188" s="2911">
        <f t="shared" si="112"/>
        <v>277300</v>
      </c>
      <c r="R188" s="2911">
        <f t="shared" si="112"/>
        <v>0</v>
      </c>
      <c r="S188" s="2911">
        <f t="shared" si="112"/>
        <v>0</v>
      </c>
      <c r="T188" s="2911">
        <f t="shared" si="112"/>
        <v>0</v>
      </c>
      <c r="U188" s="2911">
        <f t="shared" si="112"/>
        <v>0</v>
      </c>
      <c r="V188" s="2912"/>
    </row>
    <row r="189" spans="1:22" hidden="1">
      <c r="A189" s="2913" t="s">
        <v>31</v>
      </c>
      <c r="B189" s="2911">
        <f t="shared" ref="B189:U190" si="113">+B128-B159</f>
        <v>0</v>
      </c>
      <c r="C189" s="2911">
        <f t="shared" si="113"/>
        <v>0</v>
      </c>
      <c r="D189" s="2911">
        <f t="shared" si="113"/>
        <v>0</v>
      </c>
      <c r="E189" s="2911">
        <f t="shared" si="113"/>
        <v>0</v>
      </c>
      <c r="F189" s="2911">
        <f t="shared" si="113"/>
        <v>-829536</v>
      </c>
      <c r="G189" s="2914">
        <f t="shared" si="113"/>
        <v>-4078292</v>
      </c>
      <c r="H189" s="2911">
        <f t="shared" si="113"/>
        <v>0</v>
      </c>
      <c r="I189" s="2911">
        <f t="shared" si="113"/>
        <v>-59477</v>
      </c>
      <c r="J189" s="2911">
        <f>+J128-J159</f>
        <v>-5146</v>
      </c>
      <c r="K189" s="2915">
        <f t="shared" si="113"/>
        <v>0</v>
      </c>
      <c r="L189" s="2916">
        <f t="shared" si="113"/>
        <v>-5146</v>
      </c>
      <c r="M189" s="2917">
        <f t="shared" si="113"/>
        <v>-235209</v>
      </c>
      <c r="N189" s="2918">
        <f t="shared" si="113"/>
        <v>83061</v>
      </c>
      <c r="O189" s="2911">
        <f t="shared" si="113"/>
        <v>158867</v>
      </c>
      <c r="P189" s="2911">
        <f t="shared" ref="P189:T190" si="114">+P128-P159</f>
        <v>0</v>
      </c>
      <c r="Q189" s="2911">
        <f t="shared" si="114"/>
        <v>0</v>
      </c>
      <c r="R189" s="2911">
        <f t="shared" si="114"/>
        <v>0</v>
      </c>
      <c r="S189" s="2911">
        <f t="shared" si="114"/>
        <v>0</v>
      </c>
      <c r="T189" s="2911">
        <f t="shared" si="114"/>
        <v>0</v>
      </c>
      <c r="U189" s="2911">
        <f t="shared" si="113"/>
        <v>1573</v>
      </c>
      <c r="V189" s="2912"/>
    </row>
    <row r="190" spans="1:22" hidden="1">
      <c r="A190" s="2913" t="s">
        <v>28</v>
      </c>
      <c r="B190" s="2911">
        <f t="shared" si="113"/>
        <v>-289871</v>
      </c>
      <c r="C190" s="2911">
        <f t="shared" si="113"/>
        <v>0</v>
      </c>
      <c r="D190" s="2911">
        <f t="shared" si="113"/>
        <v>-43011</v>
      </c>
      <c r="E190" s="2911">
        <f t="shared" si="113"/>
        <v>-230749</v>
      </c>
      <c r="F190" s="2911">
        <f t="shared" si="113"/>
        <v>-616983</v>
      </c>
      <c r="G190" s="2914">
        <f t="shared" si="113"/>
        <v>-23928160</v>
      </c>
      <c r="H190" s="2911">
        <f t="shared" si="113"/>
        <v>-5789044</v>
      </c>
      <c r="I190" s="2911">
        <f t="shared" si="113"/>
        <v>-980</v>
      </c>
      <c r="J190" s="2911">
        <f>+J129-J160</f>
        <v>0</v>
      </c>
      <c r="K190" s="2915">
        <f t="shared" si="113"/>
        <v>0</v>
      </c>
      <c r="L190" s="2916">
        <f t="shared" si="113"/>
        <v>0</v>
      </c>
      <c r="M190" s="2917">
        <f t="shared" si="113"/>
        <v>0</v>
      </c>
      <c r="N190" s="2918">
        <f t="shared" si="113"/>
        <v>0</v>
      </c>
      <c r="O190" s="2911">
        <f t="shared" si="113"/>
        <v>0</v>
      </c>
      <c r="P190" s="2911">
        <f t="shared" si="114"/>
        <v>0</v>
      </c>
      <c r="Q190" s="2911">
        <f t="shared" si="114"/>
        <v>0</v>
      </c>
      <c r="R190" s="2911">
        <f t="shared" si="114"/>
        <v>0</v>
      </c>
      <c r="S190" s="2911">
        <f t="shared" si="114"/>
        <v>0</v>
      </c>
      <c r="T190" s="2911">
        <f t="shared" si="114"/>
        <v>0</v>
      </c>
      <c r="U190" s="2911">
        <f t="shared" si="113"/>
        <v>0</v>
      </c>
      <c r="V190" s="2912"/>
    </row>
    <row r="191" spans="1:22" hidden="1">
      <c r="A191" s="2913" t="s">
        <v>71</v>
      </c>
      <c r="B191" s="2911">
        <f t="shared" ref="B191:U191" si="115">+B125-B156</f>
        <v>-5935894</v>
      </c>
      <c r="C191" s="2911">
        <f t="shared" si="115"/>
        <v>0</v>
      </c>
      <c r="D191" s="2911">
        <f t="shared" si="115"/>
        <v>0</v>
      </c>
      <c r="E191" s="2911">
        <f t="shared" si="115"/>
        <v>-6647405</v>
      </c>
      <c r="F191" s="2911">
        <f t="shared" si="115"/>
        <v>-10285500</v>
      </c>
      <c r="G191" s="2914">
        <f t="shared" si="115"/>
        <v>-12796084</v>
      </c>
      <c r="H191" s="2911">
        <f t="shared" si="115"/>
        <v>-12792166</v>
      </c>
      <c r="I191" s="2911">
        <f t="shared" si="115"/>
        <v>-9659941</v>
      </c>
      <c r="J191" s="2911">
        <f t="shared" si="115"/>
        <v>0</v>
      </c>
      <c r="K191" s="2915">
        <f t="shared" si="115"/>
        <v>0</v>
      </c>
      <c r="L191" s="2916">
        <f t="shared" si="115"/>
        <v>0</v>
      </c>
      <c r="M191" s="2917">
        <f t="shared" si="115"/>
        <v>0</v>
      </c>
      <c r="N191" s="2918">
        <f t="shared" si="115"/>
        <v>0</v>
      </c>
      <c r="O191" s="2911">
        <f t="shared" si="115"/>
        <v>0</v>
      </c>
      <c r="P191" s="2911">
        <f t="shared" si="115"/>
        <v>0</v>
      </c>
      <c r="Q191" s="2911">
        <f t="shared" si="115"/>
        <v>0</v>
      </c>
      <c r="R191" s="2911">
        <f t="shared" si="115"/>
        <v>0</v>
      </c>
      <c r="S191" s="2911">
        <f t="shared" si="115"/>
        <v>0</v>
      </c>
      <c r="T191" s="2911">
        <f t="shared" si="115"/>
        <v>0</v>
      </c>
      <c r="U191" s="2911">
        <f t="shared" si="115"/>
        <v>0</v>
      </c>
      <c r="V191" s="2912"/>
    </row>
    <row r="192" spans="1:22" ht="13.5" hidden="1" customHeight="1">
      <c r="A192" s="2913" t="s">
        <v>70</v>
      </c>
      <c r="B192" s="2911">
        <f t="shared" ref="B192:U194" si="116">+B130-B161</f>
        <v>-10594223</v>
      </c>
      <c r="C192" s="2911">
        <f t="shared" si="116"/>
        <v>0</v>
      </c>
      <c r="D192" s="2911">
        <f t="shared" si="116"/>
        <v>0</v>
      </c>
      <c r="E192" s="2911">
        <f t="shared" si="116"/>
        <v>-3058368</v>
      </c>
      <c r="F192" s="2911">
        <f t="shared" si="116"/>
        <v>-17692550</v>
      </c>
      <c r="G192" s="2914">
        <f t="shared" si="116"/>
        <v>-2998223</v>
      </c>
      <c r="H192" s="2911">
        <f t="shared" si="116"/>
        <v>-3753212</v>
      </c>
      <c r="I192" s="2911">
        <f t="shared" si="116"/>
        <v>-4711864</v>
      </c>
      <c r="J192" s="2911">
        <f>+J130-J161</f>
        <v>0</v>
      </c>
      <c r="K192" s="2915">
        <f t="shared" si="116"/>
        <v>0</v>
      </c>
      <c r="L192" s="2916">
        <f t="shared" si="116"/>
        <v>0</v>
      </c>
      <c r="M192" s="2917">
        <f t="shared" si="116"/>
        <v>0</v>
      </c>
      <c r="N192" s="2918">
        <f t="shared" si="116"/>
        <v>0</v>
      </c>
      <c r="O192" s="2911">
        <f t="shared" si="116"/>
        <v>0</v>
      </c>
      <c r="P192" s="2911">
        <f t="shared" ref="P192:T194" si="117">+P130-P161</f>
        <v>0</v>
      </c>
      <c r="Q192" s="2911">
        <f t="shared" si="117"/>
        <v>0</v>
      </c>
      <c r="R192" s="2911">
        <f t="shared" si="117"/>
        <v>0</v>
      </c>
      <c r="S192" s="2911">
        <f t="shared" si="117"/>
        <v>0</v>
      </c>
      <c r="T192" s="2911">
        <f t="shared" si="117"/>
        <v>0</v>
      </c>
      <c r="U192" s="2911">
        <f t="shared" si="116"/>
        <v>0</v>
      </c>
      <c r="V192" s="2912"/>
    </row>
    <row r="193" spans="1:27" ht="13.5" hidden="1" customHeight="1">
      <c r="A193" s="2919" t="s">
        <v>30</v>
      </c>
      <c r="B193" s="2911">
        <f t="shared" si="116"/>
        <v>0</v>
      </c>
      <c r="C193" s="2911">
        <f t="shared" si="116"/>
        <v>0</v>
      </c>
      <c r="D193" s="2911">
        <f t="shared" si="116"/>
        <v>0</v>
      </c>
      <c r="E193" s="2911">
        <f t="shared" si="116"/>
        <v>0</v>
      </c>
      <c r="F193" s="2911">
        <f t="shared" si="116"/>
        <v>0</v>
      </c>
      <c r="G193" s="2914">
        <f t="shared" si="116"/>
        <v>0</v>
      </c>
      <c r="H193" s="2911">
        <f t="shared" si="116"/>
        <v>0</v>
      </c>
      <c r="I193" s="2911">
        <f t="shared" si="116"/>
        <v>-1023120</v>
      </c>
      <c r="J193" s="2911">
        <f>+J131-J162</f>
        <v>0</v>
      </c>
      <c r="K193" s="2915">
        <f t="shared" si="116"/>
        <v>0</v>
      </c>
      <c r="L193" s="2916">
        <f t="shared" si="116"/>
        <v>0</v>
      </c>
      <c r="M193" s="2917">
        <f t="shared" si="116"/>
        <v>0</v>
      </c>
      <c r="N193" s="2918">
        <f t="shared" si="116"/>
        <v>0</v>
      </c>
      <c r="O193" s="2911">
        <f t="shared" si="116"/>
        <v>0</v>
      </c>
      <c r="P193" s="2911">
        <f t="shared" si="117"/>
        <v>0</v>
      </c>
      <c r="Q193" s="2911">
        <f t="shared" si="117"/>
        <v>0</v>
      </c>
      <c r="R193" s="2911">
        <f t="shared" si="117"/>
        <v>0</v>
      </c>
      <c r="S193" s="2911">
        <f t="shared" si="117"/>
        <v>0</v>
      </c>
      <c r="T193" s="2911">
        <f t="shared" si="117"/>
        <v>0</v>
      </c>
      <c r="U193" s="2911">
        <f t="shared" si="116"/>
        <v>0</v>
      </c>
      <c r="V193" s="2912"/>
    </row>
    <row r="194" spans="1:27" ht="13.5" hidden="1" thickBot="1">
      <c r="A194" s="2920" t="s">
        <v>32</v>
      </c>
      <c r="B194" s="2921">
        <f t="shared" si="116"/>
        <v>-25042124</v>
      </c>
      <c r="C194" s="2921" t="e">
        <f t="shared" si="116"/>
        <v>#REF!</v>
      </c>
      <c r="D194" s="2921" t="e">
        <f t="shared" si="116"/>
        <v>#REF!</v>
      </c>
      <c r="E194" s="2921" t="e">
        <f t="shared" si="116"/>
        <v>#REF!</v>
      </c>
      <c r="F194" s="2921">
        <f t="shared" si="116"/>
        <v>-50482561</v>
      </c>
      <c r="G194" s="2922">
        <f t="shared" si="116"/>
        <v>-70356952</v>
      </c>
      <c r="H194" s="2921">
        <f t="shared" si="116"/>
        <v>-107002244</v>
      </c>
      <c r="I194" s="2921">
        <f t="shared" si="116"/>
        <v>-143004684</v>
      </c>
      <c r="J194" s="2921">
        <f>+J132-J163</f>
        <v>-254</v>
      </c>
      <c r="K194" s="2923">
        <f t="shared" si="116"/>
        <v>-186604</v>
      </c>
      <c r="L194" s="2924">
        <f t="shared" si="116"/>
        <v>-171331</v>
      </c>
      <c r="M194" s="2925">
        <f t="shared" si="116"/>
        <v>-1072894</v>
      </c>
      <c r="N194" s="2926">
        <f t="shared" si="116"/>
        <v>1318858</v>
      </c>
      <c r="O194" s="2921">
        <f t="shared" si="116"/>
        <v>2122958</v>
      </c>
      <c r="P194" s="2921">
        <f t="shared" si="117"/>
        <v>-6342186</v>
      </c>
      <c r="Q194" s="2921">
        <f t="shared" si="117"/>
        <v>6051831</v>
      </c>
      <c r="R194" s="2921">
        <f t="shared" si="117"/>
        <v>-102657</v>
      </c>
      <c r="S194" s="2921">
        <f t="shared" si="117"/>
        <v>-40007</v>
      </c>
      <c r="T194" s="2921">
        <f t="shared" si="117"/>
        <v>-405731</v>
      </c>
      <c r="U194" s="2911">
        <f>+U132-U163</f>
        <v>1529918</v>
      </c>
      <c r="V194" s="2912">
        <f>+U194-U209</f>
        <v>0</v>
      </c>
      <c r="AA194" s="2511">
        <f>+U194-U209</f>
        <v>0</v>
      </c>
    </row>
    <row r="195" spans="1:27" ht="15" hidden="1" customHeight="1" thickBot="1">
      <c r="A195" s="2927"/>
      <c r="B195" s="2928" t="e">
        <f t="shared" ref="B195:U195" si="118">SUM(B184:B194)</f>
        <v>#REF!</v>
      </c>
      <c r="C195" s="2929" t="e">
        <f t="shared" si="118"/>
        <v>#REF!</v>
      </c>
      <c r="D195" s="2929" t="e">
        <f t="shared" si="118"/>
        <v>#REF!</v>
      </c>
      <c r="E195" s="2929" t="e">
        <f t="shared" si="118"/>
        <v>#REF!</v>
      </c>
      <c r="F195" s="2928" t="e">
        <f t="shared" si="118"/>
        <v>#REF!</v>
      </c>
      <c r="G195" s="2928" t="e">
        <f t="shared" si="118"/>
        <v>#REF!</v>
      </c>
      <c r="H195" s="2930" t="e">
        <f t="shared" si="118"/>
        <v>#REF!</v>
      </c>
      <c r="I195" s="2930" t="e">
        <f t="shared" si="118"/>
        <v>#REF!</v>
      </c>
      <c r="J195" s="2930">
        <f>SUM(J184:J194)</f>
        <v>-7161</v>
      </c>
      <c r="K195" s="2931">
        <f t="shared" si="118"/>
        <v>-219534</v>
      </c>
      <c r="L195" s="2932">
        <f t="shared" si="118"/>
        <v>-208428</v>
      </c>
      <c r="M195" s="2933">
        <f t="shared" si="118"/>
        <v>-1844605</v>
      </c>
      <c r="N195" s="2934">
        <f t="shared" si="118"/>
        <v>5280435</v>
      </c>
      <c r="O195" s="2930">
        <f t="shared" si="118"/>
        <v>-361486</v>
      </c>
      <c r="P195" s="2930">
        <f>SUM(P184:P194)</f>
        <v>-2607631</v>
      </c>
      <c r="Q195" s="2930">
        <f>SUM(Q184:Q194)</f>
        <v>9843951</v>
      </c>
      <c r="R195" s="2930">
        <f>SUM(R184:R194)</f>
        <v>2236827</v>
      </c>
      <c r="S195" s="2930">
        <f>SUM(S184:S194)</f>
        <v>2701726</v>
      </c>
      <c r="T195" s="2930">
        <f>SUM(T184:T194)</f>
        <v>3238072</v>
      </c>
      <c r="U195" s="2930">
        <f t="shared" si="118"/>
        <v>49223285</v>
      </c>
      <c r="V195" s="2935"/>
    </row>
    <row r="196" spans="1:27" ht="14.25" hidden="1" customHeight="1" thickBot="1">
      <c r="A196" s="2936" t="s">
        <v>54</v>
      </c>
      <c r="B196" s="2937" t="e">
        <f t="shared" ref="B196:U196" si="119">+B121-B152</f>
        <v>#REF!</v>
      </c>
      <c r="C196" s="2938" t="e">
        <f t="shared" si="119"/>
        <v>#REF!</v>
      </c>
      <c r="D196" s="2938" t="e">
        <f t="shared" si="119"/>
        <v>#REF!</v>
      </c>
      <c r="E196" s="2938" t="e">
        <f t="shared" si="119"/>
        <v>#REF!</v>
      </c>
      <c r="F196" s="2937" t="e">
        <f t="shared" si="119"/>
        <v>#REF!</v>
      </c>
      <c r="G196" s="2937" t="e">
        <f t="shared" si="119"/>
        <v>#REF!</v>
      </c>
      <c r="H196" s="2939" t="e">
        <f t="shared" si="119"/>
        <v>#REF!</v>
      </c>
      <c r="I196" s="2939" t="e">
        <f t="shared" si="119"/>
        <v>#REF!</v>
      </c>
      <c r="J196" s="2939">
        <f t="shared" si="119"/>
        <v>-7161</v>
      </c>
      <c r="K196" s="2940">
        <f t="shared" si="119"/>
        <v>-219534</v>
      </c>
      <c r="L196" s="2941">
        <f t="shared" si="119"/>
        <v>-208428</v>
      </c>
      <c r="M196" s="2942">
        <f t="shared" si="119"/>
        <v>-1844605</v>
      </c>
      <c r="N196" s="2937">
        <f t="shared" si="119"/>
        <v>5280435</v>
      </c>
      <c r="O196" s="2937">
        <f t="shared" si="119"/>
        <v>-361486</v>
      </c>
      <c r="P196" s="2937">
        <f t="shared" si="119"/>
        <v>-2607631</v>
      </c>
      <c r="Q196" s="2937">
        <f t="shared" si="119"/>
        <v>9843951</v>
      </c>
      <c r="R196" s="2937">
        <f t="shared" si="119"/>
        <v>2236827</v>
      </c>
      <c r="S196" s="2937">
        <f t="shared" si="119"/>
        <v>2701726</v>
      </c>
      <c r="T196" s="2937">
        <f t="shared" si="119"/>
        <v>3238072</v>
      </c>
      <c r="U196" s="2937">
        <f t="shared" si="119"/>
        <v>49223285</v>
      </c>
      <c r="V196" s="2937"/>
    </row>
    <row r="197" spans="1:27" ht="16.5" hidden="1" customHeight="1" thickBot="1">
      <c r="A197" s="2943" t="s">
        <v>74</v>
      </c>
      <c r="B197" s="2944" t="e">
        <f t="shared" ref="B197:U209" si="120">+B135-B167</f>
        <v>#REF!</v>
      </c>
      <c r="C197" s="2944" t="e">
        <f t="shared" si="120"/>
        <v>#REF!</v>
      </c>
      <c r="D197" s="2944" t="e">
        <f t="shared" si="120"/>
        <v>#REF!</v>
      </c>
      <c r="E197" s="2944" t="e">
        <f t="shared" si="120"/>
        <v>#REF!</v>
      </c>
      <c r="F197" s="2944" t="e">
        <f t="shared" si="120"/>
        <v>#REF!</v>
      </c>
      <c r="G197" s="2945" t="e">
        <f t="shared" si="120"/>
        <v>#REF!</v>
      </c>
      <c r="H197" s="2944" t="e">
        <f t="shared" si="120"/>
        <v>#REF!</v>
      </c>
      <c r="I197" s="2944" t="e">
        <f t="shared" si="120"/>
        <v>#REF!</v>
      </c>
      <c r="J197" s="2944">
        <f t="shared" si="120"/>
        <v>0</v>
      </c>
      <c r="K197" s="2945">
        <f t="shared" si="120"/>
        <v>-277378</v>
      </c>
      <c r="L197" s="2946">
        <f t="shared" si="120"/>
        <v>-342136</v>
      </c>
      <c r="M197" s="2947">
        <f t="shared" si="120"/>
        <v>-3405923</v>
      </c>
      <c r="N197" s="2948">
        <f t="shared" si="120"/>
        <v>2465723</v>
      </c>
      <c r="O197" s="2944">
        <f t="shared" si="120"/>
        <v>-2498267</v>
      </c>
      <c r="P197" s="2944">
        <f t="shared" ref="P197:T209" si="121">+P135-P167</f>
        <v>-588961</v>
      </c>
      <c r="Q197" s="2944">
        <f t="shared" si="121"/>
        <v>6606571</v>
      </c>
      <c r="R197" s="2944">
        <f t="shared" si="121"/>
        <v>-74383</v>
      </c>
      <c r="S197" s="2944">
        <f t="shared" si="121"/>
        <v>-40007</v>
      </c>
      <c r="T197" s="2944">
        <f t="shared" si="121"/>
        <v>-405731</v>
      </c>
      <c r="U197" s="2944">
        <f>SUM(U198:U209)</f>
        <v>2059022</v>
      </c>
      <c r="V197" s="2949"/>
    </row>
    <row r="198" spans="1:27" hidden="1">
      <c r="A198" s="2905" t="s">
        <v>68</v>
      </c>
      <c r="B198" s="2906">
        <f t="shared" si="120"/>
        <v>0</v>
      </c>
      <c r="C198" s="2906">
        <f t="shared" si="120"/>
        <v>0</v>
      </c>
      <c r="D198" s="2906">
        <f t="shared" si="120"/>
        <v>0</v>
      </c>
      <c r="E198" s="2906">
        <f t="shared" si="120"/>
        <v>0</v>
      </c>
      <c r="F198" s="2906">
        <f t="shared" si="120"/>
        <v>-453868</v>
      </c>
      <c r="G198" s="2907">
        <f t="shared" si="120"/>
        <v>-569798</v>
      </c>
      <c r="H198" s="2906">
        <f t="shared" si="120"/>
        <v>-474487</v>
      </c>
      <c r="I198" s="2906">
        <f t="shared" si="120"/>
        <v>-126548</v>
      </c>
      <c r="J198" s="2906">
        <f t="shared" ref="J198:J209" si="122">+J136-J168</f>
        <v>0</v>
      </c>
      <c r="K198" s="2907">
        <f t="shared" si="120"/>
        <v>0</v>
      </c>
      <c r="L198" s="2908">
        <f t="shared" si="120"/>
        <v>0</v>
      </c>
      <c r="M198" s="2909">
        <f t="shared" si="120"/>
        <v>0</v>
      </c>
      <c r="N198" s="2910">
        <f t="shared" si="120"/>
        <v>0</v>
      </c>
      <c r="O198" s="2906">
        <f t="shared" si="120"/>
        <v>0</v>
      </c>
      <c r="P198" s="2906">
        <f t="shared" si="121"/>
        <v>0</v>
      </c>
      <c r="Q198" s="2906">
        <f t="shared" si="121"/>
        <v>0</v>
      </c>
      <c r="R198" s="2906">
        <f t="shared" si="121"/>
        <v>0</v>
      </c>
      <c r="S198" s="2906">
        <f t="shared" si="121"/>
        <v>0</v>
      </c>
      <c r="T198" s="2906">
        <f t="shared" si="121"/>
        <v>0</v>
      </c>
      <c r="U198" s="2950">
        <f>+U136-U168</f>
        <v>0</v>
      </c>
      <c r="V198" s="2951"/>
    </row>
    <row r="199" spans="1:27" hidden="1">
      <c r="A199" s="2913" t="s">
        <v>24</v>
      </c>
      <c r="B199" s="2911" t="e">
        <f t="shared" si="120"/>
        <v>#REF!</v>
      </c>
      <c r="C199" s="2911" t="e">
        <f t="shared" si="120"/>
        <v>#REF!</v>
      </c>
      <c r="D199" s="2911" t="e">
        <f t="shared" si="120"/>
        <v>#REF!</v>
      </c>
      <c r="E199" s="2911" t="e">
        <f t="shared" si="120"/>
        <v>#REF!</v>
      </c>
      <c r="F199" s="2911" t="e">
        <f t="shared" si="120"/>
        <v>#REF!</v>
      </c>
      <c r="G199" s="2914" t="e">
        <f t="shared" si="120"/>
        <v>#REF!</v>
      </c>
      <c r="H199" s="2911" t="e">
        <f t="shared" si="120"/>
        <v>#REF!</v>
      </c>
      <c r="I199" s="2911" t="e">
        <f t="shared" si="120"/>
        <v>#REF!</v>
      </c>
      <c r="J199" s="2911">
        <f t="shared" si="122"/>
        <v>0</v>
      </c>
      <c r="K199" s="2915">
        <f t="shared" si="120"/>
        <v>-56624</v>
      </c>
      <c r="L199" s="2916">
        <f t="shared" si="120"/>
        <v>-31674</v>
      </c>
      <c r="M199" s="2917">
        <f t="shared" si="120"/>
        <v>-61489</v>
      </c>
      <c r="N199" s="2918">
        <f t="shared" si="120"/>
        <v>116657</v>
      </c>
      <c r="O199" s="2911">
        <f t="shared" si="120"/>
        <v>-107511</v>
      </c>
      <c r="P199" s="2911">
        <f t="shared" si="121"/>
        <v>0</v>
      </c>
      <c r="Q199" s="2911">
        <f t="shared" si="121"/>
        <v>0</v>
      </c>
      <c r="R199" s="2911">
        <f t="shared" si="121"/>
        <v>-4330</v>
      </c>
      <c r="S199" s="2911">
        <f t="shared" si="121"/>
        <v>0</v>
      </c>
      <c r="T199" s="2911">
        <f t="shared" si="121"/>
        <v>0</v>
      </c>
      <c r="U199" s="2952">
        <f t="shared" si="120"/>
        <v>-56673</v>
      </c>
      <c r="V199" s="2951"/>
    </row>
    <row r="200" spans="1:27" hidden="1">
      <c r="A200" s="2913" t="s">
        <v>26</v>
      </c>
      <c r="B200" s="2911">
        <f t="shared" si="120"/>
        <v>0</v>
      </c>
      <c r="C200" s="2911">
        <f t="shared" si="120"/>
        <v>0</v>
      </c>
      <c r="D200" s="2911">
        <f t="shared" si="120"/>
        <v>0</v>
      </c>
      <c r="E200" s="2911">
        <f t="shared" si="120"/>
        <v>0</v>
      </c>
      <c r="F200" s="2911">
        <f t="shared" si="120"/>
        <v>-4967381</v>
      </c>
      <c r="G200" s="2914">
        <f t="shared" si="120"/>
        <v>0</v>
      </c>
      <c r="H200" s="2911">
        <f t="shared" si="120"/>
        <v>-594600</v>
      </c>
      <c r="I200" s="2911">
        <f t="shared" si="120"/>
        <v>-2950000</v>
      </c>
      <c r="J200" s="2911">
        <f t="shared" si="122"/>
        <v>0</v>
      </c>
      <c r="K200" s="2915">
        <f t="shared" si="120"/>
        <v>0</v>
      </c>
      <c r="L200" s="2916">
        <f t="shared" si="120"/>
        <v>0</v>
      </c>
      <c r="M200" s="2917">
        <f t="shared" si="120"/>
        <v>-1214</v>
      </c>
      <c r="N200" s="2918">
        <f t="shared" si="120"/>
        <v>0</v>
      </c>
      <c r="O200" s="2911">
        <f t="shared" si="120"/>
        <v>0</v>
      </c>
      <c r="P200" s="2911">
        <f t="shared" si="121"/>
        <v>0</v>
      </c>
      <c r="Q200" s="2911">
        <f t="shared" si="121"/>
        <v>0</v>
      </c>
      <c r="R200" s="2911">
        <f t="shared" si="121"/>
        <v>0</v>
      </c>
      <c r="S200" s="2911">
        <f t="shared" si="121"/>
        <v>0</v>
      </c>
      <c r="T200" s="2911">
        <f t="shared" si="121"/>
        <v>0</v>
      </c>
      <c r="U200" s="2952">
        <f t="shared" si="120"/>
        <v>-1214</v>
      </c>
      <c r="V200" s="2951"/>
    </row>
    <row r="201" spans="1:27" hidden="1">
      <c r="A201" s="2913" t="s">
        <v>76</v>
      </c>
      <c r="B201" s="2911" t="e">
        <f t="shared" si="120"/>
        <v>#REF!</v>
      </c>
      <c r="C201" s="2911" t="e">
        <f t="shared" si="120"/>
        <v>#REF!</v>
      </c>
      <c r="D201" s="2911" t="e">
        <f t="shared" si="120"/>
        <v>#REF!</v>
      </c>
      <c r="E201" s="2911" t="e">
        <f t="shared" si="120"/>
        <v>#REF!</v>
      </c>
      <c r="F201" s="2911" t="e">
        <f t="shared" si="120"/>
        <v>#REF!</v>
      </c>
      <c r="G201" s="2914" t="e">
        <f t="shared" si="120"/>
        <v>#REF!</v>
      </c>
      <c r="H201" s="2911" t="e">
        <f t="shared" si="120"/>
        <v>#REF!</v>
      </c>
      <c r="I201" s="2911">
        <f t="shared" si="120"/>
        <v>-7276450</v>
      </c>
      <c r="J201" s="2911">
        <f t="shared" si="122"/>
        <v>0</v>
      </c>
      <c r="K201" s="2915">
        <f t="shared" si="120"/>
        <v>0</v>
      </c>
      <c r="L201" s="2916">
        <f t="shared" si="120"/>
        <v>0</v>
      </c>
      <c r="M201" s="2917">
        <f t="shared" si="120"/>
        <v>0</v>
      </c>
      <c r="N201" s="2918">
        <f t="shared" si="120"/>
        <v>0</v>
      </c>
      <c r="O201" s="2911">
        <f t="shared" si="120"/>
        <v>-277300</v>
      </c>
      <c r="P201" s="2911">
        <f t="shared" si="121"/>
        <v>0</v>
      </c>
      <c r="Q201" s="2911">
        <f t="shared" si="121"/>
        <v>277300</v>
      </c>
      <c r="R201" s="2911">
        <f t="shared" si="121"/>
        <v>0</v>
      </c>
      <c r="S201" s="2911">
        <f t="shared" si="121"/>
        <v>0</v>
      </c>
      <c r="T201" s="2911">
        <f t="shared" si="121"/>
        <v>0</v>
      </c>
      <c r="U201" s="2952">
        <f t="shared" si="120"/>
        <v>0</v>
      </c>
      <c r="V201" s="2951"/>
    </row>
    <row r="202" spans="1:27" hidden="1">
      <c r="A202" s="2905" t="s">
        <v>23</v>
      </c>
      <c r="B202" s="2911">
        <f t="shared" si="120"/>
        <v>0</v>
      </c>
      <c r="C202" s="2911">
        <f t="shared" si="120"/>
        <v>0</v>
      </c>
      <c r="D202" s="2911">
        <f t="shared" si="120"/>
        <v>0</v>
      </c>
      <c r="E202" s="2911">
        <f t="shared" si="120"/>
        <v>0</v>
      </c>
      <c r="F202" s="2911">
        <f t="shared" si="120"/>
        <v>0</v>
      </c>
      <c r="G202" s="2914">
        <f t="shared" si="120"/>
        <v>0</v>
      </c>
      <c r="H202" s="2911">
        <f t="shared" si="120"/>
        <v>-432101</v>
      </c>
      <c r="I202" s="2911">
        <f t="shared" si="120"/>
        <v>-1677172</v>
      </c>
      <c r="J202" s="2911">
        <f t="shared" si="122"/>
        <v>0</v>
      </c>
      <c r="K202" s="2915">
        <f t="shared" si="120"/>
        <v>0</v>
      </c>
      <c r="L202" s="2916">
        <f t="shared" si="120"/>
        <v>0</v>
      </c>
      <c r="M202" s="2917">
        <f t="shared" si="120"/>
        <v>585418</v>
      </c>
      <c r="N202" s="2918">
        <f t="shared" si="120"/>
        <v>0</v>
      </c>
      <c r="O202" s="2911">
        <f t="shared" si="120"/>
        <v>0</v>
      </c>
      <c r="P202" s="2911">
        <f t="shared" si="121"/>
        <v>0</v>
      </c>
      <c r="Q202" s="2911">
        <f t="shared" si="121"/>
        <v>0</v>
      </c>
      <c r="R202" s="2911">
        <f t="shared" si="121"/>
        <v>0</v>
      </c>
      <c r="S202" s="2911">
        <f t="shared" si="121"/>
        <v>0</v>
      </c>
      <c r="T202" s="2911">
        <f t="shared" si="121"/>
        <v>0</v>
      </c>
      <c r="U202" s="2952">
        <f t="shared" si="120"/>
        <v>585418</v>
      </c>
      <c r="V202" s="2951"/>
    </row>
    <row r="203" spans="1:27" hidden="1">
      <c r="A203" s="2913" t="s">
        <v>71</v>
      </c>
      <c r="B203" s="2911">
        <f t="shared" si="120"/>
        <v>-5935894</v>
      </c>
      <c r="C203" s="2911">
        <f t="shared" si="120"/>
        <v>0</v>
      </c>
      <c r="D203" s="2911">
        <f t="shared" si="120"/>
        <v>0</v>
      </c>
      <c r="E203" s="2911">
        <f t="shared" si="120"/>
        <v>-6647405</v>
      </c>
      <c r="F203" s="2911">
        <f t="shared" si="120"/>
        <v>-10285500</v>
      </c>
      <c r="G203" s="2914">
        <f t="shared" si="120"/>
        <v>-12796084</v>
      </c>
      <c r="H203" s="2911">
        <f t="shared" si="120"/>
        <v>-12792166</v>
      </c>
      <c r="I203" s="2911">
        <f t="shared" si="120"/>
        <v>-9659941</v>
      </c>
      <c r="J203" s="2911">
        <f t="shared" si="122"/>
        <v>0</v>
      </c>
      <c r="K203" s="2915">
        <f>+K141-K173</f>
        <v>0</v>
      </c>
      <c r="L203" s="2916">
        <f t="shared" si="120"/>
        <v>0</v>
      </c>
      <c r="M203" s="2917">
        <f t="shared" si="120"/>
        <v>0</v>
      </c>
      <c r="N203" s="2918">
        <f t="shared" si="120"/>
        <v>0</v>
      </c>
      <c r="O203" s="2911">
        <f t="shared" si="120"/>
        <v>0</v>
      </c>
      <c r="P203" s="2911">
        <f t="shared" si="121"/>
        <v>0</v>
      </c>
      <c r="Q203" s="2911">
        <f t="shared" si="121"/>
        <v>0</v>
      </c>
      <c r="R203" s="2911">
        <f t="shared" si="121"/>
        <v>0</v>
      </c>
      <c r="S203" s="2911">
        <f t="shared" si="121"/>
        <v>0</v>
      </c>
      <c r="T203" s="2911">
        <f t="shared" si="121"/>
        <v>0</v>
      </c>
      <c r="U203" s="2952">
        <f t="shared" si="120"/>
        <v>0</v>
      </c>
      <c r="V203" s="2912"/>
    </row>
    <row r="204" spans="1:27" hidden="1">
      <c r="A204" s="2913" t="s">
        <v>72</v>
      </c>
      <c r="B204" s="2911">
        <f t="shared" si="120"/>
        <v>-10594223</v>
      </c>
      <c r="C204" s="2911">
        <f t="shared" si="120"/>
        <v>0</v>
      </c>
      <c r="D204" s="2911">
        <f t="shared" si="120"/>
        <v>0</v>
      </c>
      <c r="E204" s="2911">
        <f t="shared" si="120"/>
        <v>-3058368</v>
      </c>
      <c r="F204" s="2911">
        <f t="shared" si="120"/>
        <v>-17692550</v>
      </c>
      <c r="G204" s="2914">
        <f t="shared" si="120"/>
        <v>-2998223</v>
      </c>
      <c r="H204" s="2911">
        <f t="shared" si="120"/>
        <v>-3753212</v>
      </c>
      <c r="I204" s="2911">
        <f t="shared" si="120"/>
        <v>-4711864</v>
      </c>
      <c r="J204" s="2911">
        <f t="shared" si="122"/>
        <v>0</v>
      </c>
      <c r="K204" s="2915">
        <f>+K142-K174</f>
        <v>0</v>
      </c>
      <c r="L204" s="2916">
        <f t="shared" si="120"/>
        <v>0</v>
      </c>
      <c r="M204" s="2917">
        <f t="shared" si="120"/>
        <v>0</v>
      </c>
      <c r="N204" s="2918">
        <f t="shared" si="120"/>
        <v>0</v>
      </c>
      <c r="O204" s="2911">
        <f t="shared" si="120"/>
        <v>0</v>
      </c>
      <c r="P204" s="2911">
        <f t="shared" si="121"/>
        <v>0</v>
      </c>
      <c r="Q204" s="2911">
        <f t="shared" si="121"/>
        <v>0</v>
      </c>
      <c r="R204" s="2911">
        <f t="shared" si="121"/>
        <v>0</v>
      </c>
      <c r="S204" s="2911">
        <f t="shared" si="121"/>
        <v>0</v>
      </c>
      <c r="T204" s="2911">
        <f t="shared" si="121"/>
        <v>0</v>
      </c>
      <c r="U204" s="2952">
        <f t="shared" si="120"/>
        <v>0</v>
      </c>
      <c r="V204" s="2951"/>
    </row>
    <row r="205" spans="1:27" hidden="1">
      <c r="A205" s="2913" t="s">
        <v>28</v>
      </c>
      <c r="B205" s="2911">
        <f t="shared" si="120"/>
        <v>0</v>
      </c>
      <c r="C205" s="2911">
        <f t="shared" si="120"/>
        <v>0</v>
      </c>
      <c r="D205" s="2911">
        <f t="shared" si="120"/>
        <v>0</v>
      </c>
      <c r="E205" s="2911">
        <f t="shared" si="120"/>
        <v>0</v>
      </c>
      <c r="F205" s="2911">
        <f t="shared" si="120"/>
        <v>0</v>
      </c>
      <c r="G205" s="2914">
        <f t="shared" si="120"/>
        <v>-15649745</v>
      </c>
      <c r="H205" s="2911">
        <f t="shared" si="120"/>
        <v>-11688113</v>
      </c>
      <c r="I205" s="2911">
        <f t="shared" si="120"/>
        <v>-3281792</v>
      </c>
      <c r="J205" s="2911">
        <f t="shared" si="122"/>
        <v>0</v>
      </c>
      <c r="K205" s="2915">
        <f t="shared" si="120"/>
        <v>0</v>
      </c>
      <c r="L205" s="2916">
        <f t="shared" si="120"/>
        <v>0</v>
      </c>
      <c r="M205" s="2917">
        <f t="shared" si="120"/>
        <v>0</v>
      </c>
      <c r="N205" s="2918">
        <f t="shared" si="120"/>
        <v>0</v>
      </c>
      <c r="O205" s="2911">
        <f t="shared" si="120"/>
        <v>0</v>
      </c>
      <c r="P205" s="2911">
        <f t="shared" si="121"/>
        <v>0</v>
      </c>
      <c r="Q205" s="2911">
        <f t="shared" si="121"/>
        <v>0</v>
      </c>
      <c r="R205" s="2911">
        <f t="shared" si="121"/>
        <v>0</v>
      </c>
      <c r="S205" s="2911">
        <f t="shared" si="121"/>
        <v>0</v>
      </c>
      <c r="T205" s="2911">
        <f t="shared" si="121"/>
        <v>0</v>
      </c>
      <c r="U205" s="2952">
        <f t="shared" si="120"/>
        <v>0</v>
      </c>
      <c r="V205" s="2951"/>
    </row>
    <row r="206" spans="1:27" ht="24" hidden="1">
      <c r="A206" s="2913" t="s">
        <v>37</v>
      </c>
      <c r="B206" s="2953">
        <f t="shared" si="120"/>
        <v>0</v>
      </c>
      <c r="C206" s="2953">
        <f t="shared" si="120"/>
        <v>0</v>
      </c>
      <c r="D206" s="2953">
        <f t="shared" si="120"/>
        <v>0</v>
      </c>
      <c r="E206" s="2953">
        <f t="shared" si="120"/>
        <v>0</v>
      </c>
      <c r="F206" s="2953">
        <f t="shared" si="120"/>
        <v>0</v>
      </c>
      <c r="G206" s="2954">
        <f t="shared" si="120"/>
        <v>0</v>
      </c>
      <c r="H206" s="2953">
        <f t="shared" si="120"/>
        <v>0</v>
      </c>
      <c r="I206" s="2953">
        <f t="shared" si="120"/>
        <v>-841481</v>
      </c>
      <c r="J206" s="2953">
        <f t="shared" si="122"/>
        <v>0</v>
      </c>
      <c r="K206" s="2955">
        <f t="shared" si="120"/>
        <v>0</v>
      </c>
      <c r="L206" s="2956">
        <f t="shared" si="120"/>
        <v>0</v>
      </c>
      <c r="M206" s="2957">
        <f t="shared" si="120"/>
        <v>0</v>
      </c>
      <c r="N206" s="2958">
        <f t="shared" si="120"/>
        <v>0</v>
      </c>
      <c r="O206" s="2953">
        <f t="shared" si="120"/>
        <v>0</v>
      </c>
      <c r="P206" s="2953">
        <f t="shared" si="121"/>
        <v>0</v>
      </c>
      <c r="Q206" s="2953">
        <f t="shared" si="121"/>
        <v>0</v>
      </c>
      <c r="R206" s="2953">
        <f t="shared" si="121"/>
        <v>0</v>
      </c>
      <c r="S206" s="2953">
        <f t="shared" si="121"/>
        <v>0</v>
      </c>
      <c r="T206" s="2953">
        <f t="shared" si="121"/>
        <v>0</v>
      </c>
      <c r="U206" s="2952">
        <f>+U144-U176</f>
        <v>0</v>
      </c>
      <c r="V206" s="2959"/>
    </row>
    <row r="207" spans="1:27" ht="13.5" hidden="1" customHeight="1">
      <c r="A207" s="2913" t="s">
        <v>31</v>
      </c>
      <c r="B207" s="2911">
        <f t="shared" si="120"/>
        <v>0</v>
      </c>
      <c r="C207" s="2911" t="e">
        <f t="shared" si="120"/>
        <v>#REF!</v>
      </c>
      <c r="D207" s="2911" t="e">
        <f t="shared" si="120"/>
        <v>#REF!</v>
      </c>
      <c r="E207" s="2911" t="e">
        <f t="shared" si="120"/>
        <v>#REF!</v>
      </c>
      <c r="F207" s="2911">
        <f t="shared" si="120"/>
        <v>-1361604</v>
      </c>
      <c r="G207" s="2914">
        <f t="shared" si="120"/>
        <v>-2797959</v>
      </c>
      <c r="H207" s="2911">
        <f t="shared" si="120"/>
        <v>-1423461</v>
      </c>
      <c r="I207" s="2911">
        <f t="shared" si="120"/>
        <v>-4549693</v>
      </c>
      <c r="J207" s="2911">
        <f t="shared" si="122"/>
        <v>0</v>
      </c>
      <c r="K207" s="2915">
        <f t="shared" si="120"/>
        <v>0</v>
      </c>
      <c r="L207" s="2916">
        <f t="shared" si="120"/>
        <v>0</v>
      </c>
      <c r="M207" s="2917">
        <f t="shared" si="120"/>
        <v>-4815</v>
      </c>
      <c r="N207" s="2918">
        <f t="shared" si="120"/>
        <v>-53061</v>
      </c>
      <c r="O207" s="2911">
        <f t="shared" si="120"/>
        <v>96264</v>
      </c>
      <c r="P207" s="2911">
        <f t="shared" si="121"/>
        <v>-136140</v>
      </c>
      <c r="Q207" s="2911">
        <f t="shared" si="121"/>
        <v>66721</v>
      </c>
      <c r="R207" s="2911">
        <f t="shared" si="121"/>
        <v>32604</v>
      </c>
      <c r="S207" s="2911">
        <f t="shared" si="121"/>
        <v>0</v>
      </c>
      <c r="T207" s="2911">
        <f t="shared" si="121"/>
        <v>0</v>
      </c>
      <c r="U207" s="2952">
        <f>+U145-U177</f>
        <v>1573</v>
      </c>
      <c r="V207" s="2951"/>
    </row>
    <row r="208" spans="1:27" ht="13.5" hidden="1" customHeight="1">
      <c r="A208" s="2919" t="s">
        <v>30</v>
      </c>
      <c r="B208" s="2911">
        <f t="shared" si="120"/>
        <v>0</v>
      </c>
      <c r="C208" s="2911">
        <f t="shared" si="120"/>
        <v>0</v>
      </c>
      <c r="D208" s="2911">
        <f t="shared" si="120"/>
        <v>0</v>
      </c>
      <c r="E208" s="2911">
        <f t="shared" si="120"/>
        <v>0</v>
      </c>
      <c r="F208" s="2911">
        <f t="shared" si="120"/>
        <v>0</v>
      </c>
      <c r="G208" s="2914">
        <f t="shared" si="120"/>
        <v>0</v>
      </c>
      <c r="H208" s="2911">
        <f t="shared" si="120"/>
        <v>0</v>
      </c>
      <c r="I208" s="2911">
        <f t="shared" si="120"/>
        <v>-1023120</v>
      </c>
      <c r="J208" s="2911">
        <f t="shared" si="122"/>
        <v>0</v>
      </c>
      <c r="K208" s="2915">
        <f t="shared" si="120"/>
        <v>0</v>
      </c>
      <c r="L208" s="2916">
        <f t="shared" si="120"/>
        <v>0</v>
      </c>
      <c r="M208" s="2917">
        <f t="shared" si="120"/>
        <v>0</v>
      </c>
      <c r="N208" s="2918">
        <f t="shared" si="120"/>
        <v>0</v>
      </c>
      <c r="O208" s="2911">
        <f t="shared" si="120"/>
        <v>0</v>
      </c>
      <c r="P208" s="2911">
        <f t="shared" si="121"/>
        <v>0</v>
      </c>
      <c r="Q208" s="2911">
        <f t="shared" si="121"/>
        <v>0</v>
      </c>
      <c r="R208" s="2911">
        <f t="shared" si="121"/>
        <v>0</v>
      </c>
      <c r="S208" s="2911">
        <f t="shared" si="121"/>
        <v>0</v>
      </c>
      <c r="T208" s="2911">
        <f t="shared" si="121"/>
        <v>0</v>
      </c>
      <c r="U208" s="2952">
        <f>+U146-U178</f>
        <v>0</v>
      </c>
      <c r="V208" s="2951"/>
    </row>
    <row r="209" spans="1:22" ht="13.5" hidden="1" thickBot="1">
      <c r="A209" s="2920" t="s">
        <v>32</v>
      </c>
      <c r="B209" s="2921">
        <f t="shared" si="120"/>
        <v>-24334541</v>
      </c>
      <c r="C209" s="2921" t="e">
        <f t="shared" si="120"/>
        <v>#REF!</v>
      </c>
      <c r="D209" s="2921" t="e">
        <f t="shared" si="120"/>
        <v>#REF!</v>
      </c>
      <c r="E209" s="2921" t="e">
        <f t="shared" si="120"/>
        <v>#REF!</v>
      </c>
      <c r="F209" s="2921">
        <f t="shared" si="120"/>
        <v>-39220375</v>
      </c>
      <c r="G209" s="2922">
        <f t="shared" si="120"/>
        <v>-73096775</v>
      </c>
      <c r="H209" s="2921">
        <f t="shared" si="120"/>
        <v>-100611735</v>
      </c>
      <c r="I209" s="2921">
        <f t="shared" si="120"/>
        <v>-152092748</v>
      </c>
      <c r="J209" s="2921">
        <f t="shared" si="122"/>
        <v>0</v>
      </c>
      <c r="K209" s="2923">
        <f t="shared" si="120"/>
        <v>-220754</v>
      </c>
      <c r="L209" s="2924">
        <f t="shared" si="120"/>
        <v>-310462</v>
      </c>
      <c r="M209" s="2925">
        <f t="shared" si="120"/>
        <v>-3923823</v>
      </c>
      <c r="N209" s="2926">
        <f t="shared" si="120"/>
        <v>2402127</v>
      </c>
      <c r="O209" s="2921">
        <f t="shared" si="120"/>
        <v>-2209720</v>
      </c>
      <c r="P209" s="2921">
        <f t="shared" si="121"/>
        <v>-452821</v>
      </c>
      <c r="Q209" s="2921">
        <f t="shared" si="121"/>
        <v>6262550</v>
      </c>
      <c r="R209" s="2921">
        <f t="shared" si="121"/>
        <v>-102657</v>
      </c>
      <c r="S209" s="2921">
        <f t="shared" si="121"/>
        <v>-40007</v>
      </c>
      <c r="T209" s="2921">
        <f t="shared" si="121"/>
        <v>-405731</v>
      </c>
      <c r="U209" s="2952">
        <f>+U147-U179</f>
        <v>1529918</v>
      </c>
      <c r="V209" s="2951"/>
    </row>
    <row r="210" spans="1:22" ht="13.5" hidden="1" thickBot="1">
      <c r="A210" s="2960"/>
      <c r="B210" s="2961" t="e">
        <f>SUM(B198:B209)</f>
        <v>#REF!</v>
      </c>
      <c r="C210" s="2961" t="e">
        <f t="shared" ref="C210:M210" si="123">SUM(C198:C209)</f>
        <v>#REF!</v>
      </c>
      <c r="D210" s="2961" t="e">
        <f t="shared" si="123"/>
        <v>#REF!</v>
      </c>
      <c r="E210" s="2961" t="e">
        <f t="shared" si="123"/>
        <v>#REF!</v>
      </c>
      <c r="F210" s="2961" t="e">
        <f t="shared" si="123"/>
        <v>#REF!</v>
      </c>
      <c r="G210" s="2961" t="e">
        <f t="shared" si="123"/>
        <v>#REF!</v>
      </c>
      <c r="H210" s="2962" t="e">
        <f t="shared" si="123"/>
        <v>#REF!</v>
      </c>
      <c r="I210" s="2962" t="e">
        <f t="shared" si="123"/>
        <v>#REF!</v>
      </c>
      <c r="J210" s="2962">
        <f>SUM(J198:J209)</f>
        <v>0</v>
      </c>
      <c r="K210" s="2963">
        <f t="shared" si="123"/>
        <v>-277378</v>
      </c>
      <c r="L210" s="2963">
        <f t="shared" si="123"/>
        <v>-342136</v>
      </c>
      <c r="M210" s="2964">
        <f t="shared" si="123"/>
        <v>-3405923</v>
      </c>
      <c r="N210" s="2961">
        <f t="shared" ref="N210:U210" si="124">SUM(N198:N209)</f>
        <v>2465723</v>
      </c>
      <c r="O210" s="2961">
        <f t="shared" si="124"/>
        <v>-2498267</v>
      </c>
      <c r="P210" s="2961">
        <f t="shared" si="124"/>
        <v>-588961</v>
      </c>
      <c r="Q210" s="2961">
        <f t="shared" si="124"/>
        <v>6606571</v>
      </c>
      <c r="R210" s="2961">
        <f t="shared" si="124"/>
        <v>-74383</v>
      </c>
      <c r="S210" s="2961">
        <f t="shared" si="124"/>
        <v>-40007</v>
      </c>
      <c r="T210" s="2961">
        <f t="shared" si="124"/>
        <v>-405731</v>
      </c>
      <c r="U210" s="2961">
        <f t="shared" si="124"/>
        <v>2059022</v>
      </c>
      <c r="V210" s="2965"/>
    </row>
    <row r="211" spans="1:22" ht="2.25" hidden="1" customHeight="1">
      <c r="A211" s="2489"/>
      <c r="B211" s="2489"/>
      <c r="C211" s="2489"/>
      <c r="D211" s="2489"/>
      <c r="E211" s="2489"/>
      <c r="F211" s="2489"/>
      <c r="H211" s="2966"/>
      <c r="I211" s="2966"/>
      <c r="J211" s="2966"/>
      <c r="K211" s="2967"/>
      <c r="L211" s="2966"/>
      <c r="U211" s="2489"/>
    </row>
    <row r="212" spans="1:22" hidden="1">
      <c r="A212" s="2936" t="s">
        <v>54</v>
      </c>
      <c r="B212" s="2968" t="e">
        <f t="shared" ref="B212:U212" si="125">+B135-B167</f>
        <v>#REF!</v>
      </c>
      <c r="C212" s="2969" t="e">
        <f t="shared" si="125"/>
        <v>#REF!</v>
      </c>
      <c r="D212" s="2969" t="e">
        <f t="shared" si="125"/>
        <v>#REF!</v>
      </c>
      <c r="E212" s="2969" t="e">
        <f t="shared" si="125"/>
        <v>#REF!</v>
      </c>
      <c r="F212" s="2968" t="e">
        <f t="shared" si="125"/>
        <v>#REF!</v>
      </c>
      <c r="G212" s="2968" t="e">
        <f t="shared" si="125"/>
        <v>#REF!</v>
      </c>
      <c r="H212" s="2970" t="e">
        <f t="shared" si="125"/>
        <v>#REF!</v>
      </c>
      <c r="I212" s="2970" t="e">
        <f t="shared" si="125"/>
        <v>#REF!</v>
      </c>
      <c r="J212" s="2970">
        <f>+J135-J167</f>
        <v>0</v>
      </c>
      <c r="K212" s="2971">
        <f t="shared" si="125"/>
        <v>-277378</v>
      </c>
      <c r="L212" s="2969">
        <f t="shared" si="125"/>
        <v>-342136</v>
      </c>
      <c r="M212" s="2968">
        <f t="shared" si="125"/>
        <v>-3405923</v>
      </c>
      <c r="N212" s="2968">
        <f t="shared" si="125"/>
        <v>2465723</v>
      </c>
      <c r="O212" s="2968">
        <f t="shared" si="125"/>
        <v>-2498267</v>
      </c>
      <c r="P212" s="2968">
        <f>+P135-P167</f>
        <v>-588961</v>
      </c>
      <c r="Q212" s="2968">
        <f>+Q135-Q167</f>
        <v>6606571</v>
      </c>
      <c r="R212" s="2968">
        <f>+R135-R167</f>
        <v>-74383</v>
      </c>
      <c r="S212" s="2968">
        <f>+S135-S167</f>
        <v>-40007</v>
      </c>
      <c r="T212" s="2968">
        <f>+T135-T167</f>
        <v>-405731</v>
      </c>
      <c r="U212" s="2968">
        <f t="shared" si="125"/>
        <v>2059022</v>
      </c>
    </row>
    <row r="213" spans="1:22" ht="14.25" hidden="1" customHeight="1" thickBot="1">
      <c r="A213" s="2489"/>
      <c r="B213" s="2489"/>
      <c r="C213" s="2489"/>
      <c r="D213" s="2489"/>
      <c r="E213" s="2489"/>
      <c r="F213" s="2489"/>
      <c r="G213" s="2501" t="e">
        <f>+G212-G210</f>
        <v>#REF!</v>
      </c>
      <c r="H213" s="2972" t="e">
        <f>+H212-H210</f>
        <v>#REF!</v>
      </c>
      <c r="I213" s="2501" t="e">
        <f t="shared" ref="I213:U213" si="126">+I212-I210</f>
        <v>#REF!</v>
      </c>
      <c r="J213" s="2501">
        <f>+J212-J210</f>
        <v>0</v>
      </c>
      <c r="K213" s="2973">
        <f t="shared" si="126"/>
        <v>0</v>
      </c>
      <c r="L213" s="2501">
        <f t="shared" si="126"/>
        <v>0</v>
      </c>
      <c r="M213" s="2501">
        <f t="shared" si="126"/>
        <v>0</v>
      </c>
      <c r="N213" s="2501">
        <f t="shared" si="126"/>
        <v>0</v>
      </c>
      <c r="O213" s="2501">
        <f t="shared" si="126"/>
        <v>0</v>
      </c>
      <c r="P213" s="2501">
        <f>+P212-P210</f>
        <v>0</v>
      </c>
      <c r="Q213" s="2501">
        <f>+Q212-Q210</f>
        <v>0</v>
      </c>
      <c r="R213" s="2501">
        <f>+R212-R210</f>
        <v>0</v>
      </c>
      <c r="S213" s="2501">
        <f>+S212-S210</f>
        <v>0</v>
      </c>
      <c r="T213" s="2501">
        <f>+T212-T210</f>
        <v>0</v>
      </c>
      <c r="U213" s="2501">
        <f t="shared" si="126"/>
        <v>0</v>
      </c>
    </row>
    <row r="214" spans="1:22" ht="12" hidden="1" customHeight="1">
      <c r="A214" s="2489"/>
      <c r="B214" s="2489"/>
      <c r="C214" s="2489"/>
      <c r="D214" s="2489"/>
      <c r="E214" s="2489"/>
      <c r="F214" s="2489"/>
      <c r="H214" s="2966"/>
      <c r="U214" s="2501"/>
    </row>
    <row r="215" spans="1:22" hidden="1">
      <c r="A215" s="2489"/>
      <c r="B215" s="2489"/>
      <c r="C215" s="2489"/>
      <c r="D215" s="2489"/>
      <c r="E215" s="2489"/>
      <c r="F215" s="2489"/>
      <c r="U215" s="2489"/>
    </row>
    <row r="216" spans="1:22" hidden="1">
      <c r="A216" s="2489"/>
      <c r="B216" s="2489"/>
      <c r="C216" s="2489"/>
      <c r="D216" s="2489"/>
      <c r="E216" s="2489"/>
      <c r="F216" s="2489"/>
    </row>
    <row r="217" spans="1:22" hidden="1">
      <c r="A217" s="2489"/>
      <c r="B217" s="2489"/>
      <c r="C217" s="2489"/>
      <c r="D217" s="2489"/>
      <c r="E217" s="2489"/>
      <c r="F217" s="2489"/>
      <c r="U217" s="2489"/>
    </row>
    <row r="218" spans="1:22" hidden="1">
      <c r="A218" s="2489"/>
      <c r="B218" s="2489"/>
      <c r="C218" s="2489"/>
      <c r="D218" s="2489"/>
      <c r="E218" s="2489"/>
      <c r="F218" s="2489"/>
      <c r="L218" s="3530" t="s">
        <v>370</v>
      </c>
      <c r="M218" s="3530"/>
      <c r="N218" s="3530"/>
      <c r="O218" s="3530"/>
      <c r="P218" s="3530"/>
      <c r="Q218" s="3530"/>
      <c r="U218" s="2489"/>
      <c r="V218" s="2489"/>
    </row>
    <row r="219" spans="1:22" ht="27" hidden="1" customHeight="1">
      <c r="A219" s="2489"/>
      <c r="B219" s="2489"/>
      <c r="C219" s="2489"/>
      <c r="D219" s="2489"/>
      <c r="E219" s="2489"/>
      <c r="F219" s="2489"/>
      <c r="M219" s="2974" t="s">
        <v>371</v>
      </c>
      <c r="N219" s="3546" t="s">
        <v>4</v>
      </c>
      <c r="O219" s="3547"/>
      <c r="P219" s="3547"/>
      <c r="Q219" s="3547"/>
      <c r="R219" s="3547"/>
      <c r="S219" s="3548"/>
      <c r="T219" s="2975" t="s">
        <v>372</v>
      </c>
      <c r="U219" s="2975" t="s">
        <v>373</v>
      </c>
      <c r="V219" s="2976"/>
    </row>
    <row r="220" spans="1:22" ht="43.5" hidden="1" customHeight="1">
      <c r="A220" s="2489"/>
      <c r="B220" s="2489"/>
      <c r="C220" s="2489"/>
      <c r="D220" s="2489"/>
      <c r="E220" s="2489"/>
      <c r="F220" s="2489"/>
      <c r="M220" s="2328" t="s">
        <v>77</v>
      </c>
      <c r="N220" s="3555" t="s">
        <v>498</v>
      </c>
      <c r="O220" s="3556"/>
      <c r="P220" s="3556"/>
      <c r="Q220" s="3556"/>
      <c r="R220" s="3556"/>
      <c r="S220" s="3557"/>
      <c r="T220" s="2329"/>
      <c r="U220" s="2329"/>
      <c r="V220" s="2320"/>
    </row>
    <row r="221" spans="1:22" ht="62.25" hidden="1" customHeight="1">
      <c r="A221" s="2489"/>
      <c r="B221" s="2489"/>
      <c r="C221" s="2489"/>
      <c r="D221" s="2489"/>
      <c r="E221" s="2489"/>
      <c r="F221" s="2489"/>
      <c r="M221" s="2328" t="s">
        <v>78</v>
      </c>
      <c r="N221" s="3534" t="s">
        <v>155</v>
      </c>
      <c r="O221" s="3535"/>
      <c r="P221" s="3535"/>
      <c r="Q221" s="3535"/>
      <c r="R221" s="3535"/>
      <c r="S221" s="3536"/>
      <c r="T221" s="2329"/>
      <c r="U221" s="2329"/>
      <c r="V221" s="2320"/>
    </row>
    <row r="222" spans="1:22" ht="63" hidden="1" customHeight="1">
      <c r="A222" s="2489"/>
      <c r="B222" s="2489"/>
      <c r="C222" s="2489"/>
      <c r="D222" s="2489"/>
      <c r="E222" s="2489"/>
      <c r="F222" s="2489"/>
      <c r="M222" s="2328" t="s">
        <v>79</v>
      </c>
      <c r="N222" s="3534" t="s">
        <v>336</v>
      </c>
      <c r="O222" s="3535"/>
      <c r="P222" s="3535"/>
      <c r="Q222" s="3535"/>
      <c r="R222" s="3535"/>
      <c r="S222" s="3536"/>
      <c r="T222" s="2329"/>
      <c r="U222" s="2329"/>
      <c r="V222" s="2320"/>
    </row>
    <row r="223" spans="1:22" ht="82.5" hidden="1" customHeight="1">
      <c r="A223" s="2489"/>
      <c r="B223" s="2489"/>
      <c r="C223" s="2489"/>
      <c r="D223" s="2489"/>
      <c r="E223" s="2489"/>
      <c r="F223" s="2489"/>
      <c r="M223" s="2328" t="s">
        <v>80</v>
      </c>
      <c r="N223" s="3534" t="s">
        <v>459</v>
      </c>
      <c r="O223" s="3535"/>
      <c r="P223" s="3535"/>
      <c r="Q223" s="3535"/>
      <c r="R223" s="3535"/>
      <c r="S223" s="3536"/>
      <c r="T223" s="2329"/>
      <c r="U223" s="2329"/>
      <c r="V223" s="2320"/>
    </row>
    <row r="224" spans="1:22" ht="64.5" hidden="1" customHeight="1">
      <c r="A224" s="2489"/>
      <c r="B224" s="2489"/>
      <c r="C224" s="2489"/>
      <c r="D224" s="2489"/>
      <c r="E224" s="2489"/>
      <c r="F224" s="2489"/>
      <c r="M224" s="2328" t="s">
        <v>81</v>
      </c>
      <c r="N224" s="3534" t="s">
        <v>337</v>
      </c>
      <c r="O224" s="3535"/>
      <c r="P224" s="3535"/>
      <c r="Q224" s="3535"/>
      <c r="R224" s="3535"/>
      <c r="S224" s="3536"/>
      <c r="T224" s="2330"/>
      <c r="U224" s="2330"/>
      <c r="V224" s="2321"/>
    </row>
    <row r="225" spans="1:24" ht="39" hidden="1" customHeight="1">
      <c r="A225" s="2489"/>
      <c r="B225" s="2489"/>
      <c r="C225" s="2489"/>
      <c r="D225" s="2489"/>
      <c r="E225" s="2489"/>
      <c r="F225" s="2489"/>
      <c r="M225" s="2328" t="s">
        <v>133</v>
      </c>
      <c r="N225" s="3552" t="s">
        <v>399</v>
      </c>
      <c r="O225" s="3553"/>
      <c r="P225" s="3553"/>
      <c r="Q225" s="3553"/>
      <c r="R225" s="3553"/>
      <c r="S225" s="3554"/>
      <c r="T225" s="2331"/>
      <c r="U225" s="2331"/>
      <c r="V225" s="2320"/>
    </row>
    <row r="226" spans="1:24" ht="39" hidden="1" customHeight="1">
      <c r="A226" s="2489"/>
      <c r="B226" s="2489"/>
      <c r="C226" s="2489"/>
      <c r="D226" s="2489"/>
      <c r="E226" s="2489"/>
      <c r="F226" s="2489"/>
      <c r="M226" s="2328" t="s">
        <v>102</v>
      </c>
      <c r="N226" s="3552" t="s">
        <v>520</v>
      </c>
      <c r="O226" s="3553"/>
      <c r="P226" s="3553"/>
      <c r="Q226" s="3553"/>
      <c r="R226" s="3553"/>
      <c r="S226" s="3554"/>
      <c r="T226" s="2331"/>
      <c r="U226" s="2331"/>
      <c r="V226" s="2320"/>
    </row>
    <row r="227" spans="1:24" ht="39" hidden="1" customHeight="1">
      <c r="A227" s="2489"/>
      <c r="B227" s="2489"/>
      <c r="C227" s="2489"/>
      <c r="D227" s="2489"/>
      <c r="E227" s="2489"/>
      <c r="F227" s="2489"/>
      <c r="M227" s="2328" t="s">
        <v>103</v>
      </c>
      <c r="N227" s="3555" t="s">
        <v>521</v>
      </c>
      <c r="O227" s="3556"/>
      <c r="P227" s="3556"/>
      <c r="Q227" s="3556"/>
      <c r="R227" s="3556"/>
      <c r="S227" s="3557"/>
      <c r="T227" s="2329"/>
      <c r="U227" s="2329"/>
      <c r="V227" s="2322"/>
    </row>
    <row r="228" spans="1:24" ht="48" hidden="1" customHeight="1">
      <c r="A228" s="2489"/>
      <c r="B228" s="2489"/>
      <c r="C228" s="2489"/>
      <c r="D228" s="2489"/>
      <c r="E228" s="2489"/>
      <c r="F228" s="2489"/>
      <c r="M228" s="2328" t="s">
        <v>104</v>
      </c>
      <c r="N228" s="3555" t="s">
        <v>522</v>
      </c>
      <c r="O228" s="3556"/>
      <c r="P228" s="3556"/>
      <c r="Q228" s="3556"/>
      <c r="R228" s="3556"/>
      <c r="S228" s="3557"/>
      <c r="T228" s="2330"/>
      <c r="U228" s="2330"/>
      <c r="V228" s="2321"/>
      <c r="W228" s="299">
        <f>T228+T229</f>
        <v>0</v>
      </c>
      <c r="X228" s="299">
        <f>U228+U229</f>
        <v>0</v>
      </c>
    </row>
    <row r="229" spans="1:24" ht="41.25" hidden="1" customHeight="1">
      <c r="A229" s="2489"/>
      <c r="B229" s="2489"/>
      <c r="C229" s="2489"/>
      <c r="D229" s="2489"/>
      <c r="E229" s="2489"/>
      <c r="F229" s="2489"/>
      <c r="M229" s="2328" t="s">
        <v>105</v>
      </c>
      <c r="N229" s="3555" t="s">
        <v>523</v>
      </c>
      <c r="O229" s="3556"/>
      <c r="P229" s="3556"/>
      <c r="Q229" s="3556"/>
      <c r="R229" s="3556"/>
      <c r="S229" s="3557"/>
      <c r="T229" s="2330"/>
      <c r="U229" s="2330"/>
      <c r="V229" s="2321"/>
      <c r="W229" s="299">
        <f>T231+T232+T233+T234</f>
        <v>0</v>
      </c>
      <c r="X229" s="299">
        <f>U231+U232+U233+U234</f>
        <v>0</v>
      </c>
    </row>
    <row r="230" spans="1:24" ht="21" hidden="1" customHeight="1">
      <c r="A230" s="2489"/>
      <c r="B230" s="2489"/>
      <c r="C230" s="2489"/>
      <c r="D230" s="2489"/>
      <c r="E230" s="2489"/>
      <c r="F230" s="2489"/>
      <c r="M230" s="2328" t="s">
        <v>106</v>
      </c>
      <c r="N230" s="3555" t="s">
        <v>509</v>
      </c>
      <c r="O230" s="3556"/>
      <c r="P230" s="3556"/>
      <c r="Q230" s="3556"/>
      <c r="R230" s="3556"/>
      <c r="S230" s="3557"/>
      <c r="T230" s="2330"/>
      <c r="U230" s="2330"/>
      <c r="V230" s="2321"/>
      <c r="W230" s="299"/>
      <c r="X230" s="299"/>
    </row>
    <row r="231" spans="1:24" ht="45.75" hidden="1" customHeight="1">
      <c r="A231" s="2489"/>
      <c r="B231" s="2489"/>
      <c r="C231" s="2489"/>
      <c r="D231" s="2489"/>
      <c r="E231" s="2489"/>
      <c r="F231" s="2489"/>
      <c r="M231" s="2328" t="s">
        <v>107</v>
      </c>
      <c r="N231" s="3552" t="s">
        <v>305</v>
      </c>
      <c r="O231" s="3558"/>
      <c r="P231" s="3558"/>
      <c r="Q231" s="3558"/>
      <c r="R231" s="3558"/>
      <c r="S231" s="3559"/>
      <c r="T231" s="2330"/>
      <c r="U231" s="2330"/>
      <c r="V231" s="2321"/>
    </row>
    <row r="232" spans="1:24" ht="44.25" hidden="1" customHeight="1">
      <c r="A232" s="2489"/>
      <c r="B232" s="2489"/>
      <c r="C232" s="2489"/>
      <c r="D232" s="2489"/>
      <c r="E232" s="2489"/>
      <c r="F232" s="2489"/>
      <c r="M232" s="2328" t="s">
        <v>108</v>
      </c>
      <c r="N232" s="3552" t="s">
        <v>501</v>
      </c>
      <c r="O232" s="3558"/>
      <c r="P232" s="3558"/>
      <c r="Q232" s="3558"/>
      <c r="R232" s="3558"/>
      <c r="S232" s="3559"/>
      <c r="T232" s="2330"/>
      <c r="U232" s="2330"/>
      <c r="V232" s="2321"/>
    </row>
    <row r="233" spans="1:24" ht="23.25" hidden="1" customHeight="1">
      <c r="A233" s="2489"/>
      <c r="B233" s="2489"/>
      <c r="C233" s="2489"/>
      <c r="D233" s="2489"/>
      <c r="E233" s="2489"/>
      <c r="F233" s="2489"/>
      <c r="M233" s="2328" t="s">
        <v>109</v>
      </c>
      <c r="N233" s="3552" t="s">
        <v>398</v>
      </c>
      <c r="O233" s="3558"/>
      <c r="P233" s="3558"/>
      <c r="Q233" s="3558"/>
      <c r="R233" s="3558"/>
      <c r="S233" s="3559"/>
      <c r="T233" s="2330"/>
      <c r="U233" s="2330"/>
      <c r="V233" s="2321"/>
    </row>
    <row r="234" spans="1:24" ht="23.25" hidden="1" customHeight="1">
      <c r="A234" s="2489"/>
      <c r="B234" s="2489"/>
      <c r="C234" s="2489"/>
      <c r="D234" s="2489"/>
      <c r="E234" s="2489"/>
      <c r="F234" s="2489"/>
      <c r="M234" s="2328" t="s">
        <v>110</v>
      </c>
      <c r="N234" s="3552" t="s">
        <v>502</v>
      </c>
      <c r="O234" s="3558"/>
      <c r="P234" s="3558"/>
      <c r="Q234" s="3558"/>
      <c r="R234" s="3558"/>
      <c r="S234" s="3559"/>
      <c r="T234" s="2330"/>
      <c r="U234" s="2330"/>
      <c r="V234" s="2321"/>
    </row>
    <row r="235" spans="1:24" ht="38.25" hidden="1" customHeight="1">
      <c r="A235" s="2489"/>
      <c r="B235" s="2489"/>
      <c r="C235" s="2489"/>
      <c r="D235" s="2489"/>
      <c r="E235" s="2489"/>
      <c r="F235" s="2489"/>
      <c r="M235" s="2341" t="s">
        <v>111</v>
      </c>
      <c r="N235" s="3552" t="s">
        <v>510</v>
      </c>
      <c r="O235" s="3558"/>
      <c r="P235" s="3558"/>
      <c r="Q235" s="3558"/>
      <c r="R235" s="3558"/>
      <c r="S235" s="3559"/>
      <c r="T235" s="2330"/>
      <c r="U235" s="2330"/>
      <c r="V235" s="2321"/>
    </row>
    <row r="236" spans="1:24" ht="27.75" hidden="1" customHeight="1">
      <c r="A236" s="2489"/>
      <c r="B236" s="2489"/>
      <c r="C236" s="2489"/>
      <c r="D236" s="2489"/>
      <c r="E236" s="2489"/>
      <c r="F236" s="2489"/>
      <c r="M236" s="2977" t="s">
        <v>82</v>
      </c>
      <c r="N236" s="3538" t="s">
        <v>503</v>
      </c>
      <c r="O236" s="3538"/>
      <c r="P236" s="3538"/>
      <c r="Q236" s="3538"/>
      <c r="R236" s="3538"/>
      <c r="S236" s="3539"/>
      <c r="T236" s="2978">
        <f>SUM(T220:T235)</f>
        <v>0</v>
      </c>
      <c r="U236" s="2978">
        <f>SUM(U220:U235)</f>
        <v>0</v>
      </c>
      <c r="V236" s="2979"/>
    </row>
    <row r="237" spans="1:24" hidden="1">
      <c r="A237" s="2489"/>
      <c r="B237" s="2489"/>
      <c r="C237" s="2489"/>
      <c r="D237" s="2489"/>
      <c r="E237" s="2489"/>
      <c r="F237" s="2489"/>
      <c r="U237" s="2489"/>
    </row>
    <row r="238" spans="1:24" hidden="1">
      <c r="A238" s="2489"/>
      <c r="B238" s="2489"/>
      <c r="C238" s="2489"/>
      <c r="D238" s="2489"/>
      <c r="E238" s="2489"/>
      <c r="F238" s="2489"/>
      <c r="U238" s="2489"/>
    </row>
    <row r="239" spans="1:24" hidden="1">
      <c r="A239" s="2489"/>
      <c r="B239" s="2489"/>
      <c r="C239" s="2489"/>
      <c r="D239" s="2489"/>
      <c r="E239" s="2489"/>
      <c r="F239" s="2489"/>
      <c r="U239" s="2489"/>
    </row>
    <row r="240" spans="1:24" hidden="1">
      <c r="A240" s="2489"/>
      <c r="B240" s="2489"/>
      <c r="C240" s="2489"/>
      <c r="D240" s="2489"/>
      <c r="E240" s="2489"/>
      <c r="F240" s="2489"/>
      <c r="U240" s="2489"/>
    </row>
    <row r="241" spans="1:22" hidden="1">
      <c r="A241" s="2489"/>
      <c r="B241" s="2489"/>
      <c r="C241" s="2489"/>
      <c r="D241" s="2489"/>
      <c r="E241" s="2489"/>
      <c r="F241" s="2489"/>
      <c r="L241" s="3530" t="s">
        <v>511</v>
      </c>
      <c r="M241" s="3530"/>
      <c r="N241" s="3530"/>
      <c r="O241" s="3530"/>
      <c r="P241" s="3530"/>
      <c r="Q241" s="3530"/>
      <c r="U241" s="2489"/>
      <c r="V241" s="2489"/>
    </row>
    <row r="242" spans="1:22" ht="21" hidden="1" customHeight="1">
      <c r="A242" s="2489"/>
      <c r="B242" s="2489"/>
      <c r="C242" s="2489"/>
      <c r="D242" s="2489"/>
      <c r="E242" s="2489"/>
      <c r="F242" s="2489"/>
      <c r="M242" s="2974" t="s">
        <v>371</v>
      </c>
      <c r="N242" s="3546" t="s">
        <v>4</v>
      </c>
      <c r="O242" s="3547"/>
      <c r="P242" s="3547"/>
      <c r="Q242" s="3547"/>
      <c r="R242" s="3547"/>
      <c r="S242" s="3548"/>
      <c r="T242" s="2975" t="s">
        <v>372</v>
      </c>
      <c r="U242" s="2975" t="s">
        <v>373</v>
      </c>
      <c r="V242" s="3467"/>
    </row>
    <row r="243" spans="1:22" ht="72.75" hidden="1" customHeight="1">
      <c r="A243" s="2489"/>
      <c r="B243" s="2489"/>
      <c r="C243" s="2489"/>
      <c r="D243" s="2489"/>
      <c r="E243" s="2489"/>
      <c r="F243" s="2489"/>
      <c r="M243" s="3462" t="s">
        <v>77</v>
      </c>
      <c r="N243" s="3549" t="s">
        <v>545</v>
      </c>
      <c r="O243" s="3550"/>
      <c r="P243" s="3550"/>
      <c r="Q243" s="3550"/>
      <c r="R243" s="3550"/>
      <c r="S243" s="3551"/>
      <c r="T243" s="3461">
        <v>4273222</v>
      </c>
      <c r="U243" s="3461">
        <v>2741005</v>
      </c>
      <c r="V243" s="3468"/>
    </row>
    <row r="244" spans="1:22" ht="63" hidden="1" customHeight="1">
      <c r="A244" s="2489"/>
      <c r="B244" s="2489"/>
      <c r="C244" s="2489"/>
      <c r="D244" s="2489"/>
      <c r="E244" s="2489"/>
      <c r="F244" s="2489"/>
      <c r="M244" s="3462" t="s">
        <v>78</v>
      </c>
      <c r="N244" s="3540" t="s">
        <v>584</v>
      </c>
      <c r="O244" s="3541"/>
      <c r="P244" s="3541"/>
      <c r="Q244" s="3541"/>
      <c r="R244" s="3541"/>
      <c r="S244" s="3542"/>
      <c r="T244" s="3461">
        <v>342701</v>
      </c>
      <c r="U244" s="3461">
        <v>291295</v>
      </c>
      <c r="V244" s="3468"/>
    </row>
    <row r="245" spans="1:22" ht="66.75" hidden="1" customHeight="1">
      <c r="A245" s="2489"/>
      <c r="B245" s="2489"/>
      <c r="C245" s="2489"/>
      <c r="D245" s="2489"/>
      <c r="E245" s="2489"/>
      <c r="F245" s="2489"/>
      <c r="M245" s="3462" t="s">
        <v>79</v>
      </c>
      <c r="N245" s="3540" t="s">
        <v>585</v>
      </c>
      <c r="O245" s="3541"/>
      <c r="P245" s="3541"/>
      <c r="Q245" s="3541"/>
      <c r="R245" s="3541"/>
      <c r="S245" s="3542"/>
      <c r="T245" s="3461">
        <v>329300</v>
      </c>
      <c r="U245" s="3461">
        <v>279905</v>
      </c>
      <c r="V245" s="3468"/>
    </row>
    <row r="246" spans="1:22" ht="42" hidden="1" customHeight="1">
      <c r="A246" s="2489"/>
      <c r="B246" s="2489"/>
      <c r="C246" s="2489"/>
      <c r="D246" s="2489"/>
      <c r="E246" s="2489"/>
      <c r="F246" s="2489"/>
      <c r="M246" s="3462" t="s">
        <v>80</v>
      </c>
      <c r="N246" s="3540" t="s">
        <v>586</v>
      </c>
      <c r="O246" s="3541"/>
      <c r="P246" s="3541"/>
      <c r="Q246" s="3541"/>
      <c r="R246" s="3541"/>
      <c r="S246" s="3542"/>
      <c r="T246" s="3461">
        <v>693012</v>
      </c>
      <c r="U246" s="3461">
        <v>573750</v>
      </c>
      <c r="V246" s="3468"/>
    </row>
    <row r="247" spans="1:22" ht="45.75" hidden="1" customHeight="1">
      <c r="A247" s="2489"/>
      <c r="B247" s="2489"/>
      <c r="C247" s="2489"/>
      <c r="D247" s="2489"/>
      <c r="E247" s="2489"/>
      <c r="F247" s="2489"/>
      <c r="M247" s="3464" t="s">
        <v>81</v>
      </c>
      <c r="N247" s="3543" t="s">
        <v>587</v>
      </c>
      <c r="O247" s="3544"/>
      <c r="P247" s="3544"/>
      <c r="Q247" s="3544"/>
      <c r="R247" s="3544"/>
      <c r="S247" s="3545"/>
      <c r="T247" s="3465">
        <v>9980</v>
      </c>
      <c r="U247" s="3465">
        <v>8483</v>
      </c>
      <c r="V247" s="2980"/>
    </row>
    <row r="248" spans="1:22" ht="64.5" hidden="1" customHeight="1">
      <c r="A248" s="2489"/>
      <c r="B248" s="2489"/>
      <c r="C248" s="2489"/>
      <c r="D248" s="2489"/>
      <c r="E248" s="2489"/>
      <c r="F248" s="2489"/>
      <c r="M248" s="3463" t="s">
        <v>133</v>
      </c>
      <c r="N248" s="3531" t="s">
        <v>588</v>
      </c>
      <c r="O248" s="3532"/>
      <c r="P248" s="3532"/>
      <c r="Q248" s="3532"/>
      <c r="R248" s="3532"/>
      <c r="S248" s="3533"/>
      <c r="T248" s="3466">
        <v>990020</v>
      </c>
      <c r="U248" s="3466">
        <v>841516</v>
      </c>
    </row>
    <row r="249" spans="1:22" ht="63" hidden="1" customHeight="1">
      <c r="A249" s="2489"/>
      <c r="B249" s="2489"/>
      <c r="C249" s="2489"/>
      <c r="D249" s="2489"/>
      <c r="E249" s="2489"/>
      <c r="F249" s="2489"/>
      <c r="M249" s="2328"/>
      <c r="N249" s="3534"/>
      <c r="O249" s="3535"/>
      <c r="P249" s="3535"/>
      <c r="Q249" s="3535"/>
      <c r="R249" s="3535"/>
      <c r="S249" s="3536"/>
      <c r="T249" s="2329"/>
      <c r="U249" s="2343">
        <v>0</v>
      </c>
    </row>
    <row r="250" spans="1:22" ht="25.5" hidden="1" customHeight="1">
      <c r="A250" s="2489"/>
      <c r="B250" s="2489"/>
      <c r="C250" s="2489"/>
      <c r="D250" s="2489"/>
      <c r="E250" s="2489"/>
      <c r="F250" s="2489"/>
      <c r="M250" s="3537" t="s">
        <v>514</v>
      </c>
      <c r="N250" s="3538"/>
      <c r="O250" s="3538"/>
      <c r="P250" s="3538"/>
      <c r="Q250" s="3538"/>
      <c r="R250" s="3538"/>
      <c r="S250" s="3539"/>
      <c r="T250" s="2978">
        <f>SUM(T243:T249)</f>
        <v>6638235</v>
      </c>
      <c r="U250" s="2978">
        <f>SUM(U243:U249)</f>
        <v>4735954</v>
      </c>
    </row>
    <row r="251" spans="1:22" hidden="1">
      <c r="A251" s="2489"/>
      <c r="B251" s="2489"/>
      <c r="C251" s="2489"/>
      <c r="D251" s="2489"/>
      <c r="E251" s="2489"/>
      <c r="F251" s="2489"/>
      <c r="U251" s="2489"/>
    </row>
    <row r="252" spans="1:22" hidden="1">
      <c r="A252" s="2489"/>
      <c r="B252" s="2489"/>
      <c r="C252" s="2489"/>
      <c r="D252" s="2489"/>
      <c r="E252" s="2489"/>
      <c r="F252" s="2489"/>
      <c r="U252" s="2489"/>
    </row>
    <row r="253" spans="1:22" hidden="1">
      <c r="A253" s="2489"/>
      <c r="B253" s="2489"/>
      <c r="C253" s="2489"/>
      <c r="D253" s="2489"/>
      <c r="E253" s="2489"/>
      <c r="F253" s="2489"/>
      <c r="U253" s="2489"/>
    </row>
    <row r="254" spans="1:22" hidden="1">
      <c r="A254" s="2489"/>
      <c r="B254" s="2489"/>
      <c r="C254" s="2489"/>
      <c r="D254" s="2489"/>
      <c r="E254" s="2489"/>
      <c r="F254" s="2489"/>
      <c r="N254" s="3530"/>
      <c r="O254" s="3530"/>
      <c r="P254" s="3530"/>
      <c r="Q254" s="3530"/>
      <c r="R254" s="3530"/>
      <c r="S254" s="3530"/>
      <c r="U254" s="2489"/>
    </row>
    <row r="255" spans="1:22" hidden="1">
      <c r="A255" s="2489"/>
      <c r="B255" s="2489"/>
      <c r="C255" s="2489"/>
      <c r="D255" s="2489"/>
      <c r="E255" s="2489"/>
      <c r="F255" s="2489"/>
      <c r="U255" s="2489"/>
    </row>
    <row r="256" spans="1:22" hidden="1">
      <c r="A256" s="2489"/>
      <c r="B256" s="2489"/>
      <c r="C256" s="2489"/>
      <c r="D256" s="2489"/>
      <c r="E256" s="2489"/>
      <c r="F256" s="2489"/>
      <c r="U256" s="2489"/>
    </row>
    <row r="257" spans="1:21" hidden="1">
      <c r="A257" s="2489"/>
      <c r="B257" s="2489"/>
      <c r="C257" s="2489"/>
      <c r="D257" s="2489"/>
      <c r="E257" s="2489"/>
      <c r="F257" s="2489"/>
      <c r="U257" s="2489"/>
    </row>
    <row r="258" spans="1:21" hidden="1">
      <c r="A258" s="2489"/>
      <c r="B258" s="2489"/>
      <c r="C258" s="2489"/>
      <c r="D258" s="2489"/>
      <c r="E258" s="2489"/>
      <c r="F258" s="2489"/>
      <c r="U258" s="2489"/>
    </row>
    <row r="259" spans="1:21" hidden="1">
      <c r="A259" s="2489"/>
      <c r="B259" s="2489"/>
      <c r="C259" s="2489"/>
      <c r="D259" s="2489"/>
      <c r="E259" s="2489"/>
      <c r="F259" s="2489"/>
      <c r="U259" s="2489"/>
    </row>
    <row r="260" spans="1:21" hidden="1">
      <c r="A260" s="2489"/>
      <c r="B260" s="2489"/>
      <c r="C260" s="2489"/>
      <c r="D260" s="2489"/>
      <c r="E260" s="2489"/>
      <c r="F260" s="2489"/>
      <c r="U260" s="2489"/>
    </row>
    <row r="261" spans="1:21" hidden="1">
      <c r="A261" s="2489"/>
      <c r="B261" s="2489"/>
      <c r="C261" s="2489"/>
      <c r="D261" s="2489"/>
      <c r="E261" s="2489"/>
      <c r="F261" s="2489"/>
      <c r="U261" s="2489"/>
    </row>
    <row r="262" spans="1:21" hidden="1">
      <c r="A262" s="2489"/>
      <c r="B262" s="2489"/>
      <c r="C262" s="2489"/>
      <c r="D262" s="2489"/>
      <c r="E262" s="2489"/>
      <c r="F262" s="2489"/>
      <c r="U262" s="2489"/>
    </row>
    <row r="263" spans="1:21" hidden="1">
      <c r="A263" s="2489"/>
      <c r="B263" s="2489"/>
      <c r="C263" s="2489"/>
      <c r="D263" s="2489"/>
      <c r="E263" s="2489"/>
      <c r="F263" s="2489"/>
      <c r="U263" s="2489"/>
    </row>
    <row r="264" spans="1:21" hidden="1">
      <c r="A264" s="2489"/>
      <c r="B264" s="2489"/>
      <c r="C264" s="2489"/>
      <c r="D264" s="2489"/>
      <c r="E264" s="2489"/>
      <c r="F264" s="2489"/>
      <c r="U264" s="2489"/>
    </row>
    <row r="265" spans="1:21" hidden="1">
      <c r="A265" s="2489"/>
      <c r="B265" s="2489"/>
      <c r="C265" s="2489"/>
      <c r="D265" s="2489"/>
      <c r="E265" s="2489"/>
      <c r="F265" s="2489"/>
      <c r="U265" s="2489"/>
    </row>
    <row r="266" spans="1:21" hidden="1">
      <c r="A266" s="2489"/>
      <c r="B266" s="2489"/>
      <c r="C266" s="2489"/>
      <c r="D266" s="2489"/>
      <c r="E266" s="2489"/>
      <c r="F266" s="2489"/>
      <c r="U266" s="2489"/>
    </row>
    <row r="267" spans="1:21" hidden="1">
      <c r="A267" s="2489"/>
      <c r="B267" s="2489"/>
      <c r="C267" s="2489"/>
      <c r="D267" s="2489"/>
      <c r="E267" s="2489"/>
      <c r="F267" s="2489"/>
      <c r="U267" s="2489"/>
    </row>
    <row r="268" spans="1:21" hidden="1">
      <c r="A268" s="2489"/>
      <c r="B268" s="2489"/>
      <c r="C268" s="2489"/>
      <c r="D268" s="2489"/>
      <c r="E268" s="2489"/>
      <c r="F268" s="2489"/>
      <c r="U268" s="2489"/>
    </row>
    <row r="269" spans="1:21" hidden="1">
      <c r="A269" s="2489"/>
      <c r="B269" s="2489"/>
      <c r="C269" s="2489"/>
      <c r="D269" s="2489"/>
      <c r="E269" s="2489"/>
      <c r="F269" s="2489"/>
      <c r="U269" s="2489"/>
    </row>
    <row r="270" spans="1:21" hidden="1">
      <c r="A270" s="2489"/>
      <c r="B270" s="2489"/>
      <c r="C270" s="2489"/>
      <c r="D270" s="2489"/>
      <c r="E270" s="2489"/>
      <c r="F270" s="2489"/>
      <c r="U270" s="2489"/>
    </row>
    <row r="271" spans="1:21" hidden="1">
      <c r="A271" s="2489"/>
      <c r="B271" s="2489"/>
      <c r="C271" s="2489"/>
      <c r="D271" s="2489"/>
      <c r="E271" s="2489"/>
      <c r="F271" s="2489"/>
      <c r="U271" s="2489"/>
    </row>
    <row r="272" spans="1:21" hidden="1">
      <c r="A272" s="2489"/>
      <c r="B272" s="2489"/>
      <c r="C272" s="2489"/>
      <c r="D272" s="2489"/>
      <c r="E272" s="2489"/>
      <c r="F272" s="2489"/>
      <c r="U272" s="2489"/>
    </row>
    <row r="273" spans="1:21" hidden="1">
      <c r="A273" s="2489"/>
      <c r="B273" s="2489"/>
      <c r="C273" s="2489"/>
      <c r="D273" s="2489"/>
      <c r="E273" s="2489"/>
      <c r="F273" s="2489"/>
      <c r="U273" s="2489"/>
    </row>
    <row r="274" spans="1:21" hidden="1">
      <c r="A274" s="2489"/>
      <c r="B274" s="2489"/>
      <c r="C274" s="2489"/>
      <c r="D274" s="2489"/>
      <c r="E274" s="2489"/>
      <c r="F274" s="2489"/>
      <c r="U274" s="2489"/>
    </row>
    <row r="275" spans="1:21" hidden="1">
      <c r="A275" s="2489"/>
      <c r="B275" s="2489"/>
      <c r="C275" s="2489"/>
      <c r="D275" s="2489"/>
      <c r="E275" s="2489"/>
      <c r="F275" s="2489"/>
      <c r="U275" s="2489"/>
    </row>
    <row r="276" spans="1:21" hidden="1">
      <c r="A276" s="2489"/>
      <c r="B276" s="2489"/>
      <c r="C276" s="2489"/>
      <c r="D276" s="2489"/>
      <c r="E276" s="2489"/>
      <c r="F276" s="2489"/>
      <c r="U276" s="2489"/>
    </row>
    <row r="277" spans="1:21" hidden="1">
      <c r="A277" s="2489"/>
      <c r="B277" s="2489"/>
      <c r="C277" s="2489"/>
      <c r="D277" s="2489"/>
      <c r="E277" s="2489"/>
      <c r="F277" s="2489"/>
      <c r="U277" s="2489"/>
    </row>
    <row r="278" spans="1:21" hidden="1">
      <c r="A278" s="2489"/>
      <c r="B278" s="2489"/>
      <c r="C278" s="2489"/>
      <c r="D278" s="2489"/>
      <c r="E278" s="2489"/>
      <c r="F278" s="2489"/>
      <c r="U278" s="2489"/>
    </row>
    <row r="279" spans="1:21" hidden="1">
      <c r="A279" s="2489"/>
      <c r="B279" s="2489"/>
      <c r="C279" s="2489"/>
      <c r="D279" s="2489"/>
      <c r="E279" s="2489"/>
      <c r="F279" s="2489"/>
      <c r="U279" s="2489"/>
    </row>
    <row r="280" spans="1:21" hidden="1">
      <c r="A280" s="2489"/>
      <c r="B280" s="2489"/>
      <c r="C280" s="2489"/>
      <c r="D280" s="2489"/>
      <c r="E280" s="2489"/>
      <c r="F280" s="2489"/>
      <c r="U280" s="2489"/>
    </row>
    <row r="281" spans="1:21" hidden="1">
      <c r="A281" s="2489"/>
      <c r="B281" s="2489"/>
      <c r="C281" s="2489"/>
      <c r="D281" s="2489"/>
      <c r="E281" s="2489"/>
      <c r="F281" s="2489"/>
      <c r="U281" s="2489"/>
    </row>
    <row r="282" spans="1:21" hidden="1">
      <c r="A282" s="2489"/>
      <c r="B282" s="2489"/>
      <c r="C282" s="2489"/>
      <c r="D282" s="2489"/>
      <c r="E282" s="2489"/>
      <c r="F282" s="2489"/>
      <c r="U282" s="2489"/>
    </row>
    <row r="283" spans="1:21" hidden="1">
      <c r="A283" s="2489"/>
      <c r="B283" s="2489"/>
      <c r="C283" s="2489"/>
      <c r="D283" s="2489"/>
      <c r="E283" s="2489"/>
      <c r="F283" s="2489"/>
      <c r="U283" s="2489"/>
    </row>
    <row r="284" spans="1:21" hidden="1">
      <c r="A284" s="2489"/>
      <c r="B284" s="2489"/>
      <c r="C284" s="2489"/>
      <c r="D284" s="2489"/>
      <c r="E284" s="2489"/>
      <c r="F284" s="2489"/>
      <c r="U284" s="2489"/>
    </row>
    <row r="285" spans="1:21" hidden="1">
      <c r="A285" s="2489"/>
      <c r="B285" s="2489"/>
      <c r="C285" s="2489"/>
      <c r="D285" s="2489"/>
      <c r="E285" s="2489"/>
      <c r="F285" s="2489"/>
      <c r="U285" s="2489"/>
    </row>
    <row r="286" spans="1:21" hidden="1">
      <c r="A286" s="2489"/>
      <c r="B286" s="2489"/>
      <c r="C286" s="2489"/>
      <c r="D286" s="2489"/>
      <c r="E286" s="2489"/>
      <c r="F286" s="2489"/>
      <c r="U286" s="2489"/>
    </row>
    <row r="287" spans="1:21" hidden="1">
      <c r="A287" s="2489"/>
      <c r="B287" s="2489"/>
      <c r="C287" s="2489"/>
      <c r="D287" s="2489"/>
      <c r="E287" s="2489"/>
      <c r="F287" s="2489"/>
      <c r="U287" s="2489"/>
    </row>
    <row r="288" spans="1:21" hidden="1">
      <c r="A288" s="2489"/>
      <c r="B288" s="2489"/>
      <c r="C288" s="2489"/>
      <c r="D288" s="2489"/>
      <c r="E288" s="2489"/>
      <c r="F288" s="2489"/>
      <c r="U288" s="2489"/>
    </row>
    <row r="289" spans="1:21" hidden="1">
      <c r="A289" s="2489"/>
      <c r="B289" s="2489"/>
      <c r="C289" s="2489"/>
      <c r="D289" s="2489"/>
      <c r="E289" s="2489"/>
      <c r="F289" s="2489"/>
      <c r="U289" s="2489"/>
    </row>
    <row r="290" spans="1:21" hidden="1">
      <c r="A290" s="2489"/>
      <c r="B290" s="2489"/>
      <c r="C290" s="2489"/>
      <c r="D290" s="2489"/>
      <c r="E290" s="2489"/>
      <c r="F290" s="2489"/>
      <c r="U290" s="2489"/>
    </row>
    <row r="291" spans="1:21" hidden="1">
      <c r="A291" s="2489"/>
      <c r="B291" s="2489"/>
      <c r="C291" s="2489"/>
      <c r="D291" s="2489"/>
      <c r="E291" s="2489"/>
      <c r="F291" s="2489"/>
      <c r="U291" s="2489"/>
    </row>
    <row r="292" spans="1:21" hidden="1">
      <c r="A292" s="2489"/>
      <c r="B292" s="2489"/>
      <c r="C292" s="2489"/>
      <c r="D292" s="2489"/>
      <c r="E292" s="2489"/>
      <c r="F292" s="2489"/>
      <c r="U292" s="2489"/>
    </row>
    <row r="293" spans="1:21" hidden="1">
      <c r="A293" s="2489"/>
      <c r="B293" s="2489"/>
      <c r="C293" s="2489"/>
      <c r="D293" s="2489"/>
      <c r="E293" s="2489"/>
      <c r="F293" s="2489"/>
      <c r="U293" s="2489"/>
    </row>
    <row r="294" spans="1:21" hidden="1">
      <c r="A294" s="2489"/>
      <c r="B294" s="2489"/>
      <c r="C294" s="2489"/>
      <c r="D294" s="2489"/>
      <c r="E294" s="2489"/>
      <c r="F294" s="2489"/>
      <c r="U294" s="2489"/>
    </row>
    <row r="295" spans="1:21" hidden="1">
      <c r="A295" s="2489"/>
      <c r="B295" s="2489"/>
      <c r="C295" s="2489"/>
      <c r="D295" s="2489"/>
      <c r="E295" s="2489"/>
      <c r="F295" s="2489"/>
      <c r="U295" s="2489"/>
    </row>
    <row r="296" spans="1:21" hidden="1">
      <c r="A296" s="2489"/>
      <c r="B296" s="2489"/>
      <c r="C296" s="2489"/>
      <c r="D296" s="2489"/>
      <c r="E296" s="2489"/>
      <c r="F296" s="2489"/>
      <c r="U296" s="2489"/>
    </row>
    <row r="297" spans="1:21" hidden="1">
      <c r="A297" s="2489"/>
      <c r="B297" s="2489"/>
      <c r="C297" s="2489"/>
      <c r="D297" s="2489"/>
      <c r="E297" s="2489"/>
      <c r="F297" s="2489"/>
      <c r="U297" s="2489"/>
    </row>
    <row r="298" spans="1:21" hidden="1">
      <c r="A298" s="2489"/>
      <c r="B298" s="2489"/>
      <c r="C298" s="2489"/>
      <c r="D298" s="2489"/>
      <c r="E298" s="2489"/>
      <c r="F298" s="2489"/>
      <c r="U298" s="2489"/>
    </row>
    <row r="299" spans="1:21" hidden="1">
      <c r="A299" s="2489"/>
      <c r="B299" s="2489"/>
      <c r="C299" s="2489"/>
      <c r="D299" s="2489"/>
      <c r="E299" s="2489"/>
      <c r="F299" s="2489"/>
      <c r="U299" s="2489"/>
    </row>
    <row r="300" spans="1:21" hidden="1">
      <c r="A300" s="2489"/>
      <c r="B300" s="2489"/>
      <c r="C300" s="2489"/>
      <c r="D300" s="2489"/>
      <c r="E300" s="2489"/>
      <c r="F300" s="2489"/>
      <c r="U300" s="2489"/>
    </row>
    <row r="301" spans="1:21" hidden="1">
      <c r="A301" s="2489"/>
      <c r="B301" s="2489"/>
      <c r="C301" s="2489"/>
      <c r="D301" s="2489"/>
      <c r="E301" s="2489"/>
      <c r="F301" s="2489"/>
      <c r="U301" s="2489"/>
    </row>
    <row r="302" spans="1:21" hidden="1">
      <c r="A302" s="2489"/>
      <c r="B302" s="2489"/>
      <c r="C302" s="2489"/>
      <c r="D302" s="2489"/>
      <c r="E302" s="2489"/>
      <c r="F302" s="2489"/>
      <c r="U302" s="2489"/>
    </row>
    <row r="303" spans="1:21" hidden="1">
      <c r="A303" s="2489"/>
      <c r="B303" s="2489"/>
      <c r="C303" s="2489"/>
      <c r="D303" s="2489"/>
      <c r="E303" s="2489"/>
      <c r="F303" s="2489"/>
      <c r="U303" s="2489"/>
    </row>
    <row r="304" spans="1:21" hidden="1">
      <c r="A304" s="2489"/>
      <c r="B304" s="2489"/>
      <c r="C304" s="2489"/>
      <c r="D304" s="2489"/>
      <c r="E304" s="2489"/>
      <c r="F304" s="2489"/>
      <c r="U304" s="2489"/>
    </row>
    <row r="305" spans="1:21" hidden="1">
      <c r="A305" s="2489"/>
      <c r="B305" s="2489"/>
      <c r="C305" s="2489"/>
      <c r="D305" s="2489"/>
      <c r="E305" s="2489"/>
      <c r="F305" s="2489"/>
      <c r="U305" s="2489"/>
    </row>
    <row r="306" spans="1:21" hidden="1">
      <c r="A306" s="2489"/>
      <c r="B306" s="2489"/>
      <c r="C306" s="2489"/>
      <c r="D306" s="2489"/>
      <c r="E306" s="2489"/>
      <c r="F306" s="2489"/>
      <c r="U306" s="2489"/>
    </row>
    <row r="307" spans="1:21" hidden="1">
      <c r="A307" s="2489"/>
      <c r="B307" s="2489"/>
      <c r="C307" s="2489"/>
      <c r="D307" s="2489"/>
      <c r="E307" s="2489"/>
      <c r="F307" s="2489"/>
      <c r="U307" s="2489"/>
    </row>
    <row r="308" spans="1:21" hidden="1">
      <c r="A308" s="2489"/>
      <c r="B308" s="2489"/>
      <c r="C308" s="2489"/>
      <c r="D308" s="2489"/>
      <c r="E308" s="2489"/>
      <c r="F308" s="2489"/>
      <c r="U308" s="2489"/>
    </row>
    <row r="309" spans="1:21" hidden="1">
      <c r="A309" s="2489"/>
      <c r="B309" s="2489"/>
      <c r="C309" s="2489"/>
      <c r="D309" s="2489"/>
      <c r="E309" s="2489"/>
      <c r="F309" s="2489"/>
      <c r="U309" s="2489"/>
    </row>
    <row r="310" spans="1:21" hidden="1">
      <c r="A310" s="2489"/>
      <c r="B310" s="2489"/>
      <c r="C310" s="2489"/>
      <c r="D310" s="2489"/>
      <c r="E310" s="2489"/>
      <c r="F310" s="2489"/>
      <c r="U310" s="2489"/>
    </row>
    <row r="311" spans="1:21" hidden="1">
      <c r="A311" s="2489"/>
      <c r="B311" s="2489"/>
      <c r="C311" s="2489"/>
      <c r="D311" s="2489"/>
      <c r="E311" s="2489"/>
      <c r="F311" s="2489"/>
      <c r="U311" s="2489"/>
    </row>
    <row r="312" spans="1:21" hidden="1">
      <c r="A312" s="2489"/>
      <c r="B312" s="2489"/>
      <c r="C312" s="2489"/>
      <c r="D312" s="2489"/>
      <c r="E312" s="2489"/>
      <c r="F312" s="2489"/>
      <c r="U312" s="2489"/>
    </row>
    <row r="313" spans="1:21" hidden="1">
      <c r="A313" s="2489"/>
      <c r="B313" s="2489"/>
      <c r="C313" s="2489"/>
      <c r="D313" s="2489"/>
      <c r="E313" s="2489"/>
      <c r="F313" s="2489"/>
      <c r="U313" s="2489"/>
    </row>
    <row r="314" spans="1:21" hidden="1">
      <c r="A314" s="2489"/>
      <c r="B314" s="2489"/>
      <c r="C314" s="2489"/>
      <c r="D314" s="2489"/>
      <c r="E314" s="2489"/>
      <c r="F314" s="2489"/>
      <c r="U314" s="2489"/>
    </row>
    <row r="315" spans="1:21" hidden="1">
      <c r="A315" s="2489"/>
      <c r="B315" s="2489"/>
      <c r="C315" s="2489"/>
      <c r="D315" s="2489"/>
      <c r="E315" s="2489"/>
      <c r="F315" s="2489"/>
      <c r="U315" s="2489"/>
    </row>
    <row r="316" spans="1:21" hidden="1">
      <c r="A316" s="2489"/>
      <c r="B316" s="2489"/>
      <c r="C316" s="2489"/>
      <c r="D316" s="2489"/>
      <c r="E316" s="2489"/>
      <c r="F316" s="2489"/>
      <c r="U316" s="2489"/>
    </row>
    <row r="317" spans="1:21" hidden="1">
      <c r="A317" s="2489"/>
      <c r="B317" s="2489"/>
      <c r="C317" s="2489"/>
      <c r="D317" s="2489"/>
      <c r="E317" s="2489"/>
      <c r="F317" s="2489"/>
      <c r="U317" s="2489"/>
    </row>
    <row r="318" spans="1:21" hidden="1">
      <c r="A318" s="2489"/>
      <c r="B318" s="2489"/>
      <c r="C318" s="2489"/>
      <c r="D318" s="2489"/>
      <c r="E318" s="2489"/>
      <c r="F318" s="2489"/>
      <c r="U318" s="2489"/>
    </row>
    <row r="319" spans="1:21" hidden="1">
      <c r="A319" s="2489"/>
      <c r="B319" s="2489"/>
      <c r="C319" s="2489"/>
      <c r="D319" s="2489"/>
      <c r="E319" s="2489"/>
      <c r="F319" s="2489"/>
      <c r="U319" s="2489"/>
    </row>
    <row r="320" spans="1:21" hidden="1">
      <c r="A320" s="2489"/>
      <c r="B320" s="2489"/>
      <c r="C320" s="2489"/>
      <c r="D320" s="2489"/>
      <c r="E320" s="2489"/>
      <c r="F320" s="2489"/>
      <c r="U320" s="2489"/>
    </row>
    <row r="321" spans="1:21" hidden="1">
      <c r="A321" s="2489"/>
      <c r="B321" s="2489"/>
      <c r="C321" s="2489"/>
      <c r="D321" s="2489"/>
      <c r="E321" s="2489"/>
      <c r="F321" s="2489"/>
      <c r="U321" s="2489"/>
    </row>
    <row r="322" spans="1:21" hidden="1">
      <c r="A322" s="2489"/>
      <c r="B322" s="2489"/>
      <c r="C322" s="2489"/>
      <c r="D322" s="2489"/>
      <c r="E322" s="2489"/>
      <c r="F322" s="2489"/>
      <c r="U322" s="2489"/>
    </row>
    <row r="323" spans="1:21" hidden="1">
      <c r="A323" s="2489"/>
      <c r="B323" s="2489"/>
      <c r="C323" s="2489"/>
      <c r="D323" s="2489"/>
      <c r="E323" s="2489"/>
      <c r="F323" s="2489"/>
      <c r="U323" s="2489"/>
    </row>
    <row r="324" spans="1:21" hidden="1">
      <c r="A324" s="2489"/>
      <c r="B324" s="2489"/>
      <c r="C324" s="2489"/>
      <c r="D324" s="2489"/>
      <c r="E324" s="2489"/>
      <c r="F324" s="2489"/>
      <c r="U324" s="2489"/>
    </row>
    <row r="325" spans="1:21" hidden="1">
      <c r="A325" s="2489"/>
      <c r="B325" s="2489"/>
      <c r="C325" s="2489"/>
      <c r="D325" s="2489"/>
      <c r="E325" s="2489"/>
      <c r="F325" s="2489"/>
      <c r="U325" s="2489"/>
    </row>
    <row r="326" spans="1:21" hidden="1">
      <c r="A326" s="2489"/>
      <c r="B326" s="2489"/>
      <c r="C326" s="2489"/>
      <c r="D326" s="2489"/>
      <c r="E326" s="2489"/>
      <c r="F326" s="2489"/>
      <c r="U326" s="2489"/>
    </row>
    <row r="327" spans="1:21" hidden="1">
      <c r="A327" s="2489"/>
      <c r="B327" s="2489"/>
      <c r="C327" s="2489"/>
      <c r="D327" s="2489"/>
      <c r="E327" s="2489"/>
      <c r="F327" s="2489"/>
      <c r="U327" s="2489"/>
    </row>
    <row r="328" spans="1:21" hidden="1">
      <c r="A328" s="2489"/>
      <c r="B328" s="2489"/>
      <c r="C328" s="2489"/>
      <c r="D328" s="2489"/>
      <c r="E328" s="2489"/>
      <c r="F328" s="2489"/>
      <c r="U328" s="2489"/>
    </row>
    <row r="329" spans="1:21" hidden="1">
      <c r="A329" s="2489"/>
      <c r="B329" s="2489"/>
      <c r="C329" s="2489"/>
      <c r="D329" s="2489"/>
      <c r="E329" s="2489"/>
      <c r="F329" s="2489"/>
      <c r="U329" s="2489"/>
    </row>
    <row r="330" spans="1:21" hidden="1">
      <c r="A330" s="2489"/>
      <c r="B330" s="2489"/>
      <c r="C330" s="2489"/>
      <c r="D330" s="2489"/>
      <c r="E330" s="2489"/>
      <c r="F330" s="2489"/>
      <c r="U330" s="2489"/>
    </row>
    <row r="331" spans="1:21" hidden="1">
      <c r="A331" s="2489"/>
      <c r="B331" s="2489"/>
      <c r="C331" s="2489"/>
      <c r="D331" s="2489"/>
      <c r="E331" s="2489"/>
      <c r="F331" s="2489"/>
      <c r="U331" s="2489"/>
    </row>
    <row r="332" spans="1:21" hidden="1">
      <c r="A332" s="2489"/>
      <c r="B332" s="2489"/>
      <c r="C332" s="2489"/>
      <c r="D332" s="2489"/>
      <c r="E332" s="2489"/>
      <c r="F332" s="2489"/>
      <c r="U332" s="2489"/>
    </row>
    <row r="333" spans="1:21" hidden="1">
      <c r="A333" s="2489"/>
      <c r="B333" s="2489"/>
      <c r="C333" s="2489"/>
      <c r="D333" s="2489"/>
      <c r="E333" s="2489"/>
      <c r="F333" s="2489"/>
      <c r="U333" s="2489"/>
    </row>
    <row r="334" spans="1:21" hidden="1">
      <c r="A334" s="2489"/>
      <c r="B334" s="2489"/>
      <c r="C334" s="2489"/>
      <c r="D334" s="2489"/>
      <c r="E334" s="2489"/>
      <c r="F334" s="2489"/>
      <c r="U334" s="2489"/>
    </row>
    <row r="335" spans="1:21" hidden="1">
      <c r="A335" s="2489"/>
      <c r="B335" s="2489"/>
      <c r="C335" s="2489"/>
      <c r="D335" s="2489"/>
      <c r="E335" s="2489"/>
      <c r="F335" s="2489"/>
      <c r="U335" s="2489"/>
    </row>
    <row r="336" spans="1:21" hidden="1">
      <c r="A336" s="2489"/>
      <c r="B336" s="2489"/>
      <c r="C336" s="2489"/>
      <c r="D336" s="2489"/>
      <c r="E336" s="2489"/>
      <c r="F336" s="2489"/>
      <c r="U336" s="2489"/>
    </row>
    <row r="337" spans="1:21" hidden="1">
      <c r="A337" s="2489"/>
      <c r="B337" s="2489"/>
      <c r="C337" s="2489"/>
      <c r="D337" s="2489"/>
      <c r="E337" s="2489"/>
      <c r="F337" s="2489"/>
      <c r="U337" s="2489"/>
    </row>
    <row r="338" spans="1:21" hidden="1">
      <c r="A338" s="2489"/>
      <c r="B338" s="2489"/>
      <c r="C338" s="2489"/>
      <c r="D338" s="2489"/>
      <c r="E338" s="2489"/>
      <c r="F338" s="2489"/>
      <c r="U338" s="2489"/>
    </row>
    <row r="339" spans="1:21" hidden="1">
      <c r="A339" s="2489"/>
      <c r="B339" s="2489"/>
      <c r="C339" s="2489"/>
      <c r="D339" s="2489"/>
      <c r="E339" s="2489"/>
      <c r="F339" s="2489"/>
      <c r="U339" s="2489"/>
    </row>
    <row r="340" spans="1:21" hidden="1">
      <c r="A340" s="2489"/>
      <c r="B340" s="2489"/>
      <c r="C340" s="2489"/>
      <c r="D340" s="2489"/>
      <c r="E340" s="2489"/>
      <c r="F340" s="2489"/>
      <c r="U340" s="2489"/>
    </row>
    <row r="341" spans="1:21" hidden="1">
      <c r="A341" s="2489"/>
      <c r="B341" s="2489"/>
      <c r="C341" s="2489"/>
      <c r="D341" s="2489"/>
      <c r="E341" s="2489"/>
      <c r="F341" s="2489"/>
      <c r="U341" s="2489"/>
    </row>
    <row r="342" spans="1:21" hidden="1">
      <c r="A342" s="2489"/>
      <c r="B342" s="2489"/>
      <c r="C342" s="2489"/>
      <c r="D342" s="2489"/>
      <c r="E342" s="2489"/>
      <c r="F342" s="2489"/>
      <c r="U342" s="2489"/>
    </row>
    <row r="343" spans="1:21" hidden="1">
      <c r="A343" s="2489"/>
      <c r="B343" s="2489"/>
      <c r="C343" s="2489"/>
      <c r="D343" s="2489"/>
      <c r="E343" s="2489"/>
      <c r="F343" s="2489"/>
      <c r="U343" s="2489"/>
    </row>
    <row r="344" spans="1:21" hidden="1">
      <c r="A344" s="2489"/>
      <c r="B344" s="2489"/>
      <c r="C344" s="2489"/>
      <c r="D344" s="2489"/>
      <c r="E344" s="2489"/>
      <c r="F344" s="2489"/>
      <c r="U344" s="2489"/>
    </row>
    <row r="345" spans="1:21" hidden="1">
      <c r="A345" s="2489"/>
      <c r="B345" s="2489"/>
      <c r="C345" s="2489"/>
      <c r="D345" s="2489"/>
      <c r="E345" s="2489"/>
      <c r="F345" s="2489"/>
      <c r="U345" s="2489"/>
    </row>
    <row r="346" spans="1:21" hidden="1">
      <c r="A346" s="2489"/>
      <c r="B346" s="2489"/>
      <c r="C346" s="2489"/>
      <c r="D346" s="2489"/>
      <c r="E346" s="2489"/>
      <c r="F346" s="2489"/>
      <c r="U346" s="2489"/>
    </row>
    <row r="347" spans="1:21" hidden="1">
      <c r="A347" s="2489"/>
      <c r="B347" s="2489"/>
      <c r="C347" s="2489"/>
      <c r="D347" s="2489"/>
      <c r="E347" s="2489"/>
      <c r="F347" s="2489"/>
      <c r="U347" s="2489"/>
    </row>
    <row r="348" spans="1:21" hidden="1">
      <c r="A348" s="2489"/>
      <c r="B348" s="2489"/>
      <c r="C348" s="2489"/>
      <c r="D348" s="2489"/>
      <c r="E348" s="2489"/>
      <c r="F348" s="2489"/>
      <c r="U348" s="2489"/>
    </row>
    <row r="349" spans="1:21" hidden="1">
      <c r="A349" s="2489"/>
      <c r="B349" s="2489"/>
      <c r="C349" s="2489"/>
      <c r="D349" s="2489"/>
      <c r="E349" s="2489"/>
      <c r="F349" s="2489"/>
      <c r="U349" s="2489"/>
    </row>
    <row r="350" spans="1:21" hidden="1">
      <c r="A350" s="2489"/>
      <c r="B350" s="2489"/>
      <c r="C350" s="2489"/>
      <c r="D350" s="2489"/>
      <c r="E350" s="2489"/>
      <c r="F350" s="2489"/>
      <c r="U350" s="2489"/>
    </row>
    <row r="351" spans="1:21" hidden="1">
      <c r="A351" s="2489"/>
      <c r="B351" s="2489"/>
      <c r="C351" s="2489"/>
      <c r="D351" s="2489"/>
      <c r="E351" s="2489"/>
      <c r="F351" s="2489"/>
      <c r="U351" s="2489"/>
    </row>
    <row r="352" spans="1:21" hidden="1">
      <c r="A352" s="2489"/>
      <c r="B352" s="2489"/>
      <c r="C352" s="2489"/>
      <c r="D352" s="2489"/>
      <c r="E352" s="2489"/>
      <c r="F352" s="2489"/>
      <c r="U352" s="2489"/>
    </row>
    <row r="353" spans="1:21" hidden="1">
      <c r="A353" s="2489"/>
      <c r="B353" s="2489"/>
      <c r="C353" s="2489"/>
      <c r="D353" s="2489"/>
      <c r="E353" s="2489"/>
      <c r="F353" s="2489"/>
      <c r="U353" s="2489"/>
    </row>
    <row r="354" spans="1:21" hidden="1">
      <c r="A354" s="2489"/>
      <c r="B354" s="2489"/>
      <c r="C354" s="2489"/>
      <c r="D354" s="2489"/>
      <c r="E354" s="2489"/>
      <c r="F354" s="2489"/>
      <c r="U354" s="2489"/>
    </row>
    <row r="355" spans="1:21" hidden="1">
      <c r="A355" s="2489"/>
      <c r="B355" s="2489"/>
      <c r="C355" s="2489"/>
      <c r="D355" s="2489"/>
      <c r="E355" s="2489"/>
      <c r="F355" s="2489"/>
      <c r="U355" s="2489"/>
    </row>
    <row r="356" spans="1:21" hidden="1">
      <c r="A356" s="2489"/>
      <c r="B356" s="2489"/>
      <c r="C356" s="2489"/>
      <c r="D356" s="2489"/>
      <c r="E356" s="2489"/>
      <c r="F356" s="2489"/>
      <c r="U356" s="2489"/>
    </row>
    <row r="357" spans="1:21" hidden="1">
      <c r="A357" s="2489"/>
      <c r="B357" s="2489"/>
      <c r="C357" s="2489"/>
      <c r="D357" s="2489"/>
      <c r="E357" s="2489"/>
      <c r="F357" s="2489"/>
      <c r="U357" s="2489"/>
    </row>
    <row r="358" spans="1:21" hidden="1">
      <c r="A358" s="2489"/>
      <c r="B358" s="2489"/>
      <c r="C358" s="2489"/>
      <c r="D358" s="2489"/>
      <c r="E358" s="2489"/>
      <c r="F358" s="2489"/>
      <c r="U358" s="2489"/>
    </row>
    <row r="359" spans="1:21" hidden="1">
      <c r="A359" s="2489"/>
      <c r="B359" s="2489"/>
      <c r="C359" s="2489"/>
      <c r="D359" s="2489"/>
      <c r="E359" s="2489"/>
      <c r="F359" s="2489"/>
      <c r="U359" s="2489"/>
    </row>
    <row r="360" spans="1:21" hidden="1">
      <c r="A360" s="2489"/>
      <c r="B360" s="2489"/>
      <c r="C360" s="2489"/>
      <c r="D360" s="2489"/>
      <c r="E360" s="2489"/>
      <c r="F360" s="2489"/>
      <c r="U360" s="2489"/>
    </row>
    <row r="361" spans="1:21" hidden="1">
      <c r="A361" s="2489"/>
      <c r="B361" s="2489"/>
      <c r="C361" s="2489"/>
      <c r="D361" s="2489"/>
      <c r="E361" s="2489"/>
      <c r="F361" s="2489"/>
      <c r="U361" s="2489"/>
    </row>
    <row r="362" spans="1:21" hidden="1">
      <c r="A362" s="2489"/>
      <c r="B362" s="2489"/>
      <c r="C362" s="2489"/>
      <c r="D362" s="2489"/>
      <c r="E362" s="2489"/>
      <c r="F362" s="2489"/>
      <c r="U362" s="2489"/>
    </row>
    <row r="363" spans="1:21" hidden="1">
      <c r="A363" s="2489"/>
      <c r="B363" s="2489"/>
      <c r="C363" s="2489"/>
      <c r="D363" s="2489"/>
      <c r="E363" s="2489"/>
      <c r="F363" s="2489"/>
      <c r="U363" s="2489"/>
    </row>
    <row r="364" spans="1:21" hidden="1">
      <c r="A364" s="2489"/>
      <c r="B364" s="2489"/>
      <c r="C364" s="2489"/>
      <c r="D364" s="2489"/>
      <c r="E364" s="2489"/>
      <c r="F364" s="2489"/>
      <c r="U364" s="2489"/>
    </row>
    <row r="365" spans="1:21" hidden="1">
      <c r="A365" s="2489"/>
      <c r="B365" s="2489"/>
      <c r="C365" s="2489"/>
      <c r="D365" s="2489"/>
      <c r="E365" s="2489"/>
      <c r="F365" s="2489"/>
      <c r="U365" s="2489"/>
    </row>
    <row r="366" spans="1:21" hidden="1">
      <c r="A366" s="2489"/>
      <c r="B366" s="2489"/>
      <c r="C366" s="2489"/>
      <c r="D366" s="2489"/>
      <c r="E366" s="2489"/>
      <c r="F366" s="2489"/>
      <c r="U366" s="2489"/>
    </row>
    <row r="367" spans="1:21" hidden="1">
      <c r="A367" s="2489"/>
      <c r="B367" s="2489"/>
      <c r="C367" s="2489"/>
      <c r="D367" s="2489"/>
      <c r="E367" s="2489"/>
      <c r="F367" s="2489"/>
      <c r="U367" s="2489"/>
    </row>
    <row r="368" spans="1:21" hidden="1">
      <c r="A368" s="2489"/>
      <c r="B368" s="2489"/>
      <c r="C368" s="2489"/>
      <c r="D368" s="2489"/>
      <c r="E368" s="2489"/>
      <c r="F368" s="2489"/>
      <c r="U368" s="2489"/>
    </row>
    <row r="369" spans="1:21" hidden="1">
      <c r="A369" s="2489"/>
      <c r="B369" s="2489"/>
      <c r="C369" s="2489"/>
      <c r="D369" s="2489"/>
      <c r="E369" s="2489"/>
      <c r="F369" s="2489"/>
      <c r="U369" s="2489"/>
    </row>
    <row r="370" spans="1:21" hidden="1">
      <c r="A370" s="2489"/>
      <c r="B370" s="2489"/>
      <c r="C370" s="2489"/>
      <c r="D370" s="2489"/>
      <c r="E370" s="2489"/>
      <c r="F370" s="2489"/>
      <c r="U370" s="2489"/>
    </row>
    <row r="371" spans="1:21" hidden="1">
      <c r="A371" s="2489"/>
      <c r="B371" s="2489"/>
      <c r="C371" s="2489"/>
      <c r="D371" s="2489"/>
      <c r="E371" s="2489"/>
      <c r="F371" s="2489"/>
      <c r="U371" s="2489"/>
    </row>
    <row r="372" spans="1:21" hidden="1">
      <c r="A372" s="2489"/>
      <c r="B372" s="2489"/>
      <c r="C372" s="2489"/>
      <c r="D372" s="2489"/>
      <c r="E372" s="2489"/>
      <c r="F372" s="2489"/>
      <c r="U372" s="2489"/>
    </row>
    <row r="373" spans="1:21" hidden="1">
      <c r="A373" s="2489"/>
      <c r="B373" s="2489"/>
      <c r="C373" s="2489"/>
      <c r="D373" s="2489"/>
      <c r="E373" s="2489"/>
      <c r="F373" s="2489"/>
      <c r="U373" s="2489"/>
    </row>
    <row r="374" spans="1:21" hidden="1">
      <c r="A374" s="2489"/>
      <c r="B374" s="2489"/>
      <c r="C374" s="2489"/>
      <c r="D374" s="2489"/>
      <c r="E374" s="2489"/>
      <c r="F374" s="2489"/>
      <c r="U374" s="2489"/>
    </row>
    <row r="375" spans="1:21" hidden="1">
      <c r="A375" s="2489"/>
      <c r="B375" s="2489"/>
      <c r="C375" s="2489"/>
      <c r="D375" s="2489"/>
      <c r="E375" s="2489"/>
      <c r="F375" s="2489"/>
      <c r="U375" s="2489"/>
    </row>
    <row r="376" spans="1:21" hidden="1">
      <c r="A376" s="2489"/>
      <c r="B376" s="2489"/>
      <c r="C376" s="2489"/>
      <c r="D376" s="2489"/>
      <c r="E376" s="2489"/>
      <c r="F376" s="2489"/>
      <c r="U376" s="2489"/>
    </row>
    <row r="377" spans="1:21" hidden="1">
      <c r="A377" s="2489"/>
      <c r="B377" s="2489"/>
      <c r="C377" s="2489"/>
      <c r="D377" s="2489"/>
      <c r="E377" s="2489"/>
      <c r="F377" s="2489"/>
      <c r="U377" s="2489"/>
    </row>
    <row r="378" spans="1:21" hidden="1">
      <c r="A378" s="2489"/>
      <c r="B378" s="2489"/>
      <c r="C378" s="2489"/>
      <c r="D378" s="2489"/>
      <c r="E378" s="2489"/>
      <c r="F378" s="2489"/>
      <c r="U378" s="2489"/>
    </row>
    <row r="379" spans="1:21" hidden="1">
      <c r="A379" s="2489"/>
      <c r="B379" s="2489"/>
      <c r="C379" s="2489"/>
      <c r="D379" s="2489"/>
      <c r="E379" s="2489"/>
      <c r="F379" s="2489"/>
      <c r="U379" s="2489"/>
    </row>
    <row r="380" spans="1:21" hidden="1">
      <c r="A380" s="2489"/>
      <c r="B380" s="2489"/>
      <c r="C380" s="2489"/>
      <c r="D380" s="2489"/>
      <c r="E380" s="2489"/>
      <c r="F380" s="2489"/>
      <c r="U380" s="2489"/>
    </row>
    <row r="381" spans="1:21" hidden="1">
      <c r="A381" s="2489"/>
      <c r="B381" s="2489"/>
      <c r="C381" s="2489"/>
      <c r="D381" s="2489"/>
      <c r="E381" s="2489"/>
      <c r="F381" s="2489"/>
      <c r="U381" s="2489"/>
    </row>
    <row r="382" spans="1:21" hidden="1">
      <c r="A382" s="2489"/>
      <c r="B382" s="2489"/>
      <c r="C382" s="2489"/>
      <c r="D382" s="2489"/>
      <c r="E382" s="2489"/>
      <c r="F382" s="2489"/>
      <c r="U382" s="2489"/>
    </row>
    <row r="383" spans="1:21" hidden="1">
      <c r="A383" s="2489"/>
      <c r="B383" s="2489"/>
      <c r="C383" s="2489"/>
      <c r="D383" s="2489"/>
      <c r="E383" s="2489"/>
      <c r="F383" s="2489"/>
      <c r="U383" s="2489"/>
    </row>
    <row r="384" spans="1:21" hidden="1">
      <c r="A384" s="2489"/>
      <c r="B384" s="2489"/>
      <c r="C384" s="2489"/>
      <c r="D384" s="2489"/>
      <c r="E384" s="2489"/>
      <c r="F384" s="2489"/>
      <c r="U384" s="2489"/>
    </row>
    <row r="385" spans="1:21" hidden="1">
      <c r="A385" s="2489"/>
      <c r="B385" s="2489"/>
      <c r="C385" s="2489"/>
      <c r="D385" s="2489"/>
      <c r="E385" s="2489"/>
      <c r="F385" s="2489"/>
      <c r="U385" s="2489"/>
    </row>
    <row r="386" spans="1:21" hidden="1">
      <c r="A386" s="2489"/>
      <c r="B386" s="2489"/>
      <c r="C386" s="2489"/>
      <c r="D386" s="2489"/>
      <c r="E386" s="2489"/>
      <c r="F386" s="2489"/>
      <c r="U386" s="2489"/>
    </row>
    <row r="387" spans="1:21" hidden="1">
      <c r="A387" s="2489"/>
      <c r="B387" s="2489"/>
      <c r="C387" s="2489"/>
      <c r="D387" s="2489"/>
      <c r="E387" s="2489"/>
      <c r="F387" s="2489"/>
      <c r="U387" s="2489"/>
    </row>
    <row r="388" spans="1:21" hidden="1">
      <c r="A388" s="2489"/>
      <c r="B388" s="2489"/>
      <c r="C388" s="2489"/>
      <c r="D388" s="2489"/>
      <c r="E388" s="2489"/>
      <c r="F388" s="2489"/>
      <c r="U388" s="2489"/>
    </row>
    <row r="389" spans="1:21" hidden="1">
      <c r="A389" s="2489"/>
      <c r="B389" s="2489"/>
      <c r="C389" s="2489"/>
      <c r="D389" s="2489"/>
      <c r="E389" s="2489"/>
      <c r="F389" s="2489"/>
      <c r="U389" s="2489"/>
    </row>
    <row r="390" spans="1:21" hidden="1">
      <c r="A390" s="2489"/>
      <c r="B390" s="2489"/>
      <c r="C390" s="2489"/>
      <c r="D390" s="2489"/>
      <c r="E390" s="2489"/>
      <c r="F390" s="2489"/>
      <c r="U390" s="2489"/>
    </row>
    <row r="391" spans="1:21" hidden="1">
      <c r="A391" s="2489"/>
      <c r="B391" s="2489"/>
      <c r="C391" s="2489"/>
      <c r="D391" s="2489"/>
      <c r="E391" s="2489"/>
      <c r="F391" s="2489"/>
      <c r="U391" s="2489"/>
    </row>
    <row r="392" spans="1:21" hidden="1">
      <c r="A392" s="2489"/>
      <c r="B392" s="2489"/>
      <c r="C392" s="2489"/>
      <c r="D392" s="2489"/>
      <c r="E392" s="2489"/>
      <c r="F392" s="2489"/>
      <c r="U392" s="2489"/>
    </row>
    <row r="393" spans="1:21" hidden="1">
      <c r="A393" s="2489"/>
      <c r="B393" s="2489"/>
      <c r="C393" s="2489"/>
      <c r="D393" s="2489"/>
      <c r="E393" s="2489"/>
      <c r="F393" s="2489"/>
      <c r="U393" s="2489"/>
    </row>
    <row r="394" spans="1:21" hidden="1">
      <c r="A394" s="2489"/>
      <c r="B394" s="2489"/>
      <c r="C394" s="2489"/>
      <c r="D394" s="2489"/>
      <c r="E394" s="2489"/>
      <c r="F394" s="2489"/>
      <c r="U394" s="2489"/>
    </row>
    <row r="395" spans="1:21" hidden="1">
      <c r="A395" s="2489"/>
      <c r="B395" s="2489"/>
      <c r="C395" s="2489"/>
      <c r="D395" s="2489"/>
      <c r="E395" s="2489"/>
      <c r="F395" s="2489"/>
      <c r="U395" s="2489"/>
    </row>
    <row r="396" spans="1:21" hidden="1">
      <c r="A396" s="2489"/>
      <c r="B396" s="2489"/>
      <c r="C396" s="2489"/>
      <c r="D396" s="2489"/>
      <c r="E396" s="2489"/>
      <c r="F396" s="2489"/>
      <c r="U396" s="2489"/>
    </row>
    <row r="397" spans="1:21" hidden="1">
      <c r="A397" s="2489"/>
      <c r="B397" s="2489"/>
      <c r="C397" s="2489"/>
      <c r="D397" s="2489"/>
      <c r="E397" s="2489"/>
      <c r="F397" s="2489"/>
      <c r="U397" s="2489"/>
    </row>
    <row r="398" spans="1:21" hidden="1">
      <c r="A398" s="2489"/>
      <c r="B398" s="2489"/>
      <c r="C398" s="2489"/>
      <c r="D398" s="2489"/>
      <c r="E398" s="2489"/>
      <c r="F398" s="2489"/>
      <c r="U398" s="2489"/>
    </row>
    <row r="399" spans="1:21" hidden="1">
      <c r="A399" s="2489"/>
      <c r="B399" s="2489"/>
      <c r="C399" s="2489"/>
      <c r="D399" s="2489"/>
      <c r="E399" s="2489"/>
      <c r="F399" s="2489"/>
      <c r="U399" s="2489"/>
    </row>
    <row r="400" spans="1:21" hidden="1">
      <c r="A400" s="2489"/>
      <c r="B400" s="2489"/>
      <c r="C400" s="2489"/>
      <c r="D400" s="2489"/>
      <c r="E400" s="2489"/>
      <c r="F400" s="2489"/>
      <c r="U400" s="2489"/>
    </row>
    <row r="401" spans="1:21" hidden="1">
      <c r="A401" s="2489"/>
      <c r="B401" s="2489"/>
      <c r="C401" s="2489"/>
      <c r="D401" s="2489"/>
      <c r="E401" s="2489"/>
      <c r="F401" s="2489"/>
      <c r="U401" s="2489"/>
    </row>
    <row r="402" spans="1:21" hidden="1">
      <c r="A402" s="2489"/>
      <c r="B402" s="2489"/>
      <c r="C402" s="2489"/>
      <c r="D402" s="2489"/>
      <c r="E402" s="2489"/>
      <c r="F402" s="2489"/>
      <c r="U402" s="2489"/>
    </row>
    <row r="403" spans="1:21" hidden="1">
      <c r="A403" s="2489"/>
      <c r="B403" s="2489"/>
      <c r="C403" s="2489"/>
      <c r="D403" s="2489"/>
      <c r="E403" s="2489"/>
      <c r="F403" s="2489"/>
      <c r="U403" s="2489"/>
    </row>
    <row r="404" spans="1:21" hidden="1">
      <c r="A404" s="2489"/>
      <c r="B404" s="2489"/>
      <c r="C404" s="2489"/>
      <c r="D404" s="2489"/>
      <c r="E404" s="2489"/>
      <c r="F404" s="2489"/>
      <c r="U404" s="2489"/>
    </row>
    <row r="405" spans="1:21" hidden="1">
      <c r="A405" s="2489"/>
      <c r="B405" s="2489"/>
      <c r="C405" s="2489"/>
      <c r="D405" s="2489"/>
      <c r="E405" s="2489"/>
      <c r="F405" s="2489"/>
      <c r="U405" s="2489"/>
    </row>
    <row r="406" spans="1:21" hidden="1">
      <c r="A406" s="2489"/>
      <c r="B406" s="2489"/>
      <c r="C406" s="2489"/>
      <c r="D406" s="2489"/>
      <c r="E406" s="2489"/>
      <c r="F406" s="2489"/>
      <c r="U406" s="2489"/>
    </row>
    <row r="407" spans="1:21" hidden="1">
      <c r="A407" s="2489"/>
      <c r="B407" s="2489"/>
      <c r="C407" s="2489"/>
      <c r="D407" s="2489"/>
      <c r="E407" s="2489"/>
      <c r="F407" s="2489"/>
      <c r="U407" s="2489"/>
    </row>
    <row r="408" spans="1:21" hidden="1">
      <c r="A408" s="2489"/>
      <c r="B408" s="2489"/>
      <c r="C408" s="2489"/>
      <c r="D408" s="2489"/>
      <c r="E408" s="2489"/>
      <c r="F408" s="2489"/>
      <c r="U408" s="2489"/>
    </row>
    <row r="409" spans="1:21" hidden="1">
      <c r="A409" s="2489"/>
      <c r="B409" s="2489"/>
      <c r="C409" s="2489"/>
      <c r="D409" s="2489"/>
      <c r="E409" s="2489"/>
      <c r="F409" s="2489"/>
      <c r="U409" s="2489"/>
    </row>
    <row r="410" spans="1:21" hidden="1">
      <c r="A410" s="2489"/>
      <c r="B410" s="2489"/>
      <c r="C410" s="2489"/>
      <c r="D410" s="2489"/>
      <c r="E410" s="2489"/>
      <c r="F410" s="2489"/>
      <c r="U410" s="2489"/>
    </row>
    <row r="411" spans="1:21" hidden="1">
      <c r="A411" s="2489"/>
      <c r="B411" s="2489"/>
      <c r="C411" s="2489"/>
      <c r="D411" s="2489"/>
      <c r="E411" s="2489"/>
      <c r="F411" s="2489"/>
      <c r="U411" s="2489"/>
    </row>
    <row r="412" spans="1:21" hidden="1">
      <c r="A412" s="2489"/>
      <c r="B412" s="2489"/>
      <c r="C412" s="2489"/>
      <c r="D412" s="2489"/>
      <c r="E412" s="2489"/>
      <c r="F412" s="2489"/>
      <c r="U412" s="2489"/>
    </row>
    <row r="413" spans="1:21" hidden="1">
      <c r="A413" s="2489"/>
      <c r="B413" s="2489"/>
      <c r="C413" s="2489"/>
      <c r="D413" s="2489"/>
      <c r="E413" s="2489"/>
      <c r="F413" s="2489"/>
      <c r="U413" s="2489"/>
    </row>
    <row r="414" spans="1:21" hidden="1">
      <c r="A414" s="2489"/>
      <c r="B414" s="2489"/>
      <c r="C414" s="2489"/>
      <c r="D414" s="2489"/>
      <c r="E414" s="2489"/>
      <c r="F414" s="2489"/>
      <c r="U414" s="2489"/>
    </row>
    <row r="415" spans="1:21" hidden="1">
      <c r="A415" s="2489"/>
      <c r="B415" s="2489"/>
      <c r="C415" s="2489"/>
      <c r="D415" s="2489"/>
      <c r="E415" s="2489"/>
      <c r="F415" s="2489"/>
      <c r="U415" s="2489"/>
    </row>
    <row r="416" spans="1:21">
      <c r="A416" s="2489"/>
      <c r="B416" s="2489"/>
      <c r="C416" s="2489"/>
      <c r="D416" s="2489"/>
      <c r="E416" s="2489"/>
      <c r="F416" s="2489"/>
      <c r="U416" s="2489"/>
    </row>
    <row r="417" spans="1:21">
      <c r="A417" s="2489"/>
      <c r="B417" s="2489"/>
      <c r="C417" s="2489"/>
      <c r="D417" s="2489"/>
      <c r="E417" s="2489"/>
      <c r="F417" s="2489"/>
      <c r="U417" s="2489"/>
    </row>
    <row r="418" spans="1:21">
      <c r="A418" s="2489"/>
      <c r="B418" s="2489"/>
      <c r="C418" s="2489"/>
      <c r="D418" s="2489"/>
      <c r="E418" s="2489"/>
      <c r="F418" s="2489"/>
      <c r="U418" s="2489"/>
    </row>
    <row r="419" spans="1:21">
      <c r="A419" s="2489"/>
      <c r="B419" s="2489"/>
      <c r="C419" s="2489"/>
      <c r="D419" s="2489"/>
      <c r="E419" s="2489"/>
      <c r="F419" s="2489"/>
      <c r="U419" s="2489"/>
    </row>
    <row r="420" spans="1:21">
      <c r="A420" s="2489"/>
      <c r="B420" s="2489"/>
      <c r="C420" s="2489"/>
      <c r="D420" s="2489"/>
      <c r="E420" s="2489"/>
      <c r="F420" s="2489"/>
      <c r="U420" s="2489"/>
    </row>
    <row r="421" spans="1:21">
      <c r="A421" s="2489"/>
      <c r="B421" s="2489"/>
      <c r="C421" s="2489"/>
      <c r="D421" s="2489"/>
      <c r="E421" s="2489"/>
      <c r="F421" s="2489"/>
      <c r="U421" s="2489"/>
    </row>
    <row r="422" spans="1:21">
      <c r="A422" s="2489"/>
      <c r="B422" s="2489"/>
      <c r="C422" s="2489"/>
      <c r="D422" s="2489"/>
      <c r="E422" s="2489"/>
      <c r="F422" s="2489"/>
      <c r="U422" s="2489"/>
    </row>
    <row r="423" spans="1:21">
      <c r="A423" s="2489"/>
      <c r="B423" s="2489"/>
      <c r="C423" s="2489"/>
      <c r="D423" s="2489"/>
      <c r="E423" s="2489"/>
      <c r="F423" s="2489"/>
      <c r="U423" s="2489"/>
    </row>
    <row r="424" spans="1:21">
      <c r="A424" s="2489"/>
      <c r="B424" s="2489"/>
      <c r="C424" s="2489"/>
      <c r="D424" s="2489"/>
      <c r="E424" s="2489"/>
      <c r="F424" s="2489"/>
      <c r="U424" s="2489"/>
    </row>
    <row r="425" spans="1:21">
      <c r="A425" s="2489"/>
      <c r="B425" s="2489"/>
      <c r="C425" s="2489"/>
      <c r="D425" s="2489"/>
      <c r="E425" s="2489"/>
      <c r="F425" s="2489"/>
      <c r="U425" s="2489"/>
    </row>
    <row r="426" spans="1:21">
      <c r="A426" s="2489"/>
      <c r="B426" s="2489"/>
      <c r="C426" s="2489"/>
      <c r="D426" s="2489"/>
      <c r="E426" s="2489"/>
      <c r="F426" s="2489"/>
      <c r="U426" s="2489"/>
    </row>
    <row r="427" spans="1:21">
      <c r="A427" s="2489"/>
      <c r="B427" s="2489"/>
      <c r="C427" s="2489"/>
      <c r="D427" s="2489"/>
      <c r="E427" s="2489"/>
      <c r="F427" s="2489"/>
      <c r="U427" s="2489"/>
    </row>
    <row r="428" spans="1:21">
      <c r="A428" s="2489"/>
      <c r="B428" s="2489"/>
      <c r="C428" s="2489"/>
      <c r="D428" s="2489"/>
      <c r="E428" s="2489"/>
      <c r="F428" s="2489"/>
      <c r="U428" s="2489"/>
    </row>
    <row r="429" spans="1:21">
      <c r="A429" s="2489"/>
      <c r="B429" s="2489"/>
      <c r="C429" s="2489"/>
      <c r="D429" s="2489"/>
      <c r="E429" s="2489"/>
      <c r="F429" s="2489"/>
      <c r="U429" s="2489"/>
    </row>
    <row r="430" spans="1:21">
      <c r="A430" s="2489"/>
      <c r="B430" s="2489"/>
      <c r="C430" s="2489"/>
      <c r="D430" s="2489"/>
      <c r="E430" s="2489"/>
      <c r="F430" s="2489"/>
      <c r="U430" s="2489"/>
    </row>
    <row r="431" spans="1:21">
      <c r="A431" s="2489"/>
      <c r="B431" s="2489"/>
      <c r="C431" s="2489"/>
      <c r="D431" s="2489"/>
      <c r="E431" s="2489"/>
      <c r="F431" s="2489"/>
      <c r="U431" s="2489"/>
    </row>
    <row r="432" spans="1:21">
      <c r="A432" s="2489"/>
      <c r="B432" s="2489"/>
      <c r="C432" s="2489"/>
      <c r="D432" s="2489"/>
      <c r="E432" s="2489"/>
      <c r="F432" s="2489"/>
      <c r="U432" s="2489"/>
    </row>
    <row r="433" spans="1:21">
      <c r="A433" s="2489"/>
      <c r="B433" s="2489"/>
      <c r="C433" s="2489"/>
      <c r="D433" s="2489"/>
      <c r="E433" s="2489"/>
      <c r="F433" s="2489"/>
      <c r="U433" s="2489"/>
    </row>
    <row r="434" spans="1:21">
      <c r="A434" s="2489"/>
      <c r="B434" s="2489"/>
      <c r="C434" s="2489"/>
      <c r="D434" s="2489"/>
      <c r="E434" s="2489"/>
      <c r="F434" s="2489"/>
      <c r="U434" s="2489"/>
    </row>
    <row r="435" spans="1:21">
      <c r="A435" s="2489"/>
      <c r="B435" s="2489"/>
      <c r="C435" s="2489"/>
      <c r="D435" s="2489"/>
      <c r="E435" s="2489"/>
      <c r="F435" s="2489"/>
      <c r="U435" s="2489"/>
    </row>
    <row r="436" spans="1:21">
      <c r="A436" s="2489"/>
      <c r="B436" s="2489"/>
      <c r="C436" s="2489"/>
      <c r="D436" s="2489"/>
      <c r="E436" s="2489"/>
      <c r="F436" s="2489"/>
      <c r="U436" s="2489"/>
    </row>
    <row r="437" spans="1:21">
      <c r="A437" s="2489"/>
      <c r="B437" s="2489"/>
      <c r="C437" s="2489"/>
      <c r="D437" s="2489"/>
      <c r="E437" s="2489"/>
      <c r="F437" s="2489"/>
      <c r="U437" s="2489"/>
    </row>
    <row r="438" spans="1:21">
      <c r="A438" s="2489"/>
      <c r="B438" s="2489"/>
      <c r="C438" s="2489"/>
      <c r="D438" s="2489"/>
      <c r="E438" s="2489"/>
      <c r="F438" s="2489"/>
      <c r="U438" s="2489"/>
    </row>
    <row r="439" spans="1:21">
      <c r="A439" s="2489"/>
      <c r="B439" s="2489"/>
      <c r="C439" s="2489"/>
      <c r="D439" s="2489"/>
      <c r="E439" s="2489"/>
      <c r="F439" s="2489"/>
      <c r="U439" s="2489"/>
    </row>
    <row r="440" spans="1:21">
      <c r="A440" s="2489"/>
      <c r="B440" s="2489"/>
      <c r="C440" s="2489"/>
      <c r="D440" s="2489"/>
      <c r="E440" s="2489"/>
      <c r="F440" s="2489"/>
      <c r="U440" s="2489"/>
    </row>
    <row r="441" spans="1:21">
      <c r="A441" s="2489"/>
      <c r="B441" s="2489"/>
      <c r="C441" s="2489"/>
      <c r="D441" s="2489"/>
      <c r="E441" s="2489"/>
      <c r="F441" s="2489"/>
      <c r="U441" s="2489"/>
    </row>
    <row r="442" spans="1:21">
      <c r="A442" s="2489"/>
      <c r="B442" s="2489"/>
      <c r="C442" s="2489"/>
      <c r="D442" s="2489"/>
      <c r="E442" s="2489"/>
      <c r="F442" s="2489"/>
      <c r="U442" s="2489"/>
    </row>
    <row r="443" spans="1:21">
      <c r="A443" s="2489"/>
      <c r="B443" s="2489"/>
      <c r="C443" s="2489"/>
      <c r="D443" s="2489"/>
      <c r="E443" s="2489"/>
      <c r="F443" s="2489"/>
      <c r="U443" s="2489"/>
    </row>
    <row r="444" spans="1:21">
      <c r="A444" s="2489"/>
      <c r="B444" s="2489"/>
      <c r="C444" s="2489"/>
      <c r="D444" s="2489"/>
      <c r="E444" s="2489"/>
      <c r="F444" s="2489"/>
      <c r="U444" s="2489"/>
    </row>
    <row r="445" spans="1:21">
      <c r="A445" s="2489"/>
      <c r="B445" s="2489"/>
      <c r="C445" s="2489"/>
      <c r="D445" s="2489"/>
      <c r="E445" s="2489"/>
      <c r="F445" s="2489"/>
      <c r="U445" s="2489"/>
    </row>
    <row r="446" spans="1:21">
      <c r="A446" s="2489"/>
      <c r="B446" s="2489"/>
      <c r="C446" s="2489"/>
      <c r="D446" s="2489"/>
      <c r="E446" s="2489"/>
      <c r="F446" s="2489"/>
      <c r="U446" s="2489"/>
    </row>
    <row r="447" spans="1:21">
      <c r="A447" s="2489"/>
      <c r="B447" s="2489"/>
      <c r="C447" s="2489"/>
      <c r="D447" s="2489"/>
      <c r="E447" s="2489"/>
      <c r="F447" s="2489"/>
      <c r="U447" s="2489"/>
    </row>
    <row r="448" spans="1:21">
      <c r="A448" s="2489"/>
      <c r="B448" s="2489"/>
      <c r="C448" s="2489"/>
      <c r="D448" s="2489"/>
      <c r="E448" s="2489"/>
      <c r="F448" s="2489"/>
      <c r="U448" s="2489"/>
    </row>
    <row r="449" spans="1:23">
      <c r="A449" s="2489"/>
      <c r="B449" s="2489"/>
      <c r="C449" s="2489"/>
      <c r="D449" s="2489"/>
      <c r="E449" s="2489"/>
      <c r="F449" s="2489"/>
      <c r="U449" s="2489"/>
    </row>
    <row r="450" spans="1:23">
      <c r="A450" s="2489"/>
      <c r="B450" s="2489"/>
      <c r="C450" s="2489"/>
      <c r="D450" s="2489"/>
      <c r="E450" s="2489"/>
      <c r="F450" s="2489"/>
      <c r="U450" s="2489"/>
    </row>
    <row r="451" spans="1:23">
      <c r="A451" s="2489"/>
      <c r="B451" s="2489"/>
      <c r="C451" s="2489"/>
      <c r="D451" s="2489"/>
      <c r="E451" s="2489"/>
      <c r="F451" s="2489"/>
      <c r="U451" s="2489"/>
    </row>
    <row r="452" spans="1:23">
      <c r="A452" s="2489"/>
      <c r="B452" s="2489"/>
      <c r="C452" s="2489"/>
      <c r="D452" s="2489"/>
      <c r="E452" s="2489"/>
      <c r="F452" s="2489"/>
      <c r="U452" s="2489"/>
    </row>
    <row r="453" spans="1:23">
      <c r="A453" s="2489"/>
      <c r="B453" s="2489"/>
      <c r="C453" s="2489"/>
      <c r="D453" s="2489"/>
      <c r="E453" s="2489"/>
      <c r="F453" s="2489"/>
      <c r="U453" s="2489"/>
    </row>
    <row r="454" spans="1:23">
      <c r="A454" s="2489"/>
      <c r="B454" s="2489"/>
      <c r="C454" s="2489"/>
      <c r="D454" s="2489"/>
      <c r="E454" s="2489"/>
      <c r="F454" s="2489"/>
      <c r="U454" s="2489"/>
    </row>
    <row r="455" spans="1:23">
      <c r="A455" s="2489"/>
      <c r="B455" s="2489"/>
      <c r="C455" s="2489"/>
      <c r="D455" s="2489"/>
      <c r="E455" s="2489"/>
      <c r="F455" s="2489"/>
      <c r="U455" s="2489"/>
    </row>
    <row r="456" spans="1:23" ht="13.5" thickBot="1">
      <c r="A456" s="2489"/>
      <c r="B456" s="2489"/>
      <c r="C456" s="2489"/>
      <c r="D456" s="2489"/>
      <c r="E456" s="2489"/>
      <c r="F456" s="2489"/>
      <c r="U456" s="2489"/>
    </row>
    <row r="457" spans="1:23" ht="45">
      <c r="A457" s="2981" t="s">
        <v>83</v>
      </c>
      <c r="B457" s="2981"/>
      <c r="C457" s="2982"/>
      <c r="D457" s="2982"/>
      <c r="E457" s="2982"/>
      <c r="F457" s="2982"/>
      <c r="G457" s="2982"/>
      <c r="H457" s="2982"/>
      <c r="I457" s="2982"/>
      <c r="J457" s="2982"/>
      <c r="K457" s="2982"/>
      <c r="L457" s="2982"/>
      <c r="M457" s="2982"/>
      <c r="N457" s="2982"/>
      <c r="O457" s="2982"/>
      <c r="P457" s="2982"/>
      <c r="Q457" s="2982"/>
      <c r="R457" s="2982"/>
      <c r="S457" s="2982"/>
      <c r="T457" s="2982"/>
      <c r="U457" s="2982"/>
      <c r="V457" s="2983"/>
      <c r="W457" s="2983"/>
    </row>
    <row r="458" spans="1:23">
      <c r="A458" s="2489"/>
      <c r="B458" s="2489"/>
      <c r="C458" s="2489"/>
      <c r="D458" s="2489"/>
      <c r="E458" s="2489"/>
      <c r="F458" s="2489"/>
      <c r="U458" s="2489"/>
      <c r="V458" s="2486"/>
      <c r="W458" s="2486"/>
    </row>
    <row r="459" spans="1:23">
      <c r="A459" s="2489"/>
      <c r="B459" s="2489"/>
      <c r="C459" s="2489"/>
      <c r="D459" s="2489"/>
      <c r="E459" s="2489"/>
      <c r="F459" s="2489"/>
      <c r="U459" s="2489"/>
      <c r="V459" s="2486"/>
      <c r="W459" s="2486"/>
    </row>
    <row r="460" spans="1:23">
      <c r="A460" s="2489"/>
      <c r="B460" s="2489"/>
      <c r="C460" s="2489"/>
      <c r="D460" s="2489"/>
      <c r="E460" s="2489"/>
      <c r="F460" s="2489"/>
      <c r="U460" s="2489"/>
      <c r="V460" s="2486"/>
      <c r="W460" s="2486"/>
    </row>
    <row r="461" spans="1:23">
      <c r="A461" s="2489"/>
      <c r="B461" s="2489"/>
      <c r="C461" s="2489"/>
      <c r="D461" s="2489"/>
      <c r="E461" s="2489"/>
      <c r="F461" s="2489"/>
      <c r="U461" s="2489"/>
      <c r="V461" s="2486"/>
      <c r="W461" s="2486"/>
    </row>
    <row r="462" spans="1:23">
      <c r="A462" s="2489"/>
      <c r="B462" s="2489"/>
      <c r="C462" s="2489"/>
      <c r="D462" s="2489"/>
      <c r="E462" s="2489"/>
      <c r="F462" s="2489"/>
      <c r="U462" s="2489"/>
      <c r="V462" s="2486"/>
      <c r="W462" s="2486"/>
    </row>
    <row r="463" spans="1:23">
      <c r="A463" s="2489"/>
      <c r="B463" s="2489"/>
      <c r="C463" s="2489"/>
      <c r="D463" s="2489"/>
      <c r="E463" s="2489"/>
      <c r="F463" s="2489"/>
      <c r="U463" s="2489"/>
      <c r="V463" s="2486"/>
      <c r="W463" s="2486"/>
    </row>
    <row r="464" spans="1:23">
      <c r="A464" s="2489"/>
      <c r="B464" s="2489"/>
      <c r="C464" s="2489"/>
      <c r="D464" s="2489"/>
      <c r="E464" s="2489"/>
      <c r="F464" s="2489"/>
      <c r="U464" s="2489"/>
      <c r="V464" s="2486"/>
      <c r="W464" s="2486"/>
    </row>
    <row r="465" spans="1:23">
      <c r="A465" s="2489"/>
      <c r="B465" s="2489"/>
      <c r="C465" s="2489"/>
      <c r="D465" s="2489"/>
      <c r="E465" s="2489"/>
      <c r="F465" s="2489"/>
      <c r="U465" s="2489"/>
      <c r="V465" s="2486"/>
      <c r="W465" s="2486"/>
    </row>
    <row r="466" spans="1:23">
      <c r="A466" s="2489"/>
      <c r="B466" s="2489"/>
      <c r="C466" s="2489"/>
      <c r="D466" s="2489"/>
      <c r="E466" s="2489"/>
      <c r="F466" s="2489"/>
      <c r="U466" s="2489"/>
      <c r="V466" s="2486"/>
      <c r="W466" s="2486"/>
    </row>
    <row r="467" spans="1:23">
      <c r="A467" s="2489"/>
      <c r="B467" s="2489"/>
      <c r="C467" s="2489"/>
      <c r="D467" s="2489"/>
      <c r="E467" s="2489"/>
      <c r="F467" s="2489"/>
      <c r="U467" s="2489"/>
      <c r="V467" s="2486"/>
      <c r="W467" s="2486"/>
    </row>
    <row r="468" spans="1:23" ht="13.5" thickBot="1">
      <c r="A468" s="2984"/>
      <c r="B468" s="2984"/>
      <c r="C468" s="2984"/>
      <c r="D468" s="2984"/>
      <c r="E468" s="2984"/>
      <c r="F468" s="2984"/>
      <c r="G468" s="2984"/>
      <c r="H468" s="2984"/>
      <c r="I468" s="2984"/>
      <c r="J468" s="2984"/>
      <c r="K468" s="2984"/>
      <c r="L468" s="2984"/>
      <c r="M468" s="2984"/>
      <c r="N468" s="2984"/>
      <c r="O468" s="2984"/>
      <c r="P468" s="2984"/>
      <c r="Q468" s="2984"/>
      <c r="R468" s="2984"/>
      <c r="S468" s="2984"/>
      <c r="T468" s="2984"/>
      <c r="U468" s="2984"/>
      <c r="V468" s="1267"/>
      <c r="W468" s="1267"/>
    </row>
    <row r="469" spans="1:23">
      <c r="A469" s="2489"/>
      <c r="B469" s="2489"/>
      <c r="C469" s="2489"/>
      <c r="D469" s="2489"/>
      <c r="E469" s="2489"/>
      <c r="F469" s="2489"/>
      <c r="U469" s="2489"/>
    </row>
    <row r="470" spans="1:23">
      <c r="A470" s="2489"/>
      <c r="B470" s="2489"/>
      <c r="C470" s="2489"/>
      <c r="D470" s="2489"/>
      <c r="E470" s="2489"/>
      <c r="F470" s="2489"/>
      <c r="U470" s="2489"/>
    </row>
    <row r="471" spans="1:23">
      <c r="A471" s="2489"/>
      <c r="B471" s="2489"/>
      <c r="C471" s="2489"/>
      <c r="D471" s="2489"/>
      <c r="E471" s="2489"/>
      <c r="F471" s="2489"/>
      <c r="U471" s="2489"/>
    </row>
    <row r="472" spans="1:23">
      <c r="A472" s="2489"/>
      <c r="B472" s="2489"/>
      <c r="C472" s="2489"/>
      <c r="D472" s="2489"/>
      <c r="E472" s="2489"/>
      <c r="F472" s="2489"/>
      <c r="U472" s="2489"/>
    </row>
    <row r="473" spans="1:23">
      <c r="A473" s="2489"/>
      <c r="B473" s="2489"/>
      <c r="C473" s="2489"/>
      <c r="D473" s="2489"/>
      <c r="E473" s="2489"/>
      <c r="F473" s="2489"/>
      <c r="U473" s="2489"/>
    </row>
    <row r="474" spans="1:23">
      <c r="A474" s="2489"/>
      <c r="B474" s="2489"/>
      <c r="C474" s="2489"/>
      <c r="D474" s="2489"/>
      <c r="E474" s="2489"/>
      <c r="F474" s="2489"/>
      <c r="U474" s="2489"/>
    </row>
    <row r="475" spans="1:23">
      <c r="A475" s="2489"/>
      <c r="B475" s="2489"/>
      <c r="C475" s="2489"/>
      <c r="D475" s="2489"/>
      <c r="E475" s="2489"/>
      <c r="F475" s="2489"/>
      <c r="U475" s="2489"/>
    </row>
    <row r="476" spans="1:23">
      <c r="A476" s="2489"/>
      <c r="B476" s="2489"/>
      <c r="C476" s="2489"/>
      <c r="D476" s="2489"/>
      <c r="E476" s="2489"/>
      <c r="F476" s="2489"/>
      <c r="U476" s="2489"/>
    </row>
    <row r="477" spans="1:23">
      <c r="A477" s="2489"/>
      <c r="B477" s="2489"/>
      <c r="C477" s="2489"/>
      <c r="D477" s="2489"/>
      <c r="E477" s="2489"/>
      <c r="F477" s="2489"/>
      <c r="U477" s="2489"/>
    </row>
    <row r="478" spans="1:23">
      <c r="A478" s="2489"/>
      <c r="B478" s="2489"/>
      <c r="C478" s="2489"/>
      <c r="D478" s="2489"/>
      <c r="E478" s="2489"/>
      <c r="F478" s="2489"/>
      <c r="U478" s="2489"/>
    </row>
    <row r="479" spans="1:23">
      <c r="A479" s="2489"/>
      <c r="B479" s="2489"/>
      <c r="C479" s="2489"/>
      <c r="D479" s="2489"/>
      <c r="E479" s="2489"/>
      <c r="F479" s="2489"/>
      <c r="U479" s="2489"/>
    </row>
    <row r="480" spans="1:23">
      <c r="A480" s="2489"/>
      <c r="B480" s="2489"/>
      <c r="C480" s="2489"/>
      <c r="D480" s="2489"/>
      <c r="E480" s="2489"/>
      <c r="F480" s="2489"/>
      <c r="U480" s="2489"/>
    </row>
    <row r="481" spans="1:21">
      <c r="A481" s="2489"/>
      <c r="B481" s="2489"/>
      <c r="C481" s="2489"/>
      <c r="D481" s="2489"/>
      <c r="E481" s="2489"/>
      <c r="F481" s="2489"/>
      <c r="U481" s="2489"/>
    </row>
    <row r="482" spans="1:21">
      <c r="A482" s="2489"/>
      <c r="B482" s="2489"/>
      <c r="C482" s="2489"/>
      <c r="D482" s="2489"/>
      <c r="E482" s="2489"/>
      <c r="F482" s="2489"/>
      <c r="U482" s="2489"/>
    </row>
    <row r="483" spans="1:21">
      <c r="A483" s="2489"/>
      <c r="B483" s="2489"/>
      <c r="C483" s="2489"/>
      <c r="D483" s="2489"/>
      <c r="E483" s="2489"/>
      <c r="F483" s="2489"/>
      <c r="U483" s="2489"/>
    </row>
    <row r="484" spans="1:21">
      <c r="A484" s="2489"/>
      <c r="B484" s="2489"/>
      <c r="C484" s="2489"/>
      <c r="D484" s="2489"/>
      <c r="E484" s="2489"/>
      <c r="F484" s="2489"/>
      <c r="U484" s="2489"/>
    </row>
    <row r="485" spans="1:21">
      <c r="A485" s="2489"/>
      <c r="B485" s="2489"/>
      <c r="C485" s="2489"/>
      <c r="D485" s="2489"/>
      <c r="E485" s="2489"/>
      <c r="F485" s="2489"/>
      <c r="U485" s="2489"/>
    </row>
    <row r="486" spans="1:21">
      <c r="A486" s="2489"/>
      <c r="B486" s="2489"/>
      <c r="C486" s="2489"/>
      <c r="D486" s="2489"/>
      <c r="E486" s="2489"/>
      <c r="F486" s="2489"/>
      <c r="U486" s="2489"/>
    </row>
    <row r="487" spans="1:21">
      <c r="A487" s="2489"/>
      <c r="B487" s="2489"/>
      <c r="C487" s="2489"/>
      <c r="D487" s="2489"/>
      <c r="E487" s="2489"/>
      <c r="F487" s="2489"/>
      <c r="U487" s="2489"/>
    </row>
    <row r="488" spans="1:21">
      <c r="A488" s="2489"/>
      <c r="B488" s="2489"/>
      <c r="C488" s="2489"/>
      <c r="D488" s="2489"/>
      <c r="E488" s="2489"/>
      <c r="F488" s="2489"/>
      <c r="U488" s="2489"/>
    </row>
    <row r="489" spans="1:21">
      <c r="A489" s="2489"/>
      <c r="B489" s="2489"/>
      <c r="C489" s="2489"/>
      <c r="D489" s="2489"/>
      <c r="E489" s="2489"/>
      <c r="F489" s="2489"/>
      <c r="U489" s="2489"/>
    </row>
    <row r="490" spans="1:21">
      <c r="A490" s="2489"/>
      <c r="B490" s="2489"/>
      <c r="C490" s="2489"/>
      <c r="D490" s="2489"/>
      <c r="E490" s="2489"/>
      <c r="F490" s="2489"/>
      <c r="U490" s="2489"/>
    </row>
    <row r="491" spans="1:21">
      <c r="A491" s="2489"/>
      <c r="B491" s="2489"/>
      <c r="C491" s="2489"/>
      <c r="D491" s="2489"/>
      <c r="E491" s="2489"/>
      <c r="F491" s="2489"/>
      <c r="U491" s="2489"/>
    </row>
    <row r="492" spans="1:21">
      <c r="A492" s="2489"/>
      <c r="B492" s="2489"/>
      <c r="C492" s="2489"/>
      <c r="D492" s="2489"/>
      <c r="E492" s="2489"/>
      <c r="F492" s="2489"/>
      <c r="U492" s="2489"/>
    </row>
    <row r="493" spans="1:21">
      <c r="A493" s="2489"/>
      <c r="B493" s="2489"/>
      <c r="C493" s="2489"/>
      <c r="D493" s="2489"/>
      <c r="E493" s="2489"/>
      <c r="F493" s="2489"/>
      <c r="U493" s="2489"/>
    </row>
    <row r="494" spans="1:21">
      <c r="A494" s="2489"/>
      <c r="B494" s="2489"/>
      <c r="C494" s="2489"/>
      <c r="D494" s="2489"/>
      <c r="E494" s="2489"/>
      <c r="F494" s="2489"/>
      <c r="U494" s="2489"/>
    </row>
    <row r="495" spans="1:21">
      <c r="A495" s="2489"/>
      <c r="B495" s="2489"/>
      <c r="C495" s="2489"/>
      <c r="D495" s="2489"/>
      <c r="E495" s="2489"/>
      <c r="F495" s="2489"/>
      <c r="U495" s="2489"/>
    </row>
    <row r="496" spans="1:21">
      <c r="A496" s="2489"/>
      <c r="B496" s="2489"/>
      <c r="C496" s="2489"/>
      <c r="D496" s="2489"/>
      <c r="E496" s="2489"/>
      <c r="F496" s="2489"/>
      <c r="U496" s="2489"/>
    </row>
    <row r="497" spans="1:21">
      <c r="A497" s="2489"/>
      <c r="B497" s="2489"/>
      <c r="C497" s="2489"/>
      <c r="D497" s="2489"/>
      <c r="E497" s="2489"/>
      <c r="F497" s="2489"/>
      <c r="U497" s="2489"/>
    </row>
    <row r="498" spans="1:21">
      <c r="A498" s="2489"/>
      <c r="B498" s="2489"/>
      <c r="C498" s="2489"/>
      <c r="D498" s="2489"/>
      <c r="E498" s="2489"/>
      <c r="F498" s="2489"/>
      <c r="U498" s="2489"/>
    </row>
    <row r="499" spans="1:21">
      <c r="A499" s="2489"/>
      <c r="B499" s="2489"/>
      <c r="C499" s="2489"/>
      <c r="D499" s="2489"/>
      <c r="E499" s="2489"/>
      <c r="F499" s="2489"/>
      <c r="U499" s="2489"/>
    </row>
    <row r="500" spans="1:21">
      <c r="A500" s="2489"/>
      <c r="B500" s="2489"/>
      <c r="C500" s="2489"/>
      <c r="D500" s="2489"/>
      <c r="E500" s="2489"/>
      <c r="F500" s="2489"/>
      <c r="U500" s="2489"/>
    </row>
    <row r="501" spans="1:21">
      <c r="A501" s="2489"/>
      <c r="B501" s="2489"/>
      <c r="C501" s="2489"/>
      <c r="D501" s="2489"/>
      <c r="E501" s="2489"/>
      <c r="F501" s="2489"/>
      <c r="U501" s="2489"/>
    </row>
    <row r="502" spans="1:21">
      <c r="A502" s="2489"/>
      <c r="B502" s="2489"/>
      <c r="C502" s="2489"/>
      <c r="D502" s="2489"/>
      <c r="E502" s="2489"/>
      <c r="F502" s="2489"/>
      <c r="U502" s="2489"/>
    </row>
    <row r="503" spans="1:21">
      <c r="A503" s="2489"/>
      <c r="B503" s="2489"/>
      <c r="C503" s="2489"/>
      <c r="D503" s="2489"/>
      <c r="E503" s="2489"/>
      <c r="F503" s="2489"/>
      <c r="U503" s="2489"/>
    </row>
    <row r="504" spans="1:21">
      <c r="A504" s="2489"/>
      <c r="B504" s="2489"/>
      <c r="C504" s="2489"/>
      <c r="D504" s="2489"/>
      <c r="E504" s="2489"/>
      <c r="F504" s="2489"/>
      <c r="U504" s="2489"/>
    </row>
    <row r="505" spans="1:21">
      <c r="A505" s="2489"/>
      <c r="B505" s="2489"/>
      <c r="C505" s="2489"/>
      <c r="D505" s="2489"/>
      <c r="E505" s="2489"/>
      <c r="F505" s="2489"/>
      <c r="U505" s="2489"/>
    </row>
    <row r="506" spans="1:21">
      <c r="A506" s="2489"/>
      <c r="B506" s="2489"/>
      <c r="C506" s="2489"/>
      <c r="D506" s="2489"/>
      <c r="E506" s="2489"/>
      <c r="F506" s="2489"/>
      <c r="U506" s="2489"/>
    </row>
    <row r="507" spans="1:21">
      <c r="A507" s="2489"/>
      <c r="B507" s="2489"/>
      <c r="C507" s="2489"/>
      <c r="D507" s="2489"/>
      <c r="E507" s="2489"/>
      <c r="F507" s="2489"/>
      <c r="U507" s="2489"/>
    </row>
    <row r="508" spans="1:21">
      <c r="A508" s="2489"/>
      <c r="B508" s="2489"/>
      <c r="C508" s="2489"/>
      <c r="D508" s="2489"/>
      <c r="E508" s="2489"/>
      <c r="F508" s="2489"/>
      <c r="U508" s="2489"/>
    </row>
    <row r="509" spans="1:21">
      <c r="A509" s="2489"/>
      <c r="B509" s="2489"/>
      <c r="C509" s="2489"/>
      <c r="D509" s="2489"/>
      <c r="E509" s="2489"/>
      <c r="F509" s="2489"/>
      <c r="U509" s="2489"/>
    </row>
    <row r="510" spans="1:21">
      <c r="A510" s="2489"/>
      <c r="B510" s="2489"/>
      <c r="C510" s="2489"/>
      <c r="D510" s="2489"/>
      <c r="E510" s="2489"/>
      <c r="F510" s="2489"/>
      <c r="U510" s="2489"/>
    </row>
    <row r="511" spans="1:21">
      <c r="A511" s="2489"/>
      <c r="B511" s="2489"/>
      <c r="C511" s="2489"/>
      <c r="D511" s="2489"/>
      <c r="E511" s="2489"/>
      <c r="F511" s="2489"/>
      <c r="U511" s="2489"/>
    </row>
    <row r="512" spans="1:21">
      <c r="A512" s="2489"/>
      <c r="B512" s="2489"/>
      <c r="C512" s="2489"/>
      <c r="D512" s="2489"/>
      <c r="E512" s="2489"/>
      <c r="F512" s="2489"/>
      <c r="U512" s="2489"/>
    </row>
    <row r="513" spans="1:21">
      <c r="A513" s="2489"/>
      <c r="B513" s="2489"/>
      <c r="C513" s="2489"/>
      <c r="D513" s="2489"/>
      <c r="E513" s="2489"/>
      <c r="F513" s="2489"/>
      <c r="U513" s="2489"/>
    </row>
    <row r="514" spans="1:21">
      <c r="A514" s="2489"/>
      <c r="B514" s="2489"/>
      <c r="C514" s="2489"/>
      <c r="D514" s="2489"/>
      <c r="E514" s="2489"/>
      <c r="F514" s="2489"/>
      <c r="U514" s="2489"/>
    </row>
    <row r="515" spans="1:21">
      <c r="A515" s="2489"/>
      <c r="B515" s="2489"/>
      <c r="C515" s="2489"/>
      <c r="D515" s="2489"/>
      <c r="E515" s="2489"/>
      <c r="F515" s="2489"/>
      <c r="U515" s="2489"/>
    </row>
    <row r="516" spans="1:21">
      <c r="A516" s="2489"/>
      <c r="B516" s="2489"/>
      <c r="C516" s="2489"/>
      <c r="D516" s="2489"/>
      <c r="E516" s="2489"/>
      <c r="F516" s="2489"/>
      <c r="U516" s="2489"/>
    </row>
    <row r="517" spans="1:21">
      <c r="A517" s="2489"/>
      <c r="B517" s="2489"/>
      <c r="C517" s="2489"/>
      <c r="D517" s="2489"/>
      <c r="E517" s="2489"/>
      <c r="F517" s="2489"/>
      <c r="U517" s="2489"/>
    </row>
    <row r="518" spans="1:21">
      <c r="A518" s="2489"/>
      <c r="B518" s="2489"/>
      <c r="C518" s="2489"/>
      <c r="D518" s="2489"/>
      <c r="E518" s="2489"/>
      <c r="F518" s="2489"/>
      <c r="U518" s="2489"/>
    </row>
    <row r="519" spans="1:21">
      <c r="A519" s="2489"/>
      <c r="B519" s="2489"/>
      <c r="C519" s="2489"/>
      <c r="D519" s="2489"/>
      <c r="E519" s="2489"/>
      <c r="F519" s="2489"/>
      <c r="U519" s="2489"/>
    </row>
    <row r="520" spans="1:21">
      <c r="A520" s="2489"/>
      <c r="B520" s="2489"/>
      <c r="C520" s="2489"/>
      <c r="D520" s="2489"/>
      <c r="E520" s="2489"/>
      <c r="F520" s="2489"/>
      <c r="U520" s="2489"/>
    </row>
    <row r="521" spans="1:21">
      <c r="A521" s="2489"/>
      <c r="B521" s="2489"/>
      <c r="C521" s="2489"/>
      <c r="D521" s="2489"/>
      <c r="E521" s="2489"/>
      <c r="F521" s="2489"/>
      <c r="U521" s="2489"/>
    </row>
    <row r="522" spans="1:21">
      <c r="A522" s="2489"/>
      <c r="B522" s="2489"/>
      <c r="C522" s="2489"/>
      <c r="D522" s="2489"/>
      <c r="E522" s="2489"/>
      <c r="F522" s="2489"/>
      <c r="U522" s="2489"/>
    </row>
    <row r="523" spans="1:21">
      <c r="A523" s="2489"/>
      <c r="B523" s="2489"/>
      <c r="C523" s="2489"/>
      <c r="D523" s="2489"/>
      <c r="E523" s="2489"/>
      <c r="F523" s="2489"/>
      <c r="U523" s="2489"/>
    </row>
    <row r="524" spans="1:21">
      <c r="A524" s="2489"/>
      <c r="B524" s="2489"/>
      <c r="C524" s="2489"/>
      <c r="D524" s="2489"/>
      <c r="E524" s="2489"/>
      <c r="F524" s="2489"/>
      <c r="U524" s="2489"/>
    </row>
    <row r="525" spans="1:21">
      <c r="A525" s="2489"/>
      <c r="B525" s="2489"/>
      <c r="C525" s="2489"/>
      <c r="D525" s="2489"/>
      <c r="E525" s="2489"/>
      <c r="F525" s="2489"/>
      <c r="U525" s="2489"/>
    </row>
    <row r="526" spans="1:21">
      <c r="A526" s="2489"/>
      <c r="B526" s="2489"/>
      <c r="C526" s="2489"/>
      <c r="D526" s="2489"/>
      <c r="E526" s="2489"/>
      <c r="F526" s="2489"/>
      <c r="U526" s="2489"/>
    </row>
    <row r="527" spans="1:21">
      <c r="A527" s="2489"/>
      <c r="B527" s="2489"/>
      <c r="C527" s="2489"/>
      <c r="D527" s="2489"/>
      <c r="E527" s="2489"/>
      <c r="F527" s="2489"/>
      <c r="U527" s="2489"/>
    </row>
    <row r="528" spans="1:21">
      <c r="A528" s="2489"/>
      <c r="B528" s="2489"/>
      <c r="C528" s="2489"/>
      <c r="D528" s="2489"/>
      <c r="E528" s="2489"/>
      <c r="F528" s="2489"/>
      <c r="U528" s="2489"/>
    </row>
    <row r="529" spans="1:21">
      <c r="A529" s="2489"/>
      <c r="B529" s="2489"/>
      <c r="C529" s="2489"/>
      <c r="D529" s="2489"/>
      <c r="E529" s="2489"/>
      <c r="F529" s="2489"/>
      <c r="U529" s="2489"/>
    </row>
    <row r="530" spans="1:21">
      <c r="A530" s="2489"/>
      <c r="B530" s="2489"/>
      <c r="C530" s="2489"/>
      <c r="D530" s="2489"/>
      <c r="E530" s="2489"/>
      <c r="F530" s="2489"/>
      <c r="U530" s="2489"/>
    </row>
    <row r="531" spans="1:21">
      <c r="A531" s="2489"/>
      <c r="B531" s="2489"/>
      <c r="C531" s="2489"/>
      <c r="D531" s="2489"/>
      <c r="E531" s="2489"/>
      <c r="F531" s="2489"/>
      <c r="U531" s="2489"/>
    </row>
    <row r="532" spans="1:21">
      <c r="A532" s="2489"/>
      <c r="B532" s="2489"/>
      <c r="C532" s="2489"/>
      <c r="D532" s="2489"/>
      <c r="E532" s="2489"/>
      <c r="F532" s="2489"/>
      <c r="U532" s="2489"/>
    </row>
    <row r="533" spans="1:21">
      <c r="A533" s="2489"/>
      <c r="B533" s="2489"/>
      <c r="C533" s="2489"/>
      <c r="D533" s="2489"/>
      <c r="E533" s="2489"/>
      <c r="F533" s="2489"/>
      <c r="U533" s="2489"/>
    </row>
    <row r="534" spans="1:21">
      <c r="A534" s="2489"/>
      <c r="B534" s="2489"/>
      <c r="C534" s="2489"/>
      <c r="D534" s="2489"/>
      <c r="E534" s="2489"/>
      <c r="F534" s="2489"/>
      <c r="U534" s="2489"/>
    </row>
    <row r="535" spans="1:21">
      <c r="A535" s="2489"/>
      <c r="B535" s="2489"/>
      <c r="C535" s="2489"/>
      <c r="D535" s="2489"/>
      <c r="E535" s="2489"/>
      <c r="F535" s="2489"/>
      <c r="U535" s="2489"/>
    </row>
    <row r="536" spans="1:21">
      <c r="A536" s="2489"/>
      <c r="B536" s="2489"/>
      <c r="C536" s="2489"/>
      <c r="D536" s="2489"/>
      <c r="E536" s="2489"/>
      <c r="F536" s="2489"/>
      <c r="U536" s="2489"/>
    </row>
    <row r="537" spans="1:21">
      <c r="A537" s="2489"/>
      <c r="B537" s="2489"/>
      <c r="C537" s="2489"/>
      <c r="D537" s="2489"/>
      <c r="E537" s="2489"/>
      <c r="F537" s="2489"/>
      <c r="U537" s="2489"/>
    </row>
    <row r="538" spans="1:21">
      <c r="A538" s="2489"/>
      <c r="B538" s="2489"/>
      <c r="C538" s="2489"/>
      <c r="D538" s="2489"/>
      <c r="E538" s="2489"/>
      <c r="F538" s="2489"/>
      <c r="U538" s="2489"/>
    </row>
    <row r="539" spans="1:21">
      <c r="A539" s="2489"/>
      <c r="B539" s="2489"/>
      <c r="C539" s="2489"/>
      <c r="D539" s="2489"/>
      <c r="E539" s="2489"/>
      <c r="F539" s="2489"/>
      <c r="U539" s="2489"/>
    </row>
    <row r="540" spans="1:21">
      <c r="A540" s="2489"/>
      <c r="B540" s="2489"/>
      <c r="C540" s="2489"/>
      <c r="D540" s="2489"/>
      <c r="E540" s="2489"/>
      <c r="F540" s="2489"/>
      <c r="U540" s="2489"/>
    </row>
    <row r="541" spans="1:21">
      <c r="A541" s="2489"/>
      <c r="B541" s="2489"/>
      <c r="C541" s="2489"/>
      <c r="D541" s="2489"/>
      <c r="E541" s="2489"/>
      <c r="F541" s="2489"/>
      <c r="U541" s="2489"/>
    </row>
    <row r="542" spans="1:21">
      <c r="A542" s="2489"/>
      <c r="B542" s="2489"/>
      <c r="C542" s="2489"/>
      <c r="D542" s="2489"/>
      <c r="E542" s="2489"/>
      <c r="F542" s="2489"/>
      <c r="U542" s="2489"/>
    </row>
    <row r="543" spans="1:21">
      <c r="A543" s="2489"/>
      <c r="B543" s="2489"/>
      <c r="C543" s="2489"/>
      <c r="D543" s="2489"/>
      <c r="E543" s="2489"/>
      <c r="F543" s="2489"/>
      <c r="U543" s="2489"/>
    </row>
    <row r="544" spans="1:21">
      <c r="A544" s="2489"/>
      <c r="B544" s="2489"/>
      <c r="C544" s="2489"/>
      <c r="D544" s="2489"/>
      <c r="E544" s="2489"/>
      <c r="F544" s="2489"/>
      <c r="U544" s="2489"/>
    </row>
    <row r="545" spans="1:21">
      <c r="A545" s="2489"/>
      <c r="B545" s="2489"/>
      <c r="C545" s="2489"/>
      <c r="D545" s="2489"/>
      <c r="E545" s="2489"/>
      <c r="F545" s="2489"/>
      <c r="U545" s="2489"/>
    </row>
    <row r="546" spans="1:21">
      <c r="A546" s="2489"/>
      <c r="B546" s="2489"/>
      <c r="C546" s="2489"/>
      <c r="D546" s="2489"/>
      <c r="E546" s="2489"/>
      <c r="F546" s="2489"/>
      <c r="U546" s="2489"/>
    </row>
    <row r="547" spans="1:21">
      <c r="A547" s="2489"/>
      <c r="B547" s="2489"/>
      <c r="C547" s="2489"/>
      <c r="D547" s="2489"/>
      <c r="E547" s="2489"/>
      <c r="F547" s="2489"/>
      <c r="U547" s="2489"/>
    </row>
    <row r="548" spans="1:21">
      <c r="A548" s="2489"/>
      <c r="B548" s="2489"/>
      <c r="C548" s="2489"/>
      <c r="D548" s="2489"/>
      <c r="E548" s="2489"/>
      <c r="F548" s="2489"/>
      <c r="U548" s="2489"/>
    </row>
    <row r="549" spans="1:21">
      <c r="A549" s="2489"/>
      <c r="B549" s="2489"/>
      <c r="C549" s="2489"/>
      <c r="D549" s="2489"/>
      <c r="E549" s="2489"/>
      <c r="F549" s="2489"/>
      <c r="U549" s="2489"/>
    </row>
    <row r="550" spans="1:21">
      <c r="A550" s="2489"/>
      <c r="B550" s="2489"/>
      <c r="C550" s="2489"/>
      <c r="D550" s="2489"/>
      <c r="E550" s="2489"/>
      <c r="F550" s="2489"/>
      <c r="U550" s="2489"/>
    </row>
    <row r="551" spans="1:21">
      <c r="A551" s="2489"/>
      <c r="B551" s="2489"/>
      <c r="C551" s="2489"/>
      <c r="D551" s="2489"/>
      <c r="E551" s="2489"/>
      <c r="F551" s="2489"/>
      <c r="U551" s="2489"/>
    </row>
    <row r="552" spans="1:21">
      <c r="A552" s="2489"/>
      <c r="B552" s="2489"/>
      <c r="C552" s="2489"/>
      <c r="D552" s="2489"/>
      <c r="E552" s="2489"/>
      <c r="F552" s="2489"/>
      <c r="U552" s="2489"/>
    </row>
    <row r="553" spans="1:21">
      <c r="A553" s="2489"/>
      <c r="B553" s="2489"/>
      <c r="C553" s="2489"/>
      <c r="D553" s="2489"/>
      <c r="E553" s="2489"/>
      <c r="F553" s="2489"/>
      <c r="U553" s="2489"/>
    </row>
    <row r="554" spans="1:21">
      <c r="A554" s="2489"/>
      <c r="B554" s="2489"/>
      <c r="C554" s="2489"/>
      <c r="D554" s="2489"/>
      <c r="E554" s="2489"/>
      <c r="F554" s="2489"/>
      <c r="U554" s="2489"/>
    </row>
    <row r="555" spans="1:21">
      <c r="A555" s="2489"/>
      <c r="B555" s="2489"/>
      <c r="C555" s="2489"/>
      <c r="D555" s="2489"/>
      <c r="E555" s="2489"/>
      <c r="F555" s="2489"/>
      <c r="U555" s="2489"/>
    </row>
    <row r="556" spans="1:21">
      <c r="A556" s="2489"/>
      <c r="B556" s="2489"/>
      <c r="C556" s="2489"/>
      <c r="D556" s="2489"/>
      <c r="E556" s="2489"/>
      <c r="F556" s="2489"/>
      <c r="U556" s="2489"/>
    </row>
    <row r="557" spans="1:21">
      <c r="A557" s="2489"/>
      <c r="B557" s="2489"/>
      <c r="C557" s="2489"/>
      <c r="D557" s="2489"/>
      <c r="E557" s="2489"/>
      <c r="F557" s="2489"/>
      <c r="U557" s="2489"/>
    </row>
    <row r="558" spans="1:21">
      <c r="A558" s="2489"/>
      <c r="B558" s="2489"/>
      <c r="C558" s="2489"/>
      <c r="D558" s="2489"/>
      <c r="E558" s="2489"/>
      <c r="F558" s="2489"/>
      <c r="U558" s="2489"/>
    </row>
    <row r="559" spans="1:21">
      <c r="A559" s="2489"/>
      <c r="B559" s="2489"/>
      <c r="C559" s="2489"/>
      <c r="D559" s="2489"/>
      <c r="E559" s="2489"/>
      <c r="F559" s="2489"/>
      <c r="U559" s="2489"/>
    </row>
    <row r="560" spans="1:21">
      <c r="A560" s="2489"/>
      <c r="B560" s="2489"/>
      <c r="C560" s="2489"/>
      <c r="D560" s="2489"/>
      <c r="E560" s="2489"/>
      <c r="F560" s="2489"/>
      <c r="U560" s="2489"/>
    </row>
    <row r="561" spans="1:21">
      <c r="A561" s="2489"/>
      <c r="B561" s="2489"/>
      <c r="C561" s="2489"/>
      <c r="D561" s="2489"/>
      <c r="E561" s="2489"/>
      <c r="F561" s="2489"/>
      <c r="U561" s="2489"/>
    </row>
    <row r="562" spans="1:21">
      <c r="A562" s="2489"/>
      <c r="B562" s="2489"/>
      <c r="C562" s="2489"/>
      <c r="D562" s="2489"/>
      <c r="E562" s="2489"/>
      <c r="F562" s="2489"/>
      <c r="U562" s="2489"/>
    </row>
    <row r="563" spans="1:21">
      <c r="A563" s="2489"/>
      <c r="B563" s="2489"/>
      <c r="C563" s="2489"/>
      <c r="D563" s="2489"/>
      <c r="E563" s="2489"/>
      <c r="F563" s="2489"/>
      <c r="U563" s="2489"/>
    </row>
    <row r="564" spans="1:21">
      <c r="A564" s="2489"/>
      <c r="B564" s="2489"/>
      <c r="C564" s="2489"/>
      <c r="D564" s="2489"/>
      <c r="E564" s="2489"/>
      <c r="F564" s="2489"/>
      <c r="U564" s="2489"/>
    </row>
    <row r="565" spans="1:21">
      <c r="A565" s="2489"/>
      <c r="B565" s="2489"/>
      <c r="C565" s="2489"/>
      <c r="D565" s="2489"/>
      <c r="E565" s="2489"/>
      <c r="F565" s="2489"/>
      <c r="U565" s="2489"/>
    </row>
    <row r="566" spans="1:21">
      <c r="A566" s="2489"/>
      <c r="B566" s="2489"/>
      <c r="C566" s="2489"/>
      <c r="D566" s="2489"/>
      <c r="E566" s="2489"/>
      <c r="F566" s="2489"/>
      <c r="U566" s="2489"/>
    </row>
    <row r="567" spans="1:21">
      <c r="A567" s="2489"/>
      <c r="B567" s="2489"/>
      <c r="C567" s="2489"/>
      <c r="D567" s="2489"/>
      <c r="E567" s="2489"/>
      <c r="F567" s="2489"/>
      <c r="U567" s="2489"/>
    </row>
    <row r="568" spans="1:21">
      <c r="A568" s="2489"/>
      <c r="B568" s="2489"/>
      <c r="C568" s="2489"/>
      <c r="D568" s="2489"/>
      <c r="E568" s="2489"/>
      <c r="F568" s="2489"/>
      <c r="U568" s="2489"/>
    </row>
    <row r="569" spans="1:21">
      <c r="A569" s="2489"/>
      <c r="B569" s="2489"/>
      <c r="C569" s="2489"/>
      <c r="D569" s="2489"/>
      <c r="E569" s="2489"/>
      <c r="F569" s="2489"/>
      <c r="U569" s="2489"/>
    </row>
    <row r="570" spans="1:21">
      <c r="A570" s="2489"/>
      <c r="B570" s="2489"/>
      <c r="C570" s="2489"/>
      <c r="D570" s="2489"/>
      <c r="E570" s="2489"/>
      <c r="F570" s="2489"/>
      <c r="U570" s="2489"/>
    </row>
    <row r="571" spans="1:21">
      <c r="A571" s="2489"/>
      <c r="B571" s="2489"/>
      <c r="C571" s="2489"/>
      <c r="D571" s="2489"/>
      <c r="E571" s="2489"/>
      <c r="F571" s="2489"/>
      <c r="U571" s="2489"/>
    </row>
    <row r="572" spans="1:21">
      <c r="A572" s="2489"/>
      <c r="B572" s="2489"/>
      <c r="C572" s="2489"/>
      <c r="D572" s="2489"/>
      <c r="E572" s="2489"/>
      <c r="F572" s="2489"/>
      <c r="U572" s="2489"/>
    </row>
    <row r="573" spans="1:21">
      <c r="A573" s="2489"/>
      <c r="B573" s="2489"/>
      <c r="C573" s="2489"/>
      <c r="D573" s="2489"/>
      <c r="E573" s="2489"/>
      <c r="F573" s="2489"/>
      <c r="U573" s="2489"/>
    </row>
    <row r="574" spans="1:21">
      <c r="A574" s="2489"/>
      <c r="B574" s="2489"/>
      <c r="C574" s="2489"/>
      <c r="D574" s="2489"/>
      <c r="E574" s="2489"/>
      <c r="F574" s="2489"/>
      <c r="U574" s="2489"/>
    </row>
    <row r="575" spans="1:21">
      <c r="A575" s="2489"/>
      <c r="B575" s="2489"/>
      <c r="C575" s="2489"/>
      <c r="D575" s="2489"/>
      <c r="E575" s="2489"/>
      <c r="F575" s="2489"/>
      <c r="U575" s="2489"/>
    </row>
    <row r="576" spans="1:21">
      <c r="A576" s="2489"/>
      <c r="B576" s="2489"/>
      <c r="C576" s="2489"/>
      <c r="D576" s="2489"/>
      <c r="E576" s="2489"/>
      <c r="F576" s="2489"/>
      <c r="U576" s="2489"/>
    </row>
    <row r="577" spans="1:21">
      <c r="A577" s="2489"/>
      <c r="B577" s="2489"/>
      <c r="C577" s="2489"/>
      <c r="D577" s="2489"/>
      <c r="E577" s="2489"/>
      <c r="F577" s="2489"/>
      <c r="U577" s="2489"/>
    </row>
    <row r="578" spans="1:21">
      <c r="A578" s="2489"/>
      <c r="B578" s="2489"/>
      <c r="C578" s="2489"/>
      <c r="D578" s="2489"/>
      <c r="E578" s="2489"/>
      <c r="F578" s="2489"/>
      <c r="U578" s="2489"/>
    </row>
    <row r="579" spans="1:21">
      <c r="A579" s="2489"/>
      <c r="B579" s="2489"/>
      <c r="C579" s="2489"/>
      <c r="D579" s="2489"/>
      <c r="E579" s="2489"/>
      <c r="F579" s="2489"/>
      <c r="U579" s="2489"/>
    </row>
    <row r="580" spans="1:21">
      <c r="A580" s="2489"/>
      <c r="B580" s="2489"/>
      <c r="C580" s="2489"/>
      <c r="D580" s="2489"/>
      <c r="E580" s="2489"/>
      <c r="F580" s="2489"/>
      <c r="U580" s="2489"/>
    </row>
    <row r="581" spans="1:21">
      <c r="A581" s="2489"/>
      <c r="B581" s="2489"/>
      <c r="C581" s="2489"/>
      <c r="D581" s="2489"/>
      <c r="E581" s="2489"/>
      <c r="F581" s="2489"/>
      <c r="U581" s="2489"/>
    </row>
    <row r="582" spans="1:21">
      <c r="A582" s="2489"/>
      <c r="B582" s="2489"/>
      <c r="C582" s="2489"/>
      <c r="D582" s="2489"/>
      <c r="E582" s="2489"/>
      <c r="F582" s="2489"/>
      <c r="U582" s="2489"/>
    </row>
    <row r="583" spans="1:21">
      <c r="A583" s="2489"/>
      <c r="B583" s="2489"/>
      <c r="C583" s="2489"/>
      <c r="D583" s="2489"/>
      <c r="E583" s="2489"/>
      <c r="F583" s="2489"/>
      <c r="U583" s="2489"/>
    </row>
    <row r="584" spans="1:21">
      <c r="A584" s="2489"/>
      <c r="B584" s="2489"/>
      <c r="C584" s="2489"/>
      <c r="D584" s="2489"/>
      <c r="E584" s="2489"/>
      <c r="F584" s="2489"/>
      <c r="U584" s="2489"/>
    </row>
    <row r="585" spans="1:21">
      <c r="A585" s="2489"/>
      <c r="B585" s="2489"/>
      <c r="C585" s="2489"/>
      <c r="D585" s="2489"/>
      <c r="E585" s="2489"/>
      <c r="F585" s="2489"/>
      <c r="U585" s="2489"/>
    </row>
    <row r="586" spans="1:21">
      <c r="A586" s="2489"/>
      <c r="B586" s="2489"/>
      <c r="C586" s="2489"/>
      <c r="D586" s="2489"/>
      <c r="E586" s="2489"/>
      <c r="F586" s="2489"/>
      <c r="U586" s="2489"/>
    </row>
    <row r="587" spans="1:21">
      <c r="A587" s="2489"/>
      <c r="B587" s="2489"/>
      <c r="C587" s="2489"/>
      <c r="D587" s="2489"/>
      <c r="E587" s="2489"/>
      <c r="F587" s="2489"/>
      <c r="U587" s="2489"/>
    </row>
    <row r="588" spans="1:21">
      <c r="A588" s="2489"/>
      <c r="B588" s="2489"/>
      <c r="C588" s="2489"/>
      <c r="D588" s="2489"/>
      <c r="E588" s="2489"/>
      <c r="F588" s="2489"/>
      <c r="U588" s="2489"/>
    </row>
    <row r="589" spans="1:21">
      <c r="A589" s="2489"/>
      <c r="B589" s="2489"/>
      <c r="C589" s="2489"/>
      <c r="D589" s="2489"/>
      <c r="E589" s="2489"/>
      <c r="F589" s="2489"/>
      <c r="U589" s="2489"/>
    </row>
    <row r="590" spans="1:21">
      <c r="A590" s="2489"/>
      <c r="B590" s="2489"/>
      <c r="C590" s="2489"/>
      <c r="D590" s="2489"/>
      <c r="E590" s="2489"/>
      <c r="F590" s="2489"/>
      <c r="U590" s="2489"/>
    </row>
    <row r="591" spans="1:21">
      <c r="A591" s="2489"/>
      <c r="B591" s="2489"/>
      <c r="C591" s="2489"/>
      <c r="D591" s="2489"/>
      <c r="E591" s="2489"/>
      <c r="F591" s="2489"/>
      <c r="U591" s="2489"/>
    </row>
    <row r="592" spans="1:21">
      <c r="A592" s="2489"/>
      <c r="B592" s="2489"/>
      <c r="C592" s="2489"/>
      <c r="D592" s="2489"/>
      <c r="E592" s="2489"/>
      <c r="F592" s="2489"/>
      <c r="U592" s="2489"/>
    </row>
    <row r="593" spans="1:21">
      <c r="A593" s="2489"/>
      <c r="B593" s="2489"/>
      <c r="C593" s="2489"/>
      <c r="D593" s="2489"/>
      <c r="E593" s="2489"/>
      <c r="F593" s="2489"/>
      <c r="U593" s="2489"/>
    </row>
    <row r="594" spans="1:21">
      <c r="A594" s="2489"/>
      <c r="B594" s="2489"/>
      <c r="C594" s="2489"/>
      <c r="D594" s="2489"/>
      <c r="E594" s="2489"/>
      <c r="F594" s="2489"/>
      <c r="U594" s="2489"/>
    </row>
    <row r="595" spans="1:21">
      <c r="A595" s="2489"/>
      <c r="B595" s="2489"/>
      <c r="C595" s="2489"/>
      <c r="D595" s="2489"/>
      <c r="E595" s="2489"/>
      <c r="F595" s="2489"/>
      <c r="U595" s="2489"/>
    </row>
    <row r="596" spans="1:21">
      <c r="A596" s="2489"/>
      <c r="B596" s="2489"/>
      <c r="C596" s="2489"/>
      <c r="D596" s="2489"/>
      <c r="E596" s="2489"/>
      <c r="F596" s="2489"/>
      <c r="U596" s="2489"/>
    </row>
    <row r="597" spans="1:21">
      <c r="A597" s="2489"/>
      <c r="B597" s="2489"/>
      <c r="C597" s="2489"/>
      <c r="D597" s="2489"/>
      <c r="E597" s="2489"/>
      <c r="F597" s="2489"/>
      <c r="U597" s="2489"/>
    </row>
    <row r="598" spans="1:21">
      <c r="A598" s="2489"/>
      <c r="B598" s="2489"/>
      <c r="C598" s="2489"/>
      <c r="D598" s="2489"/>
      <c r="E598" s="2489"/>
      <c r="F598" s="2489"/>
      <c r="U598" s="2489"/>
    </row>
    <row r="599" spans="1:21">
      <c r="A599" s="2489"/>
      <c r="B599" s="2489"/>
      <c r="C599" s="2489"/>
      <c r="D599" s="2489"/>
      <c r="E599" s="2489"/>
      <c r="F599" s="2489"/>
      <c r="U599" s="2489"/>
    </row>
    <row r="600" spans="1:21">
      <c r="A600" s="2489"/>
      <c r="B600" s="2489"/>
      <c r="C600" s="2489"/>
      <c r="D600" s="2489"/>
      <c r="E600" s="2489"/>
      <c r="F600" s="2489"/>
      <c r="U600" s="2489"/>
    </row>
    <row r="601" spans="1:21">
      <c r="A601" s="2489"/>
      <c r="B601" s="2489"/>
      <c r="C601" s="2489"/>
      <c r="D601" s="2489"/>
      <c r="E601" s="2489"/>
      <c r="F601" s="2489"/>
      <c r="U601" s="2489"/>
    </row>
    <row r="602" spans="1:21">
      <c r="A602" s="2489"/>
      <c r="B602" s="2489"/>
      <c r="C602" s="2489"/>
      <c r="D602" s="2489"/>
      <c r="E602" s="2489"/>
      <c r="F602" s="2489"/>
      <c r="U602" s="2489"/>
    </row>
    <row r="603" spans="1:21">
      <c r="A603" s="2489"/>
      <c r="B603" s="2489"/>
      <c r="C603" s="2489"/>
      <c r="D603" s="2489"/>
      <c r="E603" s="2489"/>
      <c r="F603" s="2489"/>
      <c r="U603" s="2489"/>
    </row>
    <row r="604" spans="1:21">
      <c r="A604" s="2489"/>
      <c r="B604" s="2489"/>
      <c r="C604" s="2489"/>
      <c r="D604" s="2489"/>
      <c r="E604" s="2489"/>
      <c r="F604" s="2489"/>
      <c r="U604" s="2489"/>
    </row>
    <row r="605" spans="1:21">
      <c r="A605" s="2489"/>
      <c r="B605" s="2489"/>
      <c r="C605" s="2489"/>
      <c r="D605" s="2489"/>
      <c r="E605" s="2489"/>
      <c r="F605" s="2489"/>
      <c r="U605" s="2489"/>
    </row>
    <row r="606" spans="1:21">
      <c r="A606" s="2489"/>
      <c r="B606" s="2489"/>
      <c r="C606" s="2489"/>
      <c r="D606" s="2489"/>
      <c r="E606" s="2489"/>
      <c r="F606" s="2489"/>
      <c r="U606" s="2489"/>
    </row>
    <row r="607" spans="1:21">
      <c r="A607" s="2489"/>
      <c r="B607" s="2489"/>
      <c r="C607" s="2489"/>
      <c r="D607" s="2489"/>
      <c r="E607" s="2489"/>
      <c r="F607" s="2489"/>
      <c r="U607" s="2489"/>
    </row>
    <row r="608" spans="1:21">
      <c r="A608" s="2489"/>
      <c r="B608" s="2489"/>
      <c r="C608" s="2489"/>
      <c r="D608" s="2489"/>
      <c r="E608" s="2489"/>
      <c r="F608" s="2489"/>
      <c r="U608" s="2489"/>
    </row>
    <row r="609" spans="1:21">
      <c r="A609" s="2489"/>
      <c r="B609" s="2489"/>
      <c r="C609" s="2489"/>
      <c r="D609" s="2489"/>
      <c r="E609" s="2489"/>
      <c r="F609" s="2489"/>
      <c r="U609" s="2489"/>
    </row>
    <row r="610" spans="1:21">
      <c r="A610" s="2489"/>
      <c r="B610" s="2489"/>
      <c r="C610" s="2489"/>
      <c r="D610" s="2489"/>
      <c r="E610" s="2489"/>
      <c r="F610" s="2489"/>
      <c r="U610" s="2489"/>
    </row>
    <row r="611" spans="1:21">
      <c r="A611" s="2489"/>
      <c r="B611" s="2489"/>
      <c r="C611" s="2489"/>
      <c r="D611" s="2489"/>
      <c r="E611" s="2489"/>
      <c r="F611" s="2489"/>
      <c r="U611" s="2489"/>
    </row>
    <row r="612" spans="1:21">
      <c r="A612" s="2489"/>
      <c r="B612" s="2489"/>
      <c r="C612" s="2489"/>
      <c r="D612" s="2489"/>
      <c r="E612" s="2489"/>
      <c r="F612" s="2489"/>
      <c r="U612" s="2489"/>
    </row>
    <row r="613" spans="1:21">
      <c r="A613" s="2489"/>
      <c r="B613" s="2489"/>
      <c r="C613" s="2489"/>
      <c r="D613" s="2489"/>
      <c r="E613" s="2489"/>
      <c r="F613" s="2489"/>
      <c r="U613" s="2489"/>
    </row>
    <row r="614" spans="1:21">
      <c r="A614" s="2489"/>
      <c r="B614" s="2489"/>
      <c r="C614" s="2489"/>
      <c r="D614" s="2489"/>
      <c r="E614" s="2489"/>
      <c r="F614" s="2489"/>
      <c r="U614" s="2489"/>
    </row>
    <row r="615" spans="1:21">
      <c r="A615" s="2489"/>
      <c r="B615" s="2489"/>
      <c r="C615" s="2489"/>
      <c r="D615" s="2489"/>
      <c r="E615" s="2489"/>
      <c r="F615" s="2489"/>
      <c r="U615" s="2489"/>
    </row>
    <row r="616" spans="1:21">
      <c r="A616" s="2489"/>
      <c r="B616" s="2489"/>
      <c r="C616" s="2489"/>
      <c r="D616" s="2489"/>
      <c r="E616" s="2489"/>
      <c r="F616" s="2489"/>
      <c r="U616" s="2489"/>
    </row>
    <row r="617" spans="1:21">
      <c r="A617" s="2489"/>
      <c r="B617" s="2489"/>
      <c r="C617" s="2489"/>
      <c r="D617" s="2489"/>
      <c r="E617" s="2489"/>
      <c r="F617" s="2489"/>
      <c r="U617" s="2489"/>
    </row>
    <row r="618" spans="1:21">
      <c r="A618" s="2489"/>
      <c r="B618" s="2489"/>
      <c r="C618" s="2489"/>
      <c r="D618" s="2489"/>
      <c r="E618" s="2489"/>
      <c r="F618" s="2489"/>
      <c r="U618" s="2489"/>
    </row>
    <row r="619" spans="1:21">
      <c r="A619" s="2489"/>
      <c r="B619" s="2489"/>
      <c r="C619" s="2489"/>
      <c r="D619" s="2489"/>
      <c r="E619" s="2489"/>
      <c r="F619" s="2489"/>
      <c r="U619" s="2489"/>
    </row>
    <row r="620" spans="1:21">
      <c r="A620" s="2489"/>
      <c r="B620" s="2489"/>
      <c r="C620" s="2489"/>
      <c r="D620" s="2489"/>
      <c r="E620" s="2489"/>
      <c r="F620" s="2489"/>
      <c r="U620" s="2489"/>
    </row>
    <row r="621" spans="1:21">
      <c r="A621" s="2489"/>
      <c r="B621" s="2489"/>
      <c r="C621" s="2489"/>
      <c r="D621" s="2489"/>
      <c r="E621" s="2489"/>
      <c r="F621" s="2489"/>
      <c r="U621" s="2489"/>
    </row>
    <row r="622" spans="1:21">
      <c r="A622" s="2489"/>
      <c r="B622" s="2489"/>
      <c r="C622" s="2489"/>
      <c r="D622" s="2489"/>
      <c r="E622" s="2489"/>
      <c r="F622" s="2489"/>
      <c r="U622" s="2489"/>
    </row>
    <row r="623" spans="1:21">
      <c r="A623" s="2489"/>
      <c r="B623" s="2489"/>
      <c r="C623" s="2489"/>
      <c r="D623" s="2489"/>
      <c r="E623" s="2489"/>
      <c r="F623" s="2489"/>
      <c r="U623" s="2489"/>
    </row>
    <row r="624" spans="1:21">
      <c r="A624" s="2489"/>
      <c r="B624" s="2489"/>
      <c r="C624" s="2489"/>
      <c r="D624" s="2489"/>
      <c r="E624" s="2489"/>
      <c r="F624" s="2489"/>
      <c r="U624" s="2489"/>
    </row>
    <row r="625" spans="1:21">
      <c r="A625" s="2489"/>
      <c r="B625" s="2489"/>
      <c r="C625" s="2489"/>
      <c r="D625" s="2489"/>
      <c r="E625" s="2489"/>
      <c r="F625" s="2489"/>
      <c r="U625" s="2489"/>
    </row>
    <row r="626" spans="1:21">
      <c r="A626" s="2489"/>
      <c r="B626" s="2489"/>
      <c r="C626" s="2489"/>
      <c r="D626" s="2489"/>
      <c r="E626" s="2489"/>
      <c r="F626" s="2489"/>
      <c r="U626" s="2489"/>
    </row>
    <row r="627" spans="1:21">
      <c r="A627" s="2489"/>
      <c r="B627" s="2489"/>
      <c r="C627" s="2489"/>
      <c r="D627" s="2489"/>
      <c r="E627" s="2489"/>
      <c r="F627" s="2489"/>
      <c r="U627" s="2489"/>
    </row>
    <row r="628" spans="1:21">
      <c r="A628" s="2489"/>
      <c r="B628" s="2489"/>
      <c r="C628" s="2489"/>
      <c r="D628" s="2489"/>
      <c r="E628" s="2489"/>
      <c r="F628" s="2489"/>
      <c r="U628" s="2489"/>
    </row>
    <row r="629" spans="1:21">
      <c r="A629" s="2489"/>
      <c r="B629" s="2489"/>
      <c r="C629" s="2489"/>
      <c r="D629" s="2489"/>
      <c r="E629" s="2489"/>
      <c r="F629" s="2489"/>
      <c r="U629" s="2489"/>
    </row>
    <row r="630" spans="1:21">
      <c r="A630" s="2489"/>
      <c r="B630" s="2489"/>
      <c r="C630" s="2489"/>
      <c r="D630" s="2489"/>
      <c r="E630" s="2489"/>
      <c r="F630" s="2489"/>
      <c r="U630" s="2489"/>
    </row>
    <row r="631" spans="1:21">
      <c r="A631" s="2489"/>
      <c r="B631" s="2489"/>
      <c r="C631" s="2489"/>
      <c r="D631" s="2489"/>
      <c r="E631" s="2489"/>
      <c r="F631" s="2489"/>
      <c r="U631" s="2489"/>
    </row>
    <row r="632" spans="1:21">
      <c r="A632" s="2489"/>
      <c r="B632" s="2489"/>
      <c r="C632" s="2489"/>
      <c r="D632" s="2489"/>
      <c r="E632" s="2489"/>
      <c r="F632" s="2489"/>
      <c r="U632" s="2489"/>
    </row>
    <row r="633" spans="1:21">
      <c r="A633" s="2489"/>
      <c r="B633" s="2489"/>
      <c r="C633" s="2489"/>
      <c r="D633" s="2489"/>
      <c r="E633" s="2489"/>
      <c r="F633" s="2489"/>
      <c r="U633" s="2489"/>
    </row>
    <row r="634" spans="1:21">
      <c r="A634" s="2489"/>
      <c r="B634" s="2489"/>
      <c r="C634" s="2489"/>
      <c r="D634" s="2489"/>
      <c r="E634" s="2489"/>
      <c r="F634" s="2489"/>
      <c r="U634" s="2489"/>
    </row>
    <row r="635" spans="1:21">
      <c r="A635" s="2489"/>
      <c r="B635" s="2489"/>
      <c r="C635" s="2489"/>
      <c r="D635" s="2489"/>
      <c r="E635" s="2489"/>
      <c r="F635" s="2489"/>
      <c r="U635" s="2489"/>
    </row>
    <row r="636" spans="1:21">
      <c r="A636" s="2489"/>
      <c r="B636" s="2489"/>
      <c r="C636" s="2489"/>
      <c r="D636" s="2489"/>
      <c r="E636" s="2489"/>
      <c r="F636" s="2489"/>
      <c r="U636" s="2489"/>
    </row>
    <row r="637" spans="1:21">
      <c r="A637" s="2489"/>
      <c r="B637" s="2489"/>
      <c r="C637" s="2489"/>
      <c r="D637" s="2489"/>
      <c r="E637" s="2489"/>
      <c r="F637" s="2489"/>
      <c r="U637" s="2489"/>
    </row>
    <row r="638" spans="1:21">
      <c r="A638" s="2489"/>
      <c r="B638" s="2489"/>
      <c r="C638" s="2489"/>
      <c r="D638" s="2489"/>
      <c r="E638" s="2489"/>
      <c r="F638" s="2489"/>
      <c r="U638" s="2489"/>
    </row>
    <row r="639" spans="1:21">
      <c r="A639" s="2489"/>
      <c r="B639" s="2489"/>
      <c r="C639" s="2489"/>
      <c r="D639" s="2489"/>
      <c r="E639" s="2489"/>
      <c r="F639" s="2489"/>
      <c r="U639" s="2489"/>
    </row>
    <row r="640" spans="1:21">
      <c r="A640" s="2489"/>
      <c r="B640" s="2489"/>
      <c r="C640" s="2489"/>
      <c r="D640" s="2489"/>
      <c r="E640" s="2489"/>
      <c r="F640" s="2489"/>
      <c r="U640" s="2489"/>
    </row>
    <row r="641" spans="1:21">
      <c r="A641" s="2489"/>
      <c r="B641" s="2489"/>
      <c r="C641" s="2489"/>
      <c r="D641" s="2489"/>
      <c r="E641" s="2489"/>
      <c r="F641" s="2489"/>
      <c r="U641" s="2489"/>
    </row>
    <row r="642" spans="1:21">
      <c r="A642" s="2489"/>
      <c r="B642" s="2489"/>
      <c r="C642" s="2489"/>
      <c r="D642" s="2489"/>
      <c r="E642" s="2489"/>
      <c r="F642" s="2489"/>
      <c r="U642" s="2489"/>
    </row>
    <row r="643" spans="1:21">
      <c r="A643" s="2489"/>
      <c r="B643" s="2489"/>
      <c r="C643" s="2489"/>
      <c r="D643" s="2489"/>
      <c r="E643" s="2489"/>
      <c r="F643" s="2489"/>
      <c r="U643" s="2489"/>
    </row>
    <row r="644" spans="1:21">
      <c r="A644" s="2489"/>
      <c r="B644" s="2489"/>
      <c r="C644" s="2489"/>
      <c r="D644" s="2489"/>
      <c r="E644" s="2489"/>
      <c r="F644" s="2489"/>
      <c r="U644" s="2489"/>
    </row>
    <row r="645" spans="1:21">
      <c r="A645" s="2489"/>
      <c r="B645" s="2489"/>
      <c r="C645" s="2489"/>
      <c r="D645" s="2489"/>
      <c r="E645" s="2489"/>
      <c r="F645" s="2489"/>
      <c r="U645" s="2489"/>
    </row>
    <row r="646" spans="1:21">
      <c r="A646" s="2489"/>
      <c r="B646" s="2489"/>
      <c r="C646" s="2489"/>
      <c r="D646" s="2489"/>
      <c r="E646" s="2489"/>
      <c r="F646" s="2489"/>
      <c r="U646" s="2489"/>
    </row>
    <row r="647" spans="1:21">
      <c r="A647" s="2489"/>
      <c r="B647" s="2489"/>
      <c r="C647" s="2489"/>
      <c r="D647" s="2489"/>
      <c r="E647" s="2489"/>
      <c r="F647" s="2489"/>
      <c r="U647" s="2489"/>
    </row>
    <row r="648" spans="1:21">
      <c r="A648" s="2489"/>
      <c r="B648" s="2489"/>
      <c r="C648" s="2489"/>
      <c r="D648" s="2489"/>
      <c r="E648" s="2489"/>
      <c r="F648" s="2489"/>
      <c r="U648" s="2489"/>
    </row>
    <row r="649" spans="1:21">
      <c r="A649" s="2489"/>
      <c r="B649" s="2489"/>
      <c r="C649" s="2489"/>
      <c r="D649" s="2489"/>
      <c r="E649" s="2489"/>
      <c r="F649" s="2489"/>
      <c r="U649" s="2489"/>
    </row>
    <row r="650" spans="1:21">
      <c r="A650" s="2489"/>
      <c r="B650" s="2489"/>
      <c r="C650" s="2489"/>
      <c r="D650" s="2489"/>
      <c r="E650" s="2489"/>
      <c r="F650" s="2489"/>
      <c r="U650" s="2489"/>
    </row>
    <row r="651" spans="1:21">
      <c r="A651" s="2489"/>
      <c r="B651" s="2489"/>
      <c r="C651" s="2489"/>
      <c r="D651" s="2489"/>
      <c r="E651" s="2489"/>
      <c r="F651" s="2489"/>
      <c r="U651" s="2489"/>
    </row>
    <row r="652" spans="1:21">
      <c r="A652" s="2489"/>
      <c r="B652" s="2489"/>
      <c r="C652" s="2489"/>
      <c r="D652" s="2489"/>
      <c r="E652" s="2489"/>
      <c r="F652" s="2489"/>
      <c r="U652" s="2489"/>
    </row>
    <row r="653" spans="1:21">
      <c r="A653" s="2489"/>
      <c r="B653" s="2489"/>
      <c r="C653" s="2489"/>
      <c r="D653" s="2489"/>
      <c r="E653" s="2489"/>
      <c r="F653" s="2489"/>
      <c r="U653" s="2489"/>
    </row>
    <row r="654" spans="1:21">
      <c r="A654" s="2489"/>
      <c r="B654" s="2489"/>
      <c r="C654" s="2489"/>
      <c r="D654" s="2489"/>
      <c r="E654" s="2489"/>
      <c r="F654" s="2489"/>
      <c r="U654" s="2489"/>
    </row>
    <row r="655" spans="1:21">
      <c r="A655" s="2489"/>
      <c r="B655" s="2489"/>
      <c r="C655" s="2489"/>
      <c r="D655" s="2489"/>
      <c r="E655" s="2489"/>
      <c r="F655" s="2489"/>
      <c r="U655" s="2489"/>
    </row>
    <row r="656" spans="1:21">
      <c r="A656" s="2489"/>
      <c r="B656" s="2489"/>
      <c r="C656" s="2489"/>
      <c r="D656" s="2489"/>
      <c r="E656" s="2489"/>
      <c r="F656" s="2489"/>
      <c r="U656" s="2489"/>
    </row>
    <row r="657" spans="1:21">
      <c r="A657" s="2489"/>
      <c r="B657" s="2489"/>
      <c r="C657" s="2489"/>
      <c r="D657" s="2489"/>
      <c r="E657" s="2489"/>
      <c r="F657" s="2489"/>
      <c r="U657" s="2489"/>
    </row>
    <row r="658" spans="1:21">
      <c r="A658" s="2489"/>
      <c r="B658" s="2489"/>
      <c r="C658" s="2489"/>
      <c r="D658" s="2489"/>
      <c r="E658" s="2489"/>
      <c r="F658" s="2489"/>
      <c r="U658" s="2489"/>
    </row>
    <row r="659" spans="1:21">
      <c r="A659" s="2489"/>
      <c r="B659" s="2489"/>
      <c r="C659" s="2489"/>
      <c r="D659" s="2489"/>
      <c r="E659" s="2489"/>
      <c r="F659" s="2489"/>
      <c r="U659" s="2489"/>
    </row>
    <row r="660" spans="1:21">
      <c r="A660" s="2489"/>
      <c r="B660" s="2489"/>
      <c r="C660" s="2489"/>
      <c r="D660" s="2489"/>
      <c r="E660" s="2489"/>
      <c r="F660" s="2489"/>
      <c r="U660" s="2489"/>
    </row>
    <row r="661" spans="1:21">
      <c r="A661" s="2489"/>
      <c r="B661" s="2489"/>
      <c r="C661" s="2489"/>
      <c r="D661" s="2489"/>
      <c r="E661" s="2489"/>
      <c r="F661" s="2489"/>
      <c r="U661" s="2489"/>
    </row>
    <row r="662" spans="1:21">
      <c r="A662" s="2489"/>
      <c r="B662" s="2489"/>
      <c r="C662" s="2489"/>
      <c r="D662" s="2489"/>
      <c r="E662" s="2489"/>
      <c r="F662" s="2489"/>
      <c r="U662" s="2489"/>
    </row>
    <row r="663" spans="1:21">
      <c r="A663" s="2489"/>
      <c r="B663" s="2489"/>
      <c r="C663" s="2489"/>
      <c r="D663" s="2489"/>
      <c r="E663" s="2489"/>
      <c r="F663" s="2489"/>
      <c r="U663" s="2489"/>
    </row>
    <row r="664" spans="1:21">
      <c r="A664" s="2489"/>
      <c r="B664" s="2489"/>
      <c r="C664" s="2489"/>
      <c r="D664" s="2489"/>
      <c r="E664" s="2489"/>
      <c r="F664" s="2489"/>
      <c r="U664" s="2489"/>
    </row>
    <row r="665" spans="1:21">
      <c r="A665" s="2489"/>
      <c r="B665" s="2489"/>
      <c r="C665" s="2489"/>
      <c r="D665" s="2489"/>
      <c r="E665" s="2489"/>
      <c r="F665" s="2489"/>
      <c r="U665" s="2489"/>
    </row>
    <row r="666" spans="1:21">
      <c r="A666" s="2489"/>
      <c r="B666" s="2489"/>
      <c r="C666" s="2489"/>
      <c r="D666" s="2489"/>
      <c r="E666" s="2489"/>
      <c r="F666" s="2489"/>
      <c r="U666" s="2489"/>
    </row>
    <row r="667" spans="1:21">
      <c r="A667" s="2489"/>
      <c r="B667" s="2489"/>
      <c r="C667" s="2489"/>
      <c r="D667" s="2489"/>
      <c r="E667" s="2489"/>
      <c r="F667" s="2489"/>
      <c r="U667" s="2489"/>
    </row>
    <row r="668" spans="1:21">
      <c r="A668" s="2489"/>
      <c r="B668" s="2489"/>
      <c r="C668" s="2489"/>
      <c r="D668" s="2489"/>
      <c r="E668" s="2489"/>
      <c r="F668" s="2489"/>
      <c r="U668" s="2489"/>
    </row>
    <row r="669" spans="1:21">
      <c r="A669" s="2489"/>
      <c r="B669" s="2489"/>
      <c r="C669" s="2489"/>
      <c r="D669" s="2489"/>
      <c r="E669" s="2489"/>
      <c r="F669" s="2489"/>
      <c r="U669" s="2489"/>
    </row>
    <row r="670" spans="1:21">
      <c r="A670" s="2489"/>
      <c r="B670" s="2489"/>
      <c r="C670" s="2489"/>
      <c r="D670" s="2489"/>
      <c r="E670" s="2489"/>
      <c r="F670" s="2489"/>
      <c r="U670" s="2489"/>
    </row>
    <row r="671" spans="1:21">
      <c r="A671" s="2489"/>
      <c r="B671" s="2489"/>
      <c r="C671" s="2489"/>
      <c r="D671" s="2489"/>
      <c r="E671" s="2489"/>
      <c r="F671" s="2489"/>
      <c r="U671" s="2489"/>
    </row>
    <row r="672" spans="1:21">
      <c r="A672" s="2489"/>
      <c r="B672" s="2489"/>
      <c r="C672" s="2489"/>
      <c r="D672" s="2489"/>
      <c r="E672" s="2489"/>
      <c r="F672" s="2489"/>
      <c r="U672" s="2489"/>
    </row>
    <row r="673" spans="1:21">
      <c r="A673" s="2489"/>
      <c r="B673" s="2489"/>
      <c r="C673" s="2489"/>
      <c r="D673" s="2489"/>
      <c r="E673" s="2489"/>
      <c r="F673" s="2489"/>
      <c r="U673" s="2489"/>
    </row>
    <row r="674" spans="1:21">
      <c r="A674" s="2489"/>
      <c r="B674" s="2489"/>
      <c r="C674" s="2489"/>
      <c r="D674" s="2489"/>
      <c r="E674" s="2489"/>
      <c r="F674" s="2489"/>
      <c r="U674" s="2489"/>
    </row>
    <row r="675" spans="1:21">
      <c r="A675" s="2489"/>
      <c r="B675" s="2489"/>
      <c r="C675" s="2489"/>
      <c r="D675" s="2489"/>
      <c r="E675" s="2489"/>
      <c r="F675" s="2489"/>
      <c r="U675" s="2489"/>
    </row>
    <row r="676" spans="1:21">
      <c r="A676" s="2489"/>
      <c r="B676" s="2489"/>
      <c r="C676" s="2489"/>
      <c r="D676" s="2489"/>
      <c r="E676" s="2489"/>
      <c r="F676" s="2489"/>
      <c r="U676" s="2489"/>
    </row>
    <row r="677" spans="1:21">
      <c r="A677" s="2489"/>
      <c r="B677" s="2489"/>
      <c r="C677" s="2489"/>
      <c r="D677" s="2489"/>
      <c r="E677" s="2489"/>
      <c r="F677" s="2489"/>
      <c r="U677" s="2489"/>
    </row>
    <row r="678" spans="1:21">
      <c r="A678" s="2489"/>
      <c r="B678" s="2489"/>
      <c r="C678" s="2489"/>
      <c r="D678" s="2489"/>
      <c r="E678" s="2489"/>
      <c r="F678" s="2489"/>
      <c r="U678" s="2489"/>
    </row>
    <row r="679" spans="1:21">
      <c r="A679" s="2489"/>
      <c r="B679" s="2489"/>
      <c r="C679" s="2489"/>
      <c r="D679" s="2489"/>
      <c r="E679" s="2489"/>
      <c r="F679" s="2489"/>
      <c r="U679" s="2489"/>
    </row>
    <row r="680" spans="1:21">
      <c r="A680" s="2489"/>
      <c r="B680" s="2489"/>
      <c r="C680" s="2489"/>
      <c r="D680" s="2489"/>
      <c r="E680" s="2489"/>
      <c r="F680" s="2489"/>
      <c r="U680" s="2489"/>
    </row>
    <row r="681" spans="1:21">
      <c r="A681" s="2489"/>
      <c r="B681" s="2489"/>
      <c r="C681" s="2489"/>
      <c r="D681" s="2489"/>
      <c r="E681" s="2489"/>
      <c r="F681" s="2489"/>
      <c r="U681" s="2489"/>
    </row>
    <row r="682" spans="1:21">
      <c r="A682" s="2489"/>
      <c r="B682" s="2489"/>
      <c r="C682" s="2489"/>
      <c r="D682" s="2489"/>
      <c r="E682" s="2489"/>
      <c r="F682" s="2489"/>
      <c r="U682" s="2489"/>
    </row>
    <row r="683" spans="1:21">
      <c r="A683" s="2489"/>
      <c r="B683" s="2489"/>
      <c r="C683" s="2489"/>
      <c r="D683" s="2489"/>
      <c r="E683" s="2489"/>
      <c r="F683" s="2489"/>
      <c r="U683" s="2489"/>
    </row>
    <row r="684" spans="1:21">
      <c r="A684" s="2489"/>
      <c r="B684" s="2489"/>
      <c r="C684" s="2489"/>
      <c r="D684" s="2489"/>
      <c r="E684" s="2489"/>
      <c r="F684" s="2489"/>
      <c r="U684" s="2489"/>
    </row>
    <row r="685" spans="1:21">
      <c r="A685" s="2489"/>
      <c r="B685" s="2489"/>
      <c r="C685" s="2489"/>
      <c r="D685" s="2489"/>
      <c r="E685" s="2489"/>
      <c r="F685" s="2489"/>
      <c r="U685" s="2489"/>
    </row>
    <row r="686" spans="1:21">
      <c r="A686" s="2489"/>
      <c r="B686" s="2489"/>
      <c r="C686" s="2489"/>
      <c r="D686" s="2489"/>
      <c r="E686" s="2489"/>
      <c r="F686" s="2489"/>
      <c r="U686" s="2489"/>
    </row>
    <row r="687" spans="1:21">
      <c r="A687" s="2489"/>
      <c r="B687" s="2489"/>
      <c r="C687" s="2489"/>
      <c r="D687" s="2489"/>
      <c r="E687" s="2489"/>
      <c r="F687" s="2489"/>
      <c r="U687" s="2489"/>
    </row>
    <row r="688" spans="1:21">
      <c r="A688" s="2489"/>
      <c r="B688" s="2489"/>
      <c r="C688" s="2489"/>
      <c r="D688" s="2489"/>
      <c r="E688" s="2489"/>
      <c r="F688" s="2489"/>
      <c r="U688" s="2489"/>
    </row>
    <row r="689" spans="1:21">
      <c r="A689" s="2489"/>
      <c r="B689" s="2489"/>
      <c r="C689" s="2489"/>
      <c r="D689" s="2489"/>
      <c r="E689" s="2489"/>
      <c r="F689" s="2489"/>
      <c r="U689" s="2489"/>
    </row>
    <row r="690" spans="1:21">
      <c r="A690" s="2489"/>
      <c r="B690" s="2489"/>
      <c r="C690" s="2489"/>
      <c r="D690" s="2489"/>
      <c r="E690" s="2489"/>
      <c r="F690" s="2489"/>
      <c r="U690" s="2489"/>
    </row>
    <row r="691" spans="1:21">
      <c r="A691" s="2489"/>
      <c r="B691" s="2489"/>
      <c r="C691" s="2489"/>
      <c r="D691" s="2489"/>
      <c r="E691" s="2489"/>
      <c r="F691" s="2489"/>
      <c r="U691" s="2489"/>
    </row>
    <row r="692" spans="1:21">
      <c r="A692" s="2489"/>
      <c r="B692" s="2489"/>
      <c r="C692" s="2489"/>
      <c r="D692" s="2489"/>
      <c r="E692" s="2489"/>
      <c r="F692" s="2489"/>
      <c r="U692" s="2489"/>
    </row>
    <row r="693" spans="1:21">
      <c r="A693" s="2489"/>
      <c r="B693" s="2489"/>
      <c r="C693" s="2489"/>
      <c r="D693" s="2489"/>
      <c r="E693" s="2489"/>
      <c r="F693" s="2489"/>
      <c r="U693" s="2489"/>
    </row>
    <row r="694" spans="1:21">
      <c r="A694" s="2489"/>
      <c r="B694" s="2489"/>
      <c r="C694" s="2489"/>
      <c r="D694" s="2489"/>
      <c r="E694" s="2489"/>
      <c r="F694" s="2489"/>
      <c r="U694" s="2489"/>
    </row>
    <row r="695" spans="1:21">
      <c r="A695" s="2489"/>
      <c r="B695" s="2489"/>
      <c r="C695" s="2489"/>
      <c r="D695" s="2489"/>
      <c r="E695" s="2489"/>
      <c r="F695" s="2489"/>
      <c r="U695" s="2489"/>
    </row>
    <row r="696" spans="1:21">
      <c r="A696" s="2489"/>
      <c r="B696" s="2489"/>
      <c r="C696" s="2489"/>
      <c r="D696" s="2489"/>
      <c r="E696" s="2489"/>
      <c r="F696" s="2489"/>
      <c r="U696" s="2489"/>
    </row>
    <row r="697" spans="1:21">
      <c r="A697" s="2489"/>
      <c r="B697" s="2489"/>
      <c r="C697" s="2489"/>
      <c r="D697" s="2489"/>
      <c r="E697" s="2489"/>
      <c r="F697" s="2489"/>
      <c r="U697" s="2489"/>
    </row>
    <row r="698" spans="1:21">
      <c r="A698" s="2489"/>
      <c r="B698" s="2489"/>
      <c r="C698" s="2489"/>
      <c r="D698" s="2489"/>
      <c r="E698" s="2489"/>
      <c r="F698" s="2489"/>
      <c r="U698" s="2489"/>
    </row>
    <row r="699" spans="1:21">
      <c r="A699" s="2489"/>
      <c r="B699" s="2489"/>
      <c r="C699" s="2489"/>
      <c r="D699" s="2489"/>
      <c r="E699" s="2489"/>
      <c r="F699" s="2489"/>
      <c r="U699" s="2489"/>
    </row>
    <row r="700" spans="1:21">
      <c r="A700" s="2489"/>
      <c r="B700" s="2489"/>
      <c r="C700" s="2489"/>
      <c r="D700" s="2489"/>
      <c r="E700" s="2489"/>
      <c r="F700" s="2489"/>
      <c r="U700" s="2489"/>
    </row>
    <row r="701" spans="1:21">
      <c r="A701" s="2489"/>
      <c r="B701" s="2489"/>
      <c r="C701" s="2489"/>
      <c r="D701" s="2489"/>
      <c r="E701" s="2489"/>
      <c r="F701" s="2489"/>
      <c r="U701" s="2489"/>
    </row>
    <row r="702" spans="1:21">
      <c r="A702" s="2489"/>
      <c r="B702" s="2489"/>
      <c r="C702" s="2489"/>
      <c r="D702" s="2489"/>
      <c r="E702" s="2489"/>
      <c r="F702" s="2489"/>
      <c r="U702" s="2489"/>
    </row>
    <row r="703" spans="1:21">
      <c r="A703" s="2489"/>
      <c r="B703" s="2489"/>
      <c r="C703" s="2489"/>
      <c r="D703" s="2489"/>
      <c r="E703" s="2489"/>
      <c r="F703" s="2489"/>
      <c r="U703" s="2489"/>
    </row>
    <row r="704" spans="1:21">
      <c r="A704" s="2489"/>
      <c r="B704" s="2489"/>
      <c r="C704" s="2489"/>
      <c r="D704" s="2489"/>
      <c r="E704" s="2489"/>
      <c r="F704" s="2489"/>
      <c r="U704" s="2489"/>
    </row>
    <row r="705" spans="1:21">
      <c r="A705" s="2489"/>
      <c r="B705" s="2489"/>
      <c r="C705" s="2489"/>
      <c r="D705" s="2489"/>
      <c r="E705" s="2489"/>
      <c r="F705" s="2489"/>
      <c r="U705" s="2489"/>
    </row>
    <row r="706" spans="1:21">
      <c r="A706" s="2489"/>
      <c r="B706" s="2489"/>
      <c r="C706" s="2489"/>
      <c r="D706" s="2489"/>
      <c r="E706" s="2489"/>
      <c r="F706" s="2489"/>
      <c r="U706" s="2489"/>
    </row>
    <row r="707" spans="1:21">
      <c r="A707" s="2489"/>
      <c r="B707" s="2489"/>
      <c r="C707" s="2489"/>
      <c r="D707" s="2489"/>
      <c r="E707" s="2489"/>
      <c r="F707" s="2489"/>
      <c r="U707" s="2489"/>
    </row>
    <row r="708" spans="1:21">
      <c r="A708" s="2489"/>
      <c r="B708" s="2489"/>
      <c r="C708" s="2489"/>
      <c r="D708" s="2489"/>
      <c r="E708" s="2489"/>
      <c r="F708" s="2489"/>
      <c r="U708" s="2489"/>
    </row>
    <row r="709" spans="1:21">
      <c r="A709" s="2489"/>
      <c r="B709" s="2489"/>
      <c r="C709" s="2489"/>
      <c r="D709" s="2489"/>
      <c r="E709" s="2489"/>
      <c r="F709" s="2489"/>
      <c r="U709" s="2489"/>
    </row>
    <row r="710" spans="1:21">
      <c r="A710" s="2489"/>
      <c r="B710" s="2489"/>
      <c r="C710" s="2489"/>
      <c r="D710" s="2489"/>
      <c r="E710" s="2489"/>
      <c r="F710" s="2489"/>
      <c r="U710" s="2489"/>
    </row>
    <row r="711" spans="1:21">
      <c r="A711" s="2489"/>
      <c r="B711" s="2489"/>
      <c r="C711" s="2489"/>
      <c r="D711" s="2489"/>
      <c r="E711" s="2489"/>
      <c r="F711" s="2489"/>
      <c r="U711" s="2489"/>
    </row>
    <row r="712" spans="1:21">
      <c r="A712" s="2489"/>
      <c r="B712" s="2489"/>
      <c r="C712" s="2489"/>
      <c r="D712" s="2489"/>
      <c r="E712" s="2489"/>
      <c r="F712" s="2489"/>
      <c r="U712" s="2489"/>
    </row>
    <row r="713" spans="1:21">
      <c r="A713" s="2489"/>
      <c r="B713" s="2489"/>
      <c r="C713" s="2489"/>
      <c r="D713" s="2489"/>
      <c r="E713" s="2489"/>
      <c r="F713" s="2489"/>
      <c r="U713" s="2489"/>
    </row>
    <row r="714" spans="1:21">
      <c r="A714" s="2489"/>
      <c r="B714" s="2489"/>
      <c r="C714" s="2489"/>
      <c r="D714" s="2489"/>
      <c r="E714" s="2489"/>
      <c r="F714" s="2489"/>
      <c r="U714" s="2489"/>
    </row>
    <row r="715" spans="1:21">
      <c r="A715" s="2489"/>
      <c r="B715" s="2489"/>
      <c r="C715" s="2489"/>
      <c r="D715" s="2489"/>
      <c r="E715" s="2489"/>
      <c r="F715" s="2489"/>
      <c r="U715" s="2489"/>
    </row>
    <row r="716" spans="1:21">
      <c r="A716" s="2489"/>
      <c r="B716" s="2489"/>
      <c r="C716" s="2489"/>
      <c r="D716" s="2489"/>
      <c r="E716" s="2489"/>
      <c r="F716" s="2489"/>
      <c r="U716" s="2489"/>
    </row>
    <row r="717" spans="1:21">
      <c r="A717" s="2489"/>
      <c r="B717" s="2489"/>
      <c r="C717" s="2489"/>
      <c r="D717" s="2489"/>
      <c r="E717" s="2489"/>
      <c r="F717" s="2489"/>
      <c r="U717" s="2489"/>
    </row>
    <row r="718" spans="1:21">
      <c r="A718" s="2489"/>
      <c r="B718" s="2489"/>
      <c r="C718" s="2489"/>
      <c r="D718" s="2489"/>
      <c r="E718" s="2489"/>
      <c r="F718" s="2489"/>
      <c r="U718" s="2489"/>
    </row>
    <row r="719" spans="1:21">
      <c r="A719" s="2489"/>
      <c r="B719" s="2489"/>
      <c r="C719" s="2489"/>
      <c r="D719" s="2489"/>
      <c r="E719" s="2489"/>
      <c r="F719" s="2489"/>
      <c r="U719" s="2489"/>
    </row>
    <row r="720" spans="1:21">
      <c r="A720" s="2489"/>
      <c r="B720" s="2489"/>
      <c r="C720" s="2489"/>
      <c r="D720" s="2489"/>
      <c r="E720" s="2489"/>
      <c r="F720" s="2489"/>
      <c r="U720" s="2489"/>
    </row>
    <row r="721" spans="1:21">
      <c r="A721" s="2489"/>
      <c r="B721" s="2489"/>
      <c r="C721" s="2489"/>
      <c r="D721" s="2489"/>
      <c r="E721" s="2489"/>
      <c r="F721" s="2489"/>
      <c r="U721" s="2489"/>
    </row>
    <row r="722" spans="1:21">
      <c r="A722" s="2489"/>
      <c r="B722" s="2489"/>
      <c r="C722" s="2489"/>
      <c r="D722" s="2489"/>
      <c r="E722" s="2489"/>
      <c r="F722" s="2489"/>
      <c r="U722" s="2489"/>
    </row>
    <row r="723" spans="1:21">
      <c r="A723" s="2489"/>
      <c r="B723" s="2489"/>
      <c r="C723" s="2489"/>
      <c r="D723" s="2489"/>
      <c r="E723" s="2489"/>
      <c r="F723" s="2489"/>
      <c r="U723" s="2489"/>
    </row>
    <row r="724" spans="1:21">
      <c r="A724" s="2489"/>
      <c r="B724" s="2489"/>
      <c r="C724" s="2489"/>
      <c r="D724" s="2489"/>
      <c r="E724" s="2489"/>
      <c r="F724" s="2489"/>
      <c r="U724" s="2489"/>
    </row>
    <row r="725" spans="1:21">
      <c r="A725" s="2489"/>
      <c r="B725" s="2489"/>
      <c r="C725" s="2489"/>
      <c r="D725" s="2489"/>
      <c r="E725" s="2489"/>
      <c r="F725" s="2489"/>
      <c r="U725" s="2489"/>
    </row>
    <row r="726" spans="1:21">
      <c r="A726" s="2489"/>
      <c r="B726" s="2489"/>
      <c r="C726" s="2489"/>
      <c r="D726" s="2489"/>
      <c r="E726" s="2489"/>
      <c r="F726" s="2489"/>
      <c r="U726" s="2489"/>
    </row>
    <row r="727" spans="1:21">
      <c r="A727" s="2489"/>
      <c r="B727" s="2489"/>
      <c r="C727" s="2489"/>
      <c r="D727" s="2489"/>
      <c r="E727" s="2489"/>
      <c r="F727" s="2489"/>
      <c r="U727" s="2489"/>
    </row>
    <row r="728" spans="1:21">
      <c r="A728" s="2489"/>
      <c r="B728" s="2489"/>
      <c r="C728" s="2489"/>
      <c r="D728" s="2489"/>
      <c r="E728" s="2489"/>
      <c r="F728" s="2489"/>
      <c r="U728" s="2489"/>
    </row>
    <row r="729" spans="1:21">
      <c r="A729" s="2489"/>
      <c r="B729" s="2489"/>
      <c r="C729" s="2489"/>
      <c r="D729" s="2489"/>
      <c r="E729" s="2489"/>
      <c r="F729" s="2489"/>
      <c r="U729" s="2489"/>
    </row>
    <row r="730" spans="1:21">
      <c r="A730" s="2489"/>
      <c r="B730" s="2489"/>
      <c r="C730" s="2489"/>
      <c r="D730" s="2489"/>
      <c r="E730" s="2489"/>
      <c r="F730" s="2489"/>
      <c r="U730" s="2489"/>
    </row>
    <row r="731" spans="1:21">
      <c r="A731" s="2489"/>
      <c r="B731" s="2489"/>
      <c r="C731" s="2489"/>
      <c r="D731" s="2489"/>
      <c r="E731" s="2489"/>
      <c r="F731" s="2489"/>
      <c r="U731" s="2489"/>
    </row>
    <row r="732" spans="1:21">
      <c r="A732" s="2489"/>
      <c r="B732" s="2489"/>
      <c r="C732" s="2489"/>
      <c r="D732" s="2489"/>
      <c r="E732" s="2489"/>
      <c r="F732" s="2489"/>
      <c r="U732" s="2489"/>
    </row>
    <row r="733" spans="1:21">
      <c r="A733" s="2489"/>
      <c r="B733" s="2489"/>
      <c r="C733" s="2489"/>
      <c r="D733" s="2489"/>
      <c r="E733" s="2489"/>
      <c r="F733" s="2489"/>
      <c r="U733" s="2489"/>
    </row>
    <row r="734" spans="1:21">
      <c r="A734" s="2489"/>
      <c r="B734" s="2489"/>
      <c r="C734" s="2489"/>
      <c r="D734" s="2489"/>
      <c r="E734" s="2489"/>
      <c r="F734" s="2489"/>
      <c r="U734" s="2489"/>
    </row>
    <row r="735" spans="1:21">
      <c r="A735" s="2489"/>
      <c r="B735" s="2489"/>
      <c r="C735" s="2489"/>
      <c r="D735" s="2489"/>
      <c r="E735" s="2489"/>
      <c r="F735" s="2489"/>
      <c r="U735" s="2489"/>
    </row>
    <row r="736" spans="1:21">
      <c r="A736" s="2489"/>
      <c r="B736" s="2489"/>
      <c r="C736" s="2489"/>
      <c r="D736" s="2489"/>
      <c r="E736" s="2489"/>
      <c r="F736" s="2489"/>
      <c r="U736" s="2489"/>
    </row>
    <row r="737" spans="1:21">
      <c r="A737" s="2489"/>
      <c r="B737" s="2489"/>
      <c r="C737" s="2489"/>
      <c r="D737" s="2489"/>
      <c r="E737" s="2489"/>
      <c r="F737" s="2489"/>
      <c r="U737" s="2489"/>
    </row>
    <row r="738" spans="1:21">
      <c r="A738" s="2489"/>
      <c r="B738" s="2489"/>
      <c r="C738" s="2489"/>
      <c r="D738" s="2489"/>
      <c r="E738" s="2489"/>
      <c r="F738" s="2489"/>
      <c r="U738" s="2489"/>
    </row>
    <row r="739" spans="1:21">
      <c r="A739" s="2489"/>
      <c r="B739" s="2489"/>
      <c r="C739" s="2489"/>
      <c r="D739" s="2489"/>
      <c r="E739" s="2489"/>
      <c r="F739" s="2489"/>
      <c r="U739" s="2489"/>
    </row>
    <row r="740" spans="1:21">
      <c r="A740" s="2489"/>
      <c r="B740" s="2489"/>
      <c r="C740" s="2489"/>
      <c r="D740" s="2489"/>
      <c r="E740" s="2489"/>
      <c r="F740" s="2489"/>
      <c r="U740" s="2489"/>
    </row>
    <row r="741" spans="1:21">
      <c r="A741" s="2489"/>
      <c r="B741" s="2489"/>
      <c r="C741" s="2489"/>
      <c r="D741" s="2489"/>
      <c r="E741" s="2489"/>
      <c r="F741" s="2489"/>
      <c r="U741" s="2489"/>
    </row>
    <row r="742" spans="1:21">
      <c r="A742" s="2489"/>
      <c r="B742" s="2489"/>
      <c r="C742" s="2489"/>
      <c r="D742" s="2489"/>
      <c r="E742" s="2489"/>
      <c r="F742" s="2489"/>
      <c r="U742" s="2489"/>
    </row>
    <row r="743" spans="1:21">
      <c r="A743" s="2489"/>
      <c r="B743" s="2489"/>
      <c r="C743" s="2489"/>
      <c r="D743" s="2489"/>
      <c r="E743" s="2489"/>
      <c r="F743" s="2489"/>
      <c r="U743" s="2489"/>
    </row>
    <row r="744" spans="1:21">
      <c r="A744" s="2489"/>
      <c r="B744" s="2489"/>
      <c r="C744" s="2489"/>
      <c r="D744" s="2489"/>
      <c r="E744" s="2489"/>
      <c r="F744" s="2489"/>
      <c r="U744" s="2489"/>
    </row>
    <row r="745" spans="1:21">
      <c r="A745" s="2489"/>
      <c r="B745" s="2489"/>
      <c r="C745" s="2489"/>
      <c r="D745" s="2489"/>
      <c r="E745" s="2489"/>
      <c r="F745" s="2489"/>
      <c r="U745" s="2489"/>
    </row>
    <row r="746" spans="1:21">
      <c r="A746" s="2489"/>
      <c r="B746" s="2489"/>
      <c r="C746" s="2489"/>
      <c r="D746" s="2489"/>
      <c r="E746" s="2489"/>
      <c r="F746" s="2489"/>
      <c r="U746" s="2489"/>
    </row>
    <row r="747" spans="1:21">
      <c r="A747" s="2489"/>
      <c r="B747" s="2489"/>
      <c r="C747" s="2489"/>
      <c r="D747" s="2489"/>
      <c r="E747" s="2489"/>
      <c r="F747" s="2489"/>
      <c r="U747" s="2489"/>
    </row>
    <row r="748" spans="1:21">
      <c r="A748" s="2489"/>
      <c r="B748" s="2489"/>
      <c r="C748" s="2489"/>
      <c r="D748" s="2489"/>
      <c r="E748" s="2489"/>
      <c r="F748" s="2489"/>
      <c r="U748" s="2489"/>
    </row>
    <row r="749" spans="1:21">
      <c r="A749" s="2489"/>
      <c r="B749" s="2489"/>
      <c r="C749" s="2489"/>
      <c r="D749" s="2489"/>
      <c r="E749" s="2489"/>
      <c r="F749" s="2489"/>
      <c r="U749" s="2489"/>
    </row>
    <row r="750" spans="1:21">
      <c r="A750" s="2489"/>
      <c r="B750" s="2489"/>
      <c r="C750" s="2489"/>
      <c r="D750" s="2489"/>
      <c r="E750" s="2489"/>
      <c r="F750" s="2489"/>
      <c r="U750" s="2489"/>
    </row>
    <row r="751" spans="1:21">
      <c r="A751" s="2489"/>
      <c r="B751" s="2489"/>
      <c r="C751" s="2489"/>
      <c r="D751" s="2489"/>
      <c r="E751" s="2489"/>
      <c r="F751" s="2489"/>
      <c r="U751" s="2489"/>
    </row>
    <row r="752" spans="1:21">
      <c r="A752" s="2489"/>
      <c r="B752" s="2489"/>
      <c r="C752" s="2489"/>
      <c r="D752" s="2489"/>
      <c r="E752" s="2489"/>
      <c r="F752" s="2489"/>
      <c r="U752" s="2489"/>
    </row>
    <row r="753" spans="1:21">
      <c r="A753" s="2489"/>
      <c r="B753" s="2489"/>
      <c r="C753" s="2489"/>
      <c r="D753" s="2489"/>
      <c r="E753" s="2489"/>
      <c r="F753" s="2489"/>
      <c r="U753" s="2489"/>
    </row>
    <row r="754" spans="1:21">
      <c r="A754" s="2489"/>
      <c r="B754" s="2489"/>
      <c r="C754" s="2489"/>
      <c r="D754" s="2489"/>
      <c r="E754" s="2489"/>
      <c r="F754" s="2489"/>
      <c r="U754" s="2489"/>
    </row>
    <row r="755" spans="1:21">
      <c r="A755" s="2489"/>
      <c r="B755" s="2489"/>
      <c r="C755" s="2489"/>
      <c r="D755" s="2489"/>
      <c r="E755" s="2489"/>
      <c r="F755" s="2489"/>
      <c r="U755" s="2489"/>
    </row>
    <row r="756" spans="1:21">
      <c r="A756" s="2489"/>
      <c r="B756" s="2489"/>
      <c r="C756" s="2489"/>
      <c r="D756" s="2489"/>
      <c r="E756" s="2489"/>
      <c r="F756" s="2489"/>
      <c r="U756" s="2489"/>
    </row>
    <row r="757" spans="1:21">
      <c r="A757" s="2489"/>
      <c r="B757" s="2489"/>
      <c r="C757" s="2489"/>
      <c r="D757" s="2489"/>
      <c r="E757" s="2489"/>
      <c r="F757" s="2489"/>
      <c r="U757" s="2489"/>
    </row>
    <row r="758" spans="1:21">
      <c r="A758" s="2489"/>
      <c r="B758" s="2489"/>
      <c r="C758" s="2489"/>
      <c r="D758" s="2489"/>
      <c r="E758" s="2489"/>
      <c r="F758" s="2489"/>
      <c r="U758" s="2489"/>
    </row>
    <row r="759" spans="1:21">
      <c r="A759" s="2489"/>
      <c r="B759" s="2489"/>
      <c r="C759" s="2489"/>
      <c r="D759" s="2489"/>
      <c r="E759" s="2489"/>
      <c r="F759" s="2489"/>
      <c r="U759" s="2489"/>
    </row>
    <row r="760" spans="1:21">
      <c r="A760" s="2489"/>
      <c r="B760" s="2489"/>
      <c r="C760" s="2489"/>
      <c r="D760" s="2489"/>
      <c r="E760" s="2489"/>
      <c r="F760" s="2489"/>
      <c r="U760" s="2489"/>
    </row>
    <row r="761" spans="1:21">
      <c r="A761" s="2489"/>
      <c r="B761" s="2489"/>
      <c r="C761" s="2489"/>
      <c r="D761" s="2489"/>
      <c r="E761" s="2489"/>
      <c r="F761" s="2489"/>
      <c r="U761" s="2489"/>
    </row>
    <row r="762" spans="1:21">
      <c r="A762" s="2489"/>
      <c r="B762" s="2489"/>
      <c r="C762" s="2489"/>
      <c r="D762" s="2489"/>
      <c r="E762" s="2489"/>
      <c r="F762" s="2489"/>
      <c r="U762" s="2489"/>
    </row>
    <row r="763" spans="1:21">
      <c r="A763" s="2489"/>
      <c r="B763" s="2489"/>
      <c r="C763" s="2489"/>
      <c r="D763" s="2489"/>
      <c r="E763" s="2489"/>
      <c r="F763" s="2489"/>
      <c r="U763" s="2489"/>
    </row>
    <row r="764" spans="1:21">
      <c r="A764" s="2489"/>
      <c r="B764" s="2489"/>
      <c r="C764" s="2489"/>
      <c r="D764" s="2489"/>
      <c r="E764" s="2489"/>
      <c r="F764" s="2489"/>
      <c r="U764" s="2489"/>
    </row>
    <row r="765" spans="1:21">
      <c r="A765" s="2489"/>
      <c r="B765" s="2489"/>
      <c r="C765" s="2489"/>
      <c r="D765" s="2489"/>
      <c r="E765" s="2489"/>
      <c r="F765" s="2489"/>
      <c r="U765" s="2489"/>
    </row>
    <row r="766" spans="1:21">
      <c r="A766" s="2489"/>
      <c r="B766" s="2489"/>
      <c r="C766" s="2489"/>
      <c r="D766" s="2489"/>
      <c r="E766" s="2489"/>
      <c r="F766" s="2489"/>
      <c r="U766" s="2489"/>
    </row>
    <row r="767" spans="1:21">
      <c r="A767" s="2489"/>
      <c r="B767" s="2489"/>
      <c r="C767" s="2489"/>
      <c r="D767" s="2489"/>
      <c r="E767" s="2489"/>
      <c r="F767" s="2489"/>
      <c r="U767" s="2489"/>
    </row>
    <row r="768" spans="1:21">
      <c r="A768" s="2489"/>
      <c r="B768" s="2489"/>
      <c r="C768" s="2489"/>
      <c r="D768" s="2489"/>
      <c r="E768" s="2489"/>
      <c r="F768" s="2489"/>
      <c r="U768" s="2489"/>
    </row>
    <row r="769" spans="1:21">
      <c r="A769" s="2489"/>
      <c r="B769" s="2489"/>
      <c r="C769" s="2489"/>
      <c r="D769" s="2489"/>
      <c r="E769" s="2489"/>
      <c r="F769" s="2489"/>
      <c r="U769" s="2489"/>
    </row>
    <row r="770" spans="1:21">
      <c r="A770" s="2489"/>
      <c r="B770" s="2489"/>
      <c r="C770" s="2489"/>
      <c r="D770" s="2489"/>
      <c r="E770" s="2489"/>
      <c r="F770" s="2489"/>
      <c r="U770" s="2489"/>
    </row>
    <row r="771" spans="1:21">
      <c r="A771" s="2489"/>
      <c r="B771" s="2489"/>
      <c r="C771" s="2489"/>
      <c r="D771" s="2489"/>
      <c r="E771" s="2489"/>
      <c r="F771" s="2489"/>
      <c r="U771" s="2489"/>
    </row>
    <row r="772" spans="1:21">
      <c r="A772" s="2489"/>
      <c r="B772" s="2489"/>
      <c r="C772" s="2489"/>
      <c r="D772" s="2489"/>
      <c r="E772" s="2489"/>
      <c r="F772" s="2489"/>
      <c r="U772" s="2489"/>
    </row>
    <row r="773" spans="1:21">
      <c r="A773" s="2489"/>
      <c r="B773" s="2489"/>
      <c r="C773" s="2489"/>
      <c r="D773" s="2489"/>
      <c r="E773" s="2489"/>
      <c r="F773" s="2489"/>
      <c r="U773" s="2489"/>
    </row>
    <row r="774" spans="1:21">
      <c r="A774" s="2489"/>
      <c r="B774" s="2489"/>
      <c r="C774" s="2489"/>
      <c r="D774" s="2489"/>
      <c r="E774" s="2489"/>
      <c r="F774" s="2489"/>
      <c r="U774" s="2489"/>
    </row>
    <row r="775" spans="1:21">
      <c r="A775" s="2489"/>
      <c r="B775" s="2489"/>
      <c r="C775" s="2489"/>
      <c r="D775" s="2489"/>
      <c r="E775" s="2489"/>
      <c r="F775" s="2489"/>
      <c r="U775" s="2489"/>
    </row>
    <row r="776" spans="1:21">
      <c r="A776" s="2489"/>
      <c r="B776" s="2489"/>
      <c r="C776" s="2489"/>
      <c r="D776" s="2489"/>
      <c r="E776" s="2489"/>
      <c r="F776" s="2489"/>
      <c r="U776" s="2489"/>
    </row>
    <row r="777" spans="1:21">
      <c r="A777" s="2489"/>
      <c r="B777" s="2489"/>
      <c r="C777" s="2489"/>
      <c r="D777" s="2489"/>
      <c r="E777" s="2489"/>
      <c r="F777" s="2489"/>
      <c r="U777" s="2489"/>
    </row>
    <row r="778" spans="1:21">
      <c r="A778" s="2489"/>
      <c r="B778" s="2489"/>
      <c r="C778" s="2489"/>
      <c r="D778" s="2489"/>
      <c r="E778" s="2489"/>
      <c r="F778" s="2489"/>
      <c r="U778" s="2489"/>
    </row>
    <row r="779" spans="1:21">
      <c r="A779" s="2489"/>
      <c r="B779" s="2489"/>
      <c r="C779" s="2489"/>
      <c r="D779" s="2489"/>
      <c r="E779" s="2489"/>
      <c r="F779" s="2489"/>
      <c r="U779" s="2489"/>
    </row>
    <row r="780" spans="1:21">
      <c r="A780" s="2489"/>
      <c r="B780" s="2489"/>
      <c r="C780" s="2489"/>
      <c r="D780" s="2489"/>
      <c r="E780" s="2489"/>
      <c r="F780" s="2489"/>
      <c r="U780" s="2489"/>
    </row>
    <row r="781" spans="1:21">
      <c r="A781" s="2489"/>
      <c r="B781" s="2489"/>
      <c r="C781" s="2489"/>
      <c r="D781" s="2489"/>
      <c r="E781" s="2489"/>
      <c r="F781" s="2489"/>
      <c r="U781" s="2489"/>
    </row>
    <row r="782" spans="1:21">
      <c r="A782" s="2489"/>
      <c r="B782" s="2489"/>
      <c r="C782" s="2489"/>
      <c r="D782" s="2489"/>
      <c r="E782" s="2489"/>
      <c r="F782" s="2489"/>
      <c r="U782" s="2489"/>
    </row>
    <row r="783" spans="1:21">
      <c r="A783" s="2489"/>
      <c r="B783" s="2489"/>
      <c r="C783" s="2489"/>
      <c r="D783" s="2489"/>
      <c r="E783" s="2489"/>
      <c r="F783" s="2489"/>
      <c r="U783" s="2489"/>
    </row>
    <row r="784" spans="1:21">
      <c r="A784" s="2489"/>
      <c r="B784" s="2489"/>
      <c r="C784" s="2489"/>
      <c r="D784" s="2489"/>
      <c r="E784" s="2489"/>
      <c r="F784" s="2489"/>
      <c r="U784" s="2489"/>
    </row>
    <row r="785" spans="1:21">
      <c r="A785" s="2489"/>
      <c r="B785" s="2489"/>
      <c r="C785" s="2489"/>
      <c r="D785" s="2489"/>
      <c r="E785" s="2489"/>
      <c r="F785" s="2489"/>
      <c r="U785" s="2489"/>
    </row>
    <row r="786" spans="1:21">
      <c r="A786" s="2489"/>
      <c r="B786" s="2489"/>
      <c r="C786" s="2489"/>
      <c r="D786" s="2489"/>
      <c r="E786" s="2489"/>
      <c r="F786" s="2489"/>
      <c r="U786" s="2489"/>
    </row>
    <row r="787" spans="1:21">
      <c r="A787" s="2489"/>
      <c r="B787" s="2489"/>
      <c r="C787" s="2489"/>
      <c r="D787" s="2489"/>
      <c r="E787" s="2489"/>
      <c r="F787" s="2489"/>
      <c r="U787" s="2489"/>
    </row>
    <row r="788" spans="1:21">
      <c r="A788" s="2489"/>
      <c r="B788" s="2489"/>
      <c r="C788" s="2489"/>
      <c r="D788" s="2489"/>
      <c r="E788" s="2489"/>
      <c r="F788" s="2489"/>
      <c r="U788" s="2489"/>
    </row>
    <row r="789" spans="1:21">
      <c r="A789" s="2489"/>
      <c r="B789" s="2489"/>
      <c r="C789" s="2489"/>
      <c r="D789" s="2489"/>
      <c r="E789" s="2489"/>
      <c r="F789" s="2489"/>
      <c r="U789" s="2489"/>
    </row>
    <row r="790" spans="1:21">
      <c r="A790" s="2489"/>
      <c r="B790" s="2489"/>
      <c r="C790" s="2489"/>
      <c r="D790" s="2489"/>
      <c r="E790" s="2489"/>
      <c r="F790" s="2489"/>
      <c r="U790" s="2489"/>
    </row>
    <row r="791" spans="1:21">
      <c r="A791" s="2489"/>
      <c r="B791" s="2489"/>
      <c r="C791" s="2489"/>
      <c r="D791" s="2489"/>
      <c r="E791" s="2489"/>
      <c r="F791" s="2489"/>
      <c r="U791" s="2489"/>
    </row>
    <row r="792" spans="1:21">
      <c r="A792" s="2489"/>
      <c r="B792" s="2489"/>
      <c r="C792" s="2489"/>
      <c r="D792" s="2489"/>
      <c r="E792" s="2489"/>
      <c r="F792" s="2489"/>
      <c r="U792" s="2489"/>
    </row>
    <row r="793" spans="1:21">
      <c r="A793" s="2489"/>
      <c r="B793" s="2489"/>
      <c r="C793" s="2489"/>
      <c r="D793" s="2489"/>
      <c r="E793" s="2489"/>
      <c r="F793" s="2489"/>
      <c r="U793" s="2489"/>
    </row>
    <row r="794" spans="1:21">
      <c r="A794" s="2489"/>
      <c r="B794" s="2489"/>
      <c r="C794" s="2489"/>
      <c r="D794" s="2489"/>
      <c r="E794" s="2489"/>
      <c r="F794" s="2489"/>
      <c r="U794" s="2489"/>
    </row>
    <row r="795" spans="1:21">
      <c r="A795" s="2489"/>
      <c r="B795" s="2489"/>
      <c r="C795" s="2489"/>
      <c r="D795" s="2489"/>
      <c r="E795" s="2489"/>
      <c r="F795" s="2489"/>
      <c r="U795" s="2489"/>
    </row>
    <row r="796" spans="1:21">
      <c r="A796" s="2489"/>
      <c r="B796" s="2489"/>
      <c r="C796" s="2489"/>
      <c r="D796" s="2489"/>
      <c r="E796" s="2489"/>
      <c r="F796" s="2489"/>
      <c r="U796" s="2489"/>
    </row>
    <row r="797" spans="1:21">
      <c r="A797" s="2489"/>
      <c r="B797" s="2489"/>
      <c r="C797" s="2489"/>
      <c r="D797" s="2489"/>
      <c r="E797" s="2489"/>
      <c r="F797" s="2489"/>
      <c r="U797" s="2489"/>
    </row>
    <row r="798" spans="1:21">
      <c r="A798" s="2489"/>
      <c r="B798" s="2489"/>
      <c r="C798" s="2489"/>
      <c r="D798" s="2489"/>
      <c r="E798" s="2489"/>
      <c r="F798" s="2489"/>
      <c r="U798" s="2489"/>
    </row>
    <row r="799" spans="1:21">
      <c r="A799" s="2489"/>
      <c r="B799" s="2489"/>
      <c r="C799" s="2489"/>
      <c r="D799" s="2489"/>
      <c r="E799" s="2489"/>
      <c r="F799" s="2489"/>
      <c r="U799" s="2489"/>
    </row>
    <row r="800" spans="1:21">
      <c r="A800" s="2489"/>
      <c r="B800" s="2489"/>
      <c r="C800" s="2489"/>
      <c r="D800" s="2489"/>
      <c r="E800" s="2489"/>
      <c r="F800" s="2489"/>
      <c r="U800" s="2489"/>
    </row>
    <row r="801" spans="1:21">
      <c r="A801" s="2489"/>
      <c r="B801" s="2489"/>
      <c r="C801" s="2489"/>
      <c r="D801" s="2489"/>
      <c r="E801" s="2489"/>
      <c r="F801" s="2489"/>
      <c r="U801" s="2489"/>
    </row>
    <row r="802" spans="1:21">
      <c r="A802" s="2489"/>
      <c r="B802" s="2489"/>
      <c r="C802" s="2489"/>
      <c r="D802" s="2489"/>
      <c r="E802" s="2489"/>
      <c r="F802" s="2489"/>
      <c r="U802" s="2489"/>
    </row>
    <row r="803" spans="1:21">
      <c r="A803" s="2489"/>
      <c r="B803" s="2489"/>
      <c r="C803" s="2489"/>
      <c r="D803" s="2489"/>
      <c r="E803" s="2489"/>
      <c r="F803" s="2489"/>
      <c r="U803" s="2489"/>
    </row>
    <row r="804" spans="1:21">
      <c r="A804" s="2489"/>
      <c r="B804" s="2489"/>
      <c r="C804" s="2489"/>
      <c r="D804" s="2489"/>
      <c r="E804" s="2489"/>
      <c r="F804" s="2489"/>
      <c r="U804" s="2489"/>
    </row>
    <row r="805" spans="1:21">
      <c r="A805" s="2489"/>
      <c r="B805" s="2489"/>
      <c r="C805" s="2489"/>
      <c r="D805" s="2489"/>
      <c r="E805" s="2489"/>
      <c r="F805" s="2489"/>
      <c r="U805" s="2489"/>
    </row>
    <row r="806" spans="1:21">
      <c r="A806" s="2489"/>
      <c r="B806" s="2489"/>
      <c r="C806" s="2489"/>
      <c r="D806" s="2489"/>
      <c r="E806" s="2489"/>
      <c r="F806" s="2489"/>
      <c r="U806" s="2489"/>
    </row>
    <row r="807" spans="1:21">
      <c r="A807" s="2489"/>
      <c r="B807" s="2489"/>
      <c r="C807" s="2489"/>
      <c r="D807" s="2489"/>
      <c r="E807" s="2489"/>
      <c r="F807" s="2489"/>
      <c r="U807" s="2489"/>
    </row>
    <row r="808" spans="1:21">
      <c r="A808" s="2489"/>
      <c r="B808" s="2489"/>
      <c r="C808" s="2489"/>
      <c r="D808" s="2489"/>
      <c r="E808" s="2489"/>
      <c r="F808" s="2489"/>
      <c r="U808" s="2489"/>
    </row>
    <row r="809" spans="1:21">
      <c r="A809" s="2489"/>
      <c r="B809" s="2489"/>
      <c r="C809" s="2489"/>
      <c r="D809" s="2489"/>
      <c r="E809" s="2489"/>
      <c r="F809" s="2489"/>
      <c r="U809" s="2489"/>
    </row>
    <row r="810" spans="1:21">
      <c r="A810" s="2489"/>
      <c r="B810" s="2489"/>
      <c r="C810" s="2489"/>
      <c r="D810" s="2489"/>
      <c r="E810" s="2489"/>
      <c r="F810" s="2489"/>
      <c r="U810" s="2489"/>
    </row>
    <row r="811" spans="1:21">
      <c r="A811" s="2489"/>
      <c r="B811" s="2489"/>
      <c r="C811" s="2489"/>
      <c r="D811" s="2489"/>
      <c r="E811" s="2489"/>
      <c r="F811" s="2489"/>
      <c r="U811" s="2489"/>
    </row>
    <row r="812" spans="1:21">
      <c r="A812" s="2489"/>
      <c r="B812" s="2489"/>
      <c r="C812" s="2489"/>
      <c r="D812" s="2489"/>
      <c r="E812" s="2489"/>
      <c r="F812" s="2489"/>
      <c r="U812" s="2489"/>
    </row>
    <row r="813" spans="1:21">
      <c r="A813" s="2489"/>
      <c r="B813" s="2489"/>
      <c r="C813" s="2489"/>
      <c r="D813" s="2489"/>
      <c r="E813" s="2489"/>
      <c r="F813" s="2489"/>
      <c r="U813" s="2489"/>
    </row>
    <row r="814" spans="1:21">
      <c r="A814" s="2489"/>
      <c r="B814" s="2489"/>
      <c r="C814" s="2489"/>
      <c r="D814" s="2489"/>
      <c r="E814" s="2489"/>
      <c r="F814" s="2489"/>
      <c r="U814" s="2489"/>
    </row>
    <row r="815" spans="1:21">
      <c r="A815" s="2489"/>
      <c r="B815" s="2489"/>
      <c r="C815" s="2489"/>
      <c r="D815" s="2489"/>
      <c r="E815" s="2489"/>
      <c r="F815" s="2489"/>
      <c r="U815" s="2489"/>
    </row>
    <row r="816" spans="1:21">
      <c r="A816" s="2489"/>
      <c r="B816" s="2489"/>
      <c r="C816" s="2489"/>
      <c r="D816" s="2489"/>
      <c r="E816" s="2489"/>
      <c r="F816" s="2489"/>
      <c r="U816" s="2489"/>
    </row>
    <row r="817" spans="1:21">
      <c r="A817" s="2489"/>
      <c r="B817" s="2489"/>
      <c r="C817" s="2489"/>
      <c r="D817" s="2489"/>
      <c r="E817" s="2489"/>
      <c r="F817" s="2489"/>
      <c r="U817" s="2489"/>
    </row>
    <row r="818" spans="1:21">
      <c r="A818" s="2489"/>
      <c r="B818" s="2489"/>
      <c r="C818" s="2489"/>
      <c r="D818" s="2489"/>
      <c r="E818" s="2489"/>
      <c r="F818" s="2489"/>
      <c r="U818" s="2489"/>
    </row>
    <row r="819" spans="1:21">
      <c r="A819" s="2489"/>
      <c r="B819" s="2489"/>
      <c r="C819" s="2489"/>
      <c r="D819" s="2489"/>
      <c r="E819" s="2489"/>
      <c r="F819" s="2489"/>
      <c r="U819" s="2489"/>
    </row>
    <row r="820" spans="1:21">
      <c r="A820" s="2489"/>
      <c r="B820" s="2489"/>
      <c r="C820" s="2489"/>
      <c r="D820" s="2489"/>
      <c r="E820" s="2489"/>
      <c r="F820" s="2489"/>
      <c r="U820" s="2489"/>
    </row>
    <row r="821" spans="1:21">
      <c r="A821" s="2489"/>
      <c r="B821" s="2489"/>
      <c r="C821" s="2489"/>
      <c r="D821" s="2489"/>
      <c r="E821" s="2489"/>
      <c r="F821" s="2489"/>
      <c r="U821" s="2489"/>
    </row>
    <row r="822" spans="1:21">
      <c r="A822" s="2489"/>
      <c r="B822" s="2489"/>
      <c r="C822" s="2489"/>
      <c r="D822" s="2489"/>
      <c r="E822" s="2489"/>
      <c r="F822" s="2489"/>
      <c r="U822" s="2489"/>
    </row>
    <row r="823" spans="1:21">
      <c r="A823" s="2489"/>
      <c r="B823" s="2489"/>
      <c r="C823" s="2489"/>
      <c r="D823" s="2489"/>
      <c r="E823" s="2489"/>
      <c r="F823" s="2489"/>
      <c r="U823" s="2489"/>
    </row>
    <row r="824" spans="1:21">
      <c r="A824" s="2489"/>
      <c r="B824" s="2489"/>
      <c r="C824" s="2489"/>
      <c r="D824" s="2489"/>
      <c r="E824" s="2489"/>
      <c r="F824" s="2489"/>
      <c r="U824" s="2489"/>
    </row>
    <row r="825" spans="1:21">
      <c r="A825" s="2489"/>
      <c r="B825" s="2489"/>
      <c r="C825" s="2489"/>
      <c r="D825" s="2489"/>
      <c r="E825" s="2489"/>
      <c r="F825" s="2489"/>
      <c r="U825" s="2489"/>
    </row>
    <row r="826" spans="1:21">
      <c r="A826" s="2489"/>
      <c r="B826" s="2489"/>
      <c r="C826" s="2489"/>
      <c r="D826" s="2489"/>
      <c r="E826" s="2489"/>
      <c r="F826" s="2489"/>
      <c r="U826" s="2489"/>
    </row>
    <row r="827" spans="1:21">
      <c r="A827" s="2489"/>
      <c r="B827" s="2489"/>
      <c r="C827" s="2489"/>
      <c r="D827" s="2489"/>
      <c r="E827" s="2489"/>
      <c r="F827" s="2489"/>
      <c r="U827" s="2489"/>
    </row>
    <row r="828" spans="1:21">
      <c r="A828" s="2489"/>
      <c r="B828" s="2489"/>
      <c r="C828" s="2489"/>
      <c r="D828" s="2489"/>
      <c r="E828" s="2489"/>
      <c r="F828" s="2489"/>
      <c r="U828" s="2489"/>
    </row>
    <row r="829" spans="1:21">
      <c r="A829" s="2489"/>
      <c r="B829" s="2489"/>
      <c r="C829" s="2489"/>
      <c r="D829" s="2489"/>
      <c r="E829" s="2489"/>
      <c r="F829" s="2489"/>
      <c r="U829" s="2489"/>
    </row>
    <row r="830" spans="1:21">
      <c r="A830" s="2489"/>
      <c r="B830" s="2489"/>
      <c r="C830" s="2489"/>
      <c r="D830" s="2489"/>
      <c r="E830" s="2489"/>
      <c r="F830" s="2489"/>
      <c r="U830" s="2489"/>
    </row>
    <row r="831" spans="1:21">
      <c r="A831" s="2489"/>
      <c r="B831" s="2489"/>
      <c r="C831" s="2489"/>
      <c r="D831" s="2489"/>
      <c r="E831" s="2489"/>
      <c r="F831" s="2489"/>
      <c r="U831" s="2489"/>
    </row>
    <row r="832" spans="1:21">
      <c r="A832" s="2489"/>
      <c r="B832" s="2489"/>
      <c r="C832" s="2489"/>
      <c r="D832" s="2489"/>
      <c r="E832" s="2489"/>
      <c r="F832" s="2489"/>
      <c r="U832" s="2489"/>
    </row>
    <row r="833" spans="1:21">
      <c r="A833" s="2489"/>
      <c r="B833" s="2489"/>
      <c r="C833" s="2489"/>
      <c r="D833" s="2489"/>
      <c r="E833" s="2489"/>
      <c r="F833" s="2489"/>
      <c r="U833" s="2489"/>
    </row>
    <row r="834" spans="1:21">
      <c r="A834" s="2489"/>
      <c r="B834" s="2489"/>
      <c r="C834" s="2489"/>
      <c r="D834" s="2489"/>
      <c r="E834" s="2489"/>
      <c r="F834" s="2489"/>
      <c r="U834" s="2489"/>
    </row>
    <row r="835" spans="1:21">
      <c r="A835" s="2489"/>
      <c r="B835" s="2489"/>
      <c r="C835" s="2489"/>
      <c r="D835" s="2489"/>
      <c r="E835" s="2489"/>
      <c r="F835" s="2489"/>
      <c r="U835" s="2489"/>
    </row>
    <row r="836" spans="1:21">
      <c r="A836" s="2489"/>
      <c r="B836" s="2489"/>
      <c r="C836" s="2489"/>
      <c r="D836" s="2489"/>
      <c r="E836" s="2489"/>
      <c r="F836" s="2489"/>
      <c r="U836" s="2489"/>
    </row>
    <row r="837" spans="1:21">
      <c r="A837" s="2489"/>
      <c r="B837" s="2489"/>
      <c r="C837" s="2489"/>
      <c r="D837" s="2489"/>
      <c r="E837" s="2489"/>
      <c r="F837" s="2489"/>
      <c r="U837" s="2489"/>
    </row>
    <row r="838" spans="1:21">
      <c r="A838" s="2489"/>
      <c r="B838" s="2489"/>
      <c r="C838" s="2489"/>
      <c r="D838" s="2489"/>
      <c r="E838" s="2489"/>
      <c r="F838" s="2489"/>
      <c r="U838" s="2489"/>
    </row>
    <row r="839" spans="1:21">
      <c r="A839" s="2489"/>
      <c r="B839" s="2489"/>
      <c r="C839" s="2489"/>
      <c r="D839" s="2489"/>
      <c r="E839" s="2489"/>
      <c r="F839" s="2489"/>
      <c r="U839" s="2489"/>
    </row>
    <row r="840" spans="1:21">
      <c r="A840" s="2489"/>
      <c r="B840" s="2489"/>
      <c r="C840" s="2489"/>
      <c r="D840" s="2489"/>
      <c r="E840" s="2489"/>
      <c r="F840" s="2489"/>
      <c r="U840" s="2489"/>
    </row>
    <row r="841" spans="1:21">
      <c r="A841" s="2489"/>
      <c r="B841" s="2489"/>
      <c r="C841" s="2489"/>
      <c r="D841" s="2489"/>
      <c r="E841" s="2489"/>
      <c r="F841" s="2489"/>
      <c r="U841" s="2489"/>
    </row>
    <row r="842" spans="1:21">
      <c r="A842" s="2489"/>
      <c r="B842" s="2489"/>
      <c r="C842" s="2489"/>
      <c r="D842" s="2489"/>
      <c r="E842" s="2489"/>
      <c r="F842" s="2489"/>
      <c r="U842" s="2489"/>
    </row>
    <row r="843" spans="1:21">
      <c r="A843" s="2489"/>
      <c r="B843" s="2489"/>
      <c r="C843" s="2489"/>
      <c r="D843" s="2489"/>
      <c r="E843" s="2489"/>
      <c r="F843" s="2489"/>
      <c r="U843" s="2489"/>
    </row>
    <row r="844" spans="1:21">
      <c r="A844" s="2489"/>
      <c r="B844" s="2489"/>
      <c r="C844" s="2489"/>
      <c r="D844" s="2489"/>
      <c r="E844" s="2489"/>
      <c r="F844" s="2489"/>
      <c r="U844" s="2489"/>
    </row>
    <row r="845" spans="1:21">
      <c r="A845" s="2489"/>
      <c r="B845" s="2489"/>
      <c r="C845" s="2489"/>
      <c r="D845" s="2489"/>
      <c r="E845" s="2489"/>
      <c r="F845" s="2489"/>
      <c r="U845" s="2489"/>
    </row>
    <row r="846" spans="1:21">
      <c r="A846" s="2489"/>
      <c r="B846" s="2489"/>
      <c r="C846" s="2489"/>
      <c r="D846" s="2489"/>
      <c r="E846" s="2489"/>
      <c r="F846" s="2489"/>
      <c r="U846" s="2489"/>
    </row>
    <row r="847" spans="1:21">
      <c r="A847" s="2489"/>
      <c r="B847" s="2489"/>
      <c r="C847" s="2489"/>
      <c r="D847" s="2489"/>
      <c r="E847" s="2489"/>
      <c r="F847" s="2489"/>
      <c r="U847" s="2489"/>
    </row>
    <row r="848" spans="1:21">
      <c r="A848" s="2489"/>
      <c r="B848" s="2489"/>
      <c r="C848" s="2489"/>
      <c r="D848" s="2489"/>
      <c r="E848" s="2489"/>
      <c r="F848" s="2489"/>
      <c r="U848" s="2489"/>
    </row>
    <row r="849" spans="1:21">
      <c r="A849" s="2489"/>
      <c r="B849" s="2489"/>
      <c r="C849" s="2489"/>
      <c r="D849" s="2489"/>
      <c r="E849" s="2489"/>
      <c r="F849" s="2489"/>
      <c r="U849" s="2489"/>
    </row>
    <row r="850" spans="1:21">
      <c r="A850" s="2489"/>
      <c r="B850" s="2489"/>
      <c r="C850" s="2489"/>
      <c r="D850" s="2489"/>
      <c r="E850" s="2489"/>
      <c r="F850" s="2489"/>
      <c r="U850" s="2489"/>
    </row>
    <row r="851" spans="1:21">
      <c r="A851" s="2489"/>
      <c r="B851" s="2489"/>
      <c r="C851" s="2489"/>
      <c r="D851" s="2489"/>
      <c r="E851" s="2489"/>
      <c r="F851" s="2489"/>
      <c r="U851" s="2489"/>
    </row>
    <row r="852" spans="1:21">
      <c r="A852" s="2489"/>
      <c r="B852" s="2489"/>
      <c r="C852" s="2489"/>
      <c r="D852" s="2489"/>
      <c r="E852" s="2489"/>
      <c r="F852" s="2489"/>
      <c r="U852" s="2489"/>
    </row>
    <row r="853" spans="1:21">
      <c r="A853" s="2489"/>
      <c r="B853" s="2489"/>
      <c r="C853" s="2489"/>
      <c r="D853" s="2489"/>
      <c r="E853" s="2489"/>
      <c r="F853" s="2489"/>
      <c r="U853" s="2489"/>
    </row>
    <row r="854" spans="1:21">
      <c r="A854" s="2489"/>
      <c r="B854" s="2489"/>
      <c r="C854" s="2489"/>
      <c r="D854" s="2489"/>
      <c r="E854" s="2489"/>
      <c r="F854" s="2489"/>
      <c r="U854" s="2489"/>
    </row>
    <row r="855" spans="1:21">
      <c r="A855" s="2489"/>
      <c r="B855" s="2489"/>
      <c r="C855" s="2489"/>
      <c r="D855" s="2489"/>
      <c r="E855" s="2489"/>
      <c r="F855" s="2489"/>
      <c r="U855" s="2489"/>
    </row>
    <row r="856" spans="1:21">
      <c r="A856" s="2489"/>
      <c r="B856" s="2489"/>
      <c r="C856" s="2489"/>
      <c r="D856" s="2489"/>
      <c r="E856" s="2489"/>
      <c r="F856" s="2489"/>
      <c r="U856" s="2489"/>
    </row>
    <row r="857" spans="1:21">
      <c r="A857" s="2489"/>
      <c r="B857" s="2489"/>
      <c r="C857" s="2489"/>
      <c r="D857" s="2489"/>
      <c r="E857" s="2489"/>
      <c r="F857" s="2489"/>
      <c r="U857" s="2489"/>
    </row>
    <row r="858" spans="1:21">
      <c r="A858" s="2489"/>
      <c r="B858" s="2489"/>
      <c r="C858" s="2489"/>
      <c r="D858" s="2489"/>
      <c r="E858" s="2489"/>
      <c r="F858" s="2489"/>
      <c r="U858" s="2489"/>
    </row>
    <row r="859" spans="1:21">
      <c r="A859" s="2489"/>
      <c r="B859" s="2489"/>
      <c r="C859" s="2489"/>
      <c r="D859" s="2489"/>
      <c r="E859" s="2489"/>
      <c r="F859" s="2489"/>
      <c r="U859" s="2489"/>
    </row>
    <row r="860" spans="1:21">
      <c r="A860" s="2489"/>
      <c r="B860" s="2489"/>
      <c r="C860" s="2489"/>
      <c r="D860" s="2489"/>
      <c r="E860" s="2489"/>
      <c r="F860" s="2489"/>
      <c r="U860" s="2489"/>
    </row>
    <row r="861" spans="1:21">
      <c r="A861" s="2489"/>
      <c r="B861" s="2489"/>
      <c r="C861" s="2489"/>
      <c r="D861" s="2489"/>
      <c r="E861" s="2489"/>
      <c r="F861" s="2489"/>
      <c r="U861" s="2489"/>
    </row>
    <row r="862" spans="1:21">
      <c r="A862" s="2489"/>
      <c r="B862" s="2489"/>
      <c r="C862" s="2489"/>
      <c r="D862" s="2489"/>
      <c r="E862" s="2489"/>
      <c r="F862" s="2489"/>
      <c r="U862" s="2489"/>
    </row>
    <row r="863" spans="1:21">
      <c r="A863" s="2489"/>
      <c r="B863" s="2489"/>
      <c r="C863" s="2489"/>
      <c r="D863" s="2489"/>
      <c r="E863" s="2489"/>
      <c r="F863" s="2489"/>
      <c r="U863" s="2489"/>
    </row>
    <row r="864" spans="1:21">
      <c r="A864" s="2489"/>
      <c r="B864" s="2489"/>
      <c r="C864" s="2489"/>
      <c r="D864" s="2489"/>
      <c r="E864" s="2489"/>
      <c r="F864" s="2489"/>
      <c r="U864" s="2489"/>
    </row>
    <row r="865" spans="1:21">
      <c r="A865" s="2489"/>
      <c r="B865" s="2489"/>
      <c r="C865" s="2489"/>
      <c r="D865" s="2489"/>
      <c r="E865" s="2489"/>
      <c r="F865" s="2489"/>
      <c r="U865" s="2489"/>
    </row>
    <row r="866" spans="1:21">
      <c r="A866" s="2489"/>
      <c r="B866" s="2489"/>
      <c r="C866" s="2489"/>
      <c r="D866" s="2489"/>
      <c r="E866" s="2489"/>
      <c r="F866" s="2489"/>
      <c r="U866" s="2489"/>
    </row>
    <row r="867" spans="1:21">
      <c r="A867" s="2489"/>
      <c r="B867" s="2489"/>
      <c r="C867" s="2489"/>
      <c r="D867" s="2489"/>
      <c r="E867" s="2489"/>
      <c r="F867" s="2489"/>
      <c r="U867" s="2489"/>
    </row>
    <row r="868" spans="1:21">
      <c r="A868" s="2489"/>
      <c r="B868" s="2489"/>
      <c r="C868" s="2489"/>
      <c r="D868" s="2489"/>
      <c r="E868" s="2489"/>
      <c r="F868" s="2489"/>
      <c r="U868" s="2489"/>
    </row>
    <row r="869" spans="1:21">
      <c r="A869" s="2489"/>
      <c r="B869" s="2489"/>
      <c r="C869" s="2489"/>
      <c r="D869" s="2489"/>
      <c r="E869" s="2489"/>
      <c r="F869" s="2489"/>
      <c r="U869" s="2489"/>
    </row>
    <row r="870" spans="1:21">
      <c r="A870" s="2489"/>
      <c r="B870" s="2489"/>
      <c r="C870" s="2489"/>
      <c r="D870" s="2489"/>
      <c r="E870" s="2489"/>
      <c r="F870" s="2489"/>
      <c r="U870" s="2489"/>
    </row>
    <row r="871" spans="1:21">
      <c r="A871" s="2489"/>
      <c r="B871" s="2489"/>
      <c r="C871" s="2489"/>
      <c r="D871" s="2489"/>
      <c r="E871" s="2489"/>
      <c r="F871" s="2489"/>
      <c r="U871" s="2489"/>
    </row>
    <row r="872" spans="1:21">
      <c r="A872" s="2489"/>
      <c r="B872" s="2489"/>
      <c r="C872" s="2489"/>
      <c r="D872" s="2489"/>
      <c r="E872" s="2489"/>
      <c r="F872" s="2489"/>
      <c r="U872" s="2489"/>
    </row>
    <row r="873" spans="1:21">
      <c r="A873" s="2489"/>
      <c r="B873" s="2489"/>
      <c r="C873" s="2489"/>
      <c r="D873" s="2489"/>
      <c r="E873" s="2489"/>
      <c r="F873" s="2489"/>
      <c r="U873" s="2489"/>
    </row>
    <row r="874" spans="1:21">
      <c r="A874" s="2489"/>
      <c r="B874" s="2489"/>
      <c r="C874" s="2489"/>
      <c r="D874" s="2489"/>
      <c r="E874" s="2489"/>
      <c r="F874" s="2489"/>
      <c r="U874" s="2489"/>
    </row>
    <row r="875" spans="1:21">
      <c r="A875" s="2489"/>
      <c r="B875" s="2489"/>
      <c r="C875" s="2489"/>
      <c r="D875" s="2489"/>
      <c r="E875" s="2489"/>
      <c r="F875" s="2489"/>
      <c r="U875" s="2489"/>
    </row>
    <row r="876" spans="1:21">
      <c r="A876" s="2489"/>
      <c r="B876" s="2489"/>
      <c r="C876" s="2489"/>
      <c r="D876" s="2489"/>
      <c r="E876" s="2489"/>
      <c r="F876" s="2489"/>
      <c r="U876" s="2489"/>
    </row>
    <row r="877" spans="1:21">
      <c r="A877" s="2489"/>
      <c r="B877" s="2489"/>
      <c r="C877" s="2489"/>
      <c r="D877" s="2489"/>
      <c r="E877" s="2489"/>
      <c r="F877" s="2489"/>
      <c r="U877" s="2489"/>
    </row>
    <row r="878" spans="1:21">
      <c r="A878" s="2489"/>
      <c r="B878" s="2489"/>
      <c r="C878" s="2489"/>
      <c r="D878" s="2489"/>
      <c r="E878" s="2489"/>
      <c r="F878" s="2489"/>
      <c r="U878" s="2489"/>
    </row>
    <row r="879" spans="1:21">
      <c r="A879" s="2489"/>
      <c r="B879" s="2489"/>
      <c r="C879" s="2489"/>
      <c r="D879" s="2489"/>
      <c r="E879" s="2489"/>
      <c r="F879" s="2489"/>
      <c r="U879" s="2489"/>
    </row>
    <row r="880" spans="1:21">
      <c r="A880" s="2489"/>
      <c r="B880" s="2489"/>
      <c r="C880" s="2489"/>
      <c r="D880" s="2489"/>
      <c r="E880" s="2489"/>
      <c r="F880" s="2489"/>
      <c r="U880" s="2489"/>
    </row>
    <row r="881" spans="1:21">
      <c r="A881" s="2489"/>
      <c r="B881" s="2489"/>
      <c r="C881" s="2489"/>
      <c r="D881" s="2489"/>
      <c r="E881" s="2489"/>
      <c r="F881" s="2489"/>
      <c r="U881" s="2489"/>
    </row>
    <row r="882" spans="1:21">
      <c r="A882" s="2489"/>
      <c r="B882" s="2489"/>
      <c r="C882" s="2489"/>
      <c r="D882" s="2489"/>
      <c r="E882" s="2489"/>
      <c r="F882" s="2489"/>
      <c r="U882" s="2489"/>
    </row>
    <row r="883" spans="1:21">
      <c r="A883" s="2489"/>
      <c r="B883" s="2489"/>
      <c r="C883" s="2489"/>
      <c r="D883" s="2489"/>
      <c r="E883" s="2489"/>
      <c r="F883" s="2489"/>
      <c r="U883" s="2489"/>
    </row>
    <row r="884" spans="1:21">
      <c r="A884" s="2489"/>
      <c r="B884" s="2489"/>
      <c r="C884" s="2489"/>
      <c r="D884" s="2489"/>
      <c r="E884" s="2489"/>
      <c r="F884" s="2489"/>
      <c r="U884" s="2489"/>
    </row>
    <row r="885" spans="1:21">
      <c r="A885" s="2489"/>
      <c r="B885" s="2489"/>
      <c r="C885" s="2489"/>
      <c r="D885" s="2489"/>
      <c r="E885" s="2489"/>
      <c r="F885" s="2489"/>
      <c r="U885" s="2489"/>
    </row>
    <row r="886" spans="1:21">
      <c r="A886" s="2489"/>
      <c r="B886" s="2489"/>
      <c r="C886" s="2489"/>
      <c r="D886" s="2489"/>
      <c r="E886" s="2489"/>
      <c r="F886" s="2489"/>
      <c r="U886" s="2489"/>
    </row>
    <row r="887" spans="1:21">
      <c r="A887" s="2489"/>
      <c r="B887" s="2489"/>
      <c r="C887" s="2489"/>
      <c r="D887" s="2489"/>
      <c r="E887" s="2489"/>
      <c r="F887" s="2489"/>
      <c r="U887" s="2489"/>
    </row>
    <row r="888" spans="1:21">
      <c r="A888" s="2489"/>
      <c r="B888" s="2489"/>
      <c r="C888" s="2489"/>
      <c r="D888" s="2489"/>
      <c r="E888" s="2489"/>
      <c r="F888" s="2489"/>
      <c r="U888" s="2489"/>
    </row>
    <row r="889" spans="1:21">
      <c r="A889" s="2489"/>
      <c r="B889" s="2489"/>
      <c r="C889" s="2489"/>
      <c r="D889" s="2489"/>
      <c r="E889" s="2489"/>
      <c r="F889" s="2489"/>
      <c r="U889" s="2489"/>
    </row>
    <row r="890" spans="1:21">
      <c r="A890" s="2489"/>
      <c r="B890" s="2489"/>
      <c r="C890" s="2489"/>
      <c r="D890" s="2489"/>
      <c r="E890" s="2489"/>
      <c r="F890" s="2489"/>
      <c r="U890" s="2489"/>
    </row>
    <row r="891" spans="1:21">
      <c r="A891" s="2489"/>
      <c r="B891" s="2489"/>
      <c r="C891" s="2489"/>
      <c r="D891" s="2489"/>
      <c r="E891" s="2489"/>
      <c r="F891" s="2489"/>
      <c r="U891" s="2489"/>
    </row>
    <row r="892" spans="1:21">
      <c r="A892" s="2489"/>
      <c r="B892" s="2489"/>
      <c r="C892" s="2489"/>
      <c r="D892" s="2489"/>
      <c r="E892" s="2489"/>
      <c r="F892" s="2489"/>
      <c r="U892" s="2489"/>
    </row>
    <row r="893" spans="1:21">
      <c r="A893" s="2489"/>
      <c r="B893" s="2489"/>
      <c r="C893" s="2489"/>
      <c r="D893" s="2489"/>
      <c r="E893" s="2489"/>
      <c r="F893" s="2489"/>
      <c r="U893" s="2489"/>
    </row>
    <row r="894" spans="1:21">
      <c r="A894" s="2489"/>
      <c r="B894" s="2489"/>
      <c r="C894" s="2489"/>
      <c r="D894" s="2489"/>
      <c r="E894" s="2489"/>
      <c r="F894" s="2489"/>
      <c r="U894" s="2489"/>
    </row>
    <row r="895" spans="1:21">
      <c r="A895" s="2489"/>
      <c r="B895" s="2489"/>
      <c r="C895" s="2489"/>
      <c r="D895" s="2489"/>
      <c r="E895" s="2489"/>
      <c r="F895" s="2489"/>
      <c r="U895" s="2489"/>
    </row>
    <row r="896" spans="1:21">
      <c r="A896" s="2489"/>
      <c r="B896" s="2489"/>
      <c r="C896" s="2489"/>
      <c r="D896" s="2489"/>
      <c r="E896" s="2489"/>
      <c r="F896" s="2489"/>
      <c r="U896" s="2489"/>
    </row>
    <row r="897" spans="1:21">
      <c r="A897" s="2489"/>
      <c r="B897" s="2489"/>
      <c r="C897" s="2489"/>
      <c r="D897" s="2489"/>
      <c r="E897" s="2489"/>
      <c r="F897" s="2489"/>
      <c r="U897" s="2489"/>
    </row>
    <row r="898" spans="1:21">
      <c r="A898" s="2489"/>
      <c r="B898" s="2489"/>
      <c r="C898" s="2489"/>
      <c r="D898" s="2489"/>
      <c r="E898" s="2489"/>
      <c r="F898" s="2489"/>
      <c r="U898" s="2489"/>
    </row>
    <row r="899" spans="1:21">
      <c r="A899" s="2489"/>
      <c r="B899" s="2489"/>
      <c r="C899" s="2489"/>
      <c r="D899" s="2489"/>
      <c r="E899" s="2489"/>
      <c r="F899" s="2489"/>
      <c r="U899" s="2489"/>
    </row>
    <row r="900" spans="1:21">
      <c r="A900" s="2489"/>
      <c r="B900" s="2489"/>
      <c r="C900" s="2489"/>
      <c r="D900" s="2489"/>
      <c r="E900" s="2489"/>
      <c r="F900" s="2489"/>
      <c r="U900" s="2489"/>
    </row>
    <row r="901" spans="1:21">
      <c r="A901" s="2489"/>
      <c r="B901" s="2489"/>
      <c r="C901" s="2489"/>
      <c r="D901" s="2489"/>
      <c r="E901" s="2489"/>
      <c r="F901" s="2489"/>
      <c r="U901" s="2489"/>
    </row>
    <row r="902" spans="1:21">
      <c r="A902" s="2489"/>
      <c r="B902" s="2489"/>
      <c r="C902" s="2489"/>
      <c r="D902" s="2489"/>
      <c r="E902" s="2489"/>
      <c r="F902" s="2489"/>
      <c r="U902" s="2489"/>
    </row>
    <row r="903" spans="1:21">
      <c r="A903" s="2489"/>
      <c r="B903" s="2489"/>
      <c r="C903" s="2489"/>
      <c r="D903" s="2489"/>
      <c r="E903" s="2489"/>
      <c r="F903" s="2489"/>
      <c r="U903" s="2489"/>
    </row>
    <row r="904" spans="1:21">
      <c r="A904" s="2489"/>
      <c r="B904" s="2489"/>
      <c r="C904" s="2489"/>
      <c r="D904" s="2489"/>
      <c r="E904" s="2489"/>
      <c r="F904" s="2489"/>
      <c r="U904" s="2489"/>
    </row>
    <row r="905" spans="1:21">
      <c r="A905" s="2489"/>
      <c r="B905" s="2489"/>
      <c r="C905" s="2489"/>
      <c r="D905" s="2489"/>
      <c r="E905" s="2489"/>
      <c r="F905" s="2489"/>
      <c r="U905" s="2489"/>
    </row>
    <row r="906" spans="1:21">
      <c r="A906" s="2489"/>
      <c r="B906" s="2489"/>
      <c r="C906" s="2489"/>
      <c r="D906" s="2489"/>
      <c r="E906" s="2489"/>
      <c r="F906" s="2489"/>
      <c r="U906" s="2489"/>
    </row>
    <row r="907" spans="1:21">
      <c r="A907" s="2489"/>
      <c r="B907" s="2489"/>
      <c r="C907" s="2489"/>
      <c r="D907" s="2489"/>
      <c r="E907" s="2489"/>
      <c r="F907" s="2489"/>
      <c r="U907" s="2489"/>
    </row>
    <row r="908" spans="1:21">
      <c r="A908" s="2489"/>
      <c r="B908" s="2489"/>
      <c r="C908" s="2489"/>
      <c r="D908" s="2489"/>
      <c r="E908" s="2489"/>
      <c r="F908" s="2489"/>
      <c r="U908" s="2489"/>
    </row>
    <row r="909" spans="1:21">
      <c r="A909" s="2489"/>
      <c r="B909" s="2489"/>
      <c r="C909" s="2489"/>
      <c r="D909" s="2489"/>
      <c r="E909" s="2489"/>
      <c r="F909" s="2489"/>
      <c r="U909" s="2489"/>
    </row>
    <row r="910" spans="1:21">
      <c r="A910" s="2489"/>
      <c r="B910" s="2489"/>
      <c r="C910" s="2489"/>
      <c r="D910" s="2489"/>
      <c r="E910" s="2489"/>
      <c r="F910" s="2489"/>
      <c r="U910" s="2489"/>
    </row>
    <row r="911" spans="1:21">
      <c r="A911" s="2489"/>
      <c r="B911" s="2489"/>
      <c r="C911" s="2489"/>
      <c r="D911" s="2489"/>
      <c r="E911" s="2489"/>
      <c r="F911" s="2489"/>
      <c r="U911" s="2489"/>
    </row>
    <row r="912" spans="1:21">
      <c r="A912" s="2489"/>
      <c r="B912" s="2489"/>
      <c r="C912" s="2489"/>
      <c r="D912" s="2489"/>
      <c r="E912" s="2489"/>
      <c r="F912" s="2489"/>
      <c r="U912" s="2489"/>
    </row>
    <row r="913" spans="1:21">
      <c r="A913" s="2489"/>
      <c r="B913" s="2489"/>
      <c r="C913" s="2489"/>
      <c r="D913" s="2489"/>
      <c r="E913" s="2489"/>
      <c r="F913" s="2489"/>
      <c r="U913" s="2489"/>
    </row>
    <row r="914" spans="1:21">
      <c r="A914" s="2489"/>
      <c r="B914" s="2489"/>
      <c r="C914" s="2489"/>
      <c r="D914" s="2489"/>
      <c r="E914" s="2489"/>
      <c r="F914" s="2489"/>
      <c r="U914" s="2489"/>
    </row>
    <row r="915" spans="1:21">
      <c r="A915" s="2489"/>
      <c r="B915" s="2489"/>
      <c r="C915" s="2489"/>
      <c r="D915" s="2489"/>
      <c r="E915" s="2489"/>
      <c r="F915" s="2489"/>
      <c r="U915" s="2489"/>
    </row>
    <row r="916" spans="1:21">
      <c r="A916" s="2489"/>
      <c r="B916" s="2489"/>
      <c r="C916" s="2489"/>
      <c r="D916" s="2489"/>
      <c r="E916" s="2489"/>
      <c r="F916" s="2489"/>
      <c r="U916" s="2489"/>
    </row>
    <row r="917" spans="1:21">
      <c r="A917" s="2489"/>
      <c r="B917" s="2489"/>
      <c r="C917" s="2489"/>
      <c r="D917" s="2489"/>
      <c r="E917" s="2489"/>
      <c r="F917" s="2489"/>
      <c r="U917" s="2489"/>
    </row>
    <row r="918" spans="1:21">
      <c r="A918" s="2489"/>
      <c r="B918" s="2489"/>
      <c r="C918" s="2489"/>
      <c r="D918" s="2489"/>
      <c r="E918" s="2489"/>
      <c r="F918" s="2489"/>
      <c r="U918" s="2489"/>
    </row>
    <row r="919" spans="1:21">
      <c r="A919" s="2489"/>
      <c r="B919" s="2489"/>
      <c r="C919" s="2489"/>
      <c r="D919" s="2489"/>
      <c r="E919" s="2489"/>
      <c r="F919" s="2489"/>
      <c r="U919" s="2489"/>
    </row>
    <row r="920" spans="1:21">
      <c r="A920" s="2489"/>
      <c r="B920" s="2489"/>
      <c r="C920" s="2489"/>
      <c r="D920" s="2489"/>
      <c r="E920" s="2489"/>
      <c r="F920" s="2489"/>
      <c r="U920" s="2489"/>
    </row>
    <row r="921" spans="1:21">
      <c r="A921" s="2489"/>
      <c r="B921" s="2489"/>
      <c r="C921" s="2489"/>
      <c r="D921" s="2489"/>
      <c r="E921" s="2489"/>
      <c r="F921" s="2489"/>
      <c r="U921" s="2489"/>
    </row>
    <row r="922" spans="1:21">
      <c r="A922" s="2489"/>
      <c r="B922" s="2489"/>
      <c r="C922" s="2489"/>
      <c r="D922" s="2489"/>
      <c r="E922" s="2489"/>
      <c r="F922" s="2489"/>
      <c r="U922" s="2489"/>
    </row>
    <row r="923" spans="1:21">
      <c r="A923" s="2489"/>
      <c r="B923" s="2489"/>
      <c r="C923" s="2489"/>
      <c r="D923" s="2489"/>
      <c r="E923" s="2489"/>
      <c r="F923" s="2489"/>
      <c r="U923" s="2489"/>
    </row>
    <row r="924" spans="1:21">
      <c r="A924" s="2489"/>
      <c r="B924" s="2489"/>
      <c r="C924" s="2489"/>
      <c r="D924" s="2489"/>
      <c r="E924" s="2489"/>
      <c r="F924" s="2489"/>
      <c r="U924" s="2489"/>
    </row>
    <row r="925" spans="1:21">
      <c r="A925" s="2489"/>
      <c r="B925" s="2489"/>
      <c r="C925" s="2489"/>
      <c r="D925" s="2489"/>
      <c r="E925" s="2489"/>
      <c r="F925" s="2489"/>
      <c r="U925" s="2489"/>
    </row>
    <row r="926" spans="1:21">
      <c r="A926" s="2489"/>
      <c r="B926" s="2489"/>
      <c r="C926" s="2489"/>
      <c r="D926" s="2489"/>
      <c r="E926" s="2489"/>
      <c r="F926" s="2489"/>
      <c r="U926" s="2489"/>
    </row>
    <row r="927" spans="1:21">
      <c r="A927" s="2489"/>
      <c r="B927" s="2489"/>
      <c r="C927" s="2489"/>
      <c r="D927" s="2489"/>
      <c r="E927" s="2489"/>
      <c r="F927" s="2489"/>
      <c r="U927" s="2489"/>
    </row>
    <row r="928" spans="1:21">
      <c r="A928" s="2489"/>
      <c r="B928" s="2489"/>
      <c r="C928" s="2489"/>
      <c r="D928" s="2489"/>
      <c r="E928" s="2489"/>
      <c r="F928" s="2489"/>
      <c r="U928" s="2489"/>
    </row>
    <row r="929" spans="1:21">
      <c r="A929" s="2489"/>
      <c r="B929" s="2489"/>
      <c r="C929" s="2489"/>
      <c r="D929" s="2489"/>
      <c r="E929" s="2489"/>
      <c r="F929" s="2489"/>
      <c r="U929" s="2489"/>
    </row>
    <row r="930" spans="1:21">
      <c r="A930" s="2489"/>
      <c r="B930" s="2489"/>
      <c r="C930" s="2489"/>
      <c r="D930" s="2489"/>
      <c r="E930" s="2489"/>
      <c r="F930" s="2489"/>
      <c r="U930" s="2489"/>
    </row>
    <row r="931" spans="1:21">
      <c r="A931" s="2489"/>
      <c r="B931" s="2489"/>
      <c r="C931" s="2489"/>
      <c r="D931" s="2489"/>
      <c r="E931" s="2489"/>
      <c r="F931" s="2489"/>
      <c r="U931" s="2489"/>
    </row>
    <row r="932" spans="1:21">
      <c r="A932" s="2489"/>
      <c r="B932" s="2489"/>
      <c r="C932" s="2489"/>
      <c r="D932" s="2489"/>
      <c r="E932" s="2489"/>
      <c r="F932" s="2489"/>
      <c r="U932" s="2489"/>
    </row>
    <row r="933" spans="1:21">
      <c r="A933" s="2489"/>
      <c r="B933" s="2489"/>
      <c r="C933" s="2489"/>
      <c r="D933" s="2489"/>
      <c r="E933" s="2489"/>
      <c r="F933" s="2489"/>
      <c r="U933" s="2489"/>
    </row>
    <row r="934" spans="1:21">
      <c r="A934" s="2489"/>
      <c r="B934" s="2489"/>
      <c r="C934" s="2489"/>
      <c r="D934" s="2489"/>
      <c r="E934" s="2489"/>
      <c r="F934" s="2489"/>
      <c r="U934" s="2489"/>
    </row>
    <row r="935" spans="1:21">
      <c r="A935" s="2489"/>
      <c r="B935" s="2489"/>
      <c r="C935" s="2489"/>
      <c r="D935" s="2489"/>
      <c r="E935" s="2489"/>
      <c r="F935" s="2489"/>
      <c r="U935" s="2489"/>
    </row>
    <row r="936" spans="1:21">
      <c r="A936" s="2489"/>
      <c r="B936" s="2489"/>
      <c r="C936" s="2489"/>
      <c r="D936" s="2489"/>
      <c r="E936" s="2489"/>
      <c r="F936" s="2489"/>
      <c r="U936" s="2489"/>
    </row>
    <row r="937" spans="1:21">
      <c r="A937" s="2489"/>
      <c r="B937" s="2489"/>
      <c r="C937" s="2489"/>
      <c r="D937" s="2489"/>
      <c r="E937" s="2489"/>
      <c r="F937" s="2489"/>
      <c r="U937" s="2489"/>
    </row>
    <row r="938" spans="1:21">
      <c r="A938" s="2489"/>
      <c r="B938" s="2489"/>
      <c r="C938" s="2489"/>
      <c r="D938" s="2489"/>
      <c r="E938" s="2489"/>
      <c r="F938" s="2489"/>
      <c r="U938" s="2489"/>
    </row>
    <row r="939" spans="1:21">
      <c r="A939" s="2489"/>
      <c r="B939" s="2489"/>
      <c r="C939" s="2489"/>
      <c r="D939" s="2489"/>
      <c r="E939" s="2489"/>
      <c r="F939" s="2489"/>
      <c r="U939" s="2489"/>
    </row>
    <row r="940" spans="1:21">
      <c r="A940" s="2489"/>
      <c r="B940" s="2489"/>
      <c r="C940" s="2489"/>
      <c r="D940" s="2489"/>
      <c r="E940" s="2489"/>
      <c r="F940" s="2489"/>
      <c r="U940" s="2489"/>
    </row>
    <row r="941" spans="1:21">
      <c r="A941" s="2489"/>
      <c r="B941" s="2489"/>
      <c r="C941" s="2489"/>
      <c r="D941" s="2489"/>
      <c r="E941" s="2489"/>
      <c r="F941" s="2489"/>
      <c r="U941" s="2489"/>
    </row>
    <row r="942" spans="1:21">
      <c r="A942" s="2489"/>
      <c r="B942" s="2489"/>
      <c r="C942" s="2489"/>
      <c r="D942" s="2489"/>
      <c r="E942" s="2489"/>
      <c r="F942" s="2489"/>
      <c r="U942" s="2489"/>
    </row>
    <row r="943" spans="1:21">
      <c r="A943" s="2489"/>
      <c r="B943" s="2489"/>
      <c r="C943" s="2489"/>
      <c r="D943" s="2489"/>
      <c r="E943" s="2489"/>
      <c r="F943" s="2489"/>
      <c r="U943" s="2489"/>
    </row>
    <row r="944" spans="1:21">
      <c r="A944" s="2489"/>
      <c r="B944" s="2489"/>
      <c r="C944" s="2489"/>
      <c r="D944" s="2489"/>
      <c r="E944" s="2489"/>
      <c r="F944" s="2489"/>
      <c r="U944" s="2489"/>
    </row>
    <row r="945" spans="1:21">
      <c r="A945" s="2489"/>
      <c r="B945" s="2489"/>
      <c r="C945" s="2489"/>
      <c r="D945" s="2489"/>
      <c r="E945" s="2489"/>
      <c r="F945" s="2489"/>
      <c r="U945" s="2489"/>
    </row>
    <row r="946" spans="1:21">
      <c r="A946" s="2489"/>
      <c r="B946" s="2489"/>
      <c r="C946" s="2489"/>
      <c r="D946" s="2489"/>
      <c r="E946" s="2489"/>
      <c r="F946" s="2489"/>
      <c r="U946" s="2489"/>
    </row>
    <row r="947" spans="1:21">
      <c r="A947" s="2489"/>
      <c r="B947" s="2489"/>
      <c r="C947" s="2489"/>
      <c r="D947" s="2489"/>
      <c r="E947" s="2489"/>
      <c r="F947" s="2489"/>
      <c r="U947" s="2489"/>
    </row>
    <row r="948" spans="1:21">
      <c r="A948" s="2489"/>
      <c r="B948" s="2489"/>
      <c r="C948" s="2489"/>
      <c r="D948" s="2489"/>
      <c r="E948" s="2489"/>
      <c r="F948" s="2489"/>
      <c r="U948" s="2489"/>
    </row>
    <row r="949" spans="1:21">
      <c r="A949" s="2489"/>
      <c r="B949" s="2489"/>
      <c r="C949" s="2489"/>
      <c r="D949" s="2489"/>
      <c r="E949" s="2489"/>
      <c r="F949" s="2489"/>
      <c r="U949" s="2489"/>
    </row>
    <row r="950" spans="1:21">
      <c r="A950" s="2489"/>
      <c r="B950" s="2489"/>
      <c r="C950" s="2489"/>
      <c r="D950" s="2489"/>
      <c r="E950" s="2489"/>
      <c r="F950" s="2489"/>
      <c r="U950" s="2489"/>
    </row>
    <row r="951" spans="1:21">
      <c r="A951" s="2489"/>
      <c r="B951" s="2489"/>
      <c r="C951" s="2489"/>
      <c r="D951" s="2489"/>
      <c r="E951" s="2489"/>
      <c r="F951" s="2489"/>
      <c r="U951" s="2489"/>
    </row>
    <row r="952" spans="1:21">
      <c r="A952" s="2489"/>
      <c r="B952" s="2489"/>
      <c r="C952" s="2489"/>
      <c r="D952" s="2489"/>
      <c r="E952" s="2489"/>
      <c r="F952" s="2489"/>
      <c r="U952" s="2489"/>
    </row>
    <row r="953" spans="1:21">
      <c r="A953" s="2489"/>
      <c r="B953" s="2489"/>
      <c r="C953" s="2489"/>
      <c r="D953" s="2489"/>
      <c r="E953" s="2489"/>
      <c r="F953" s="2489"/>
      <c r="U953" s="2489"/>
    </row>
    <row r="954" spans="1:21">
      <c r="A954" s="2489"/>
      <c r="B954" s="2489"/>
      <c r="C954" s="2489"/>
      <c r="D954" s="2489"/>
      <c r="E954" s="2489"/>
      <c r="F954" s="2489"/>
      <c r="U954" s="2489"/>
    </row>
    <row r="955" spans="1:21">
      <c r="A955" s="2489"/>
      <c r="B955" s="2489"/>
      <c r="C955" s="2489"/>
      <c r="D955" s="2489"/>
      <c r="E955" s="2489"/>
      <c r="F955" s="2489"/>
      <c r="U955" s="2489"/>
    </row>
    <row r="956" spans="1:21">
      <c r="A956" s="2489"/>
      <c r="B956" s="2489"/>
      <c r="C956" s="2489"/>
      <c r="D956" s="2489"/>
      <c r="E956" s="2489"/>
      <c r="F956" s="2489"/>
      <c r="U956" s="2489"/>
    </row>
    <row r="957" spans="1:21">
      <c r="A957" s="2489"/>
      <c r="B957" s="2489"/>
      <c r="C957" s="2489"/>
      <c r="D957" s="2489"/>
      <c r="E957" s="2489"/>
      <c r="F957" s="2489"/>
      <c r="U957" s="2489"/>
    </row>
    <row r="958" spans="1:21">
      <c r="A958" s="2489"/>
      <c r="B958" s="2489"/>
      <c r="C958" s="2489"/>
      <c r="D958" s="2489"/>
      <c r="E958" s="2489"/>
      <c r="F958" s="2489"/>
      <c r="U958" s="2489"/>
    </row>
    <row r="959" spans="1:21">
      <c r="A959" s="2489"/>
      <c r="B959" s="2489"/>
      <c r="C959" s="2489"/>
      <c r="D959" s="2489"/>
      <c r="E959" s="2489"/>
      <c r="F959" s="2489"/>
      <c r="U959" s="2489"/>
    </row>
    <row r="960" spans="1:21">
      <c r="A960" s="2489"/>
      <c r="B960" s="2489"/>
      <c r="C960" s="2489"/>
      <c r="D960" s="2489"/>
      <c r="E960" s="2489"/>
      <c r="F960" s="2489"/>
      <c r="U960" s="2489"/>
    </row>
    <row r="961" spans="1:21">
      <c r="A961" s="2489"/>
      <c r="B961" s="2489"/>
      <c r="C961" s="2489"/>
      <c r="D961" s="2489"/>
      <c r="E961" s="2489"/>
      <c r="F961" s="2489"/>
      <c r="U961" s="2489"/>
    </row>
    <row r="962" spans="1:21">
      <c r="A962" s="2489"/>
      <c r="B962" s="2489"/>
      <c r="C962" s="2489"/>
      <c r="D962" s="2489"/>
      <c r="E962" s="2489"/>
      <c r="F962" s="2489"/>
      <c r="U962" s="2489"/>
    </row>
    <row r="963" spans="1:21">
      <c r="A963" s="2489"/>
      <c r="B963" s="2489"/>
      <c r="C963" s="2489"/>
      <c r="D963" s="2489"/>
      <c r="E963" s="2489"/>
      <c r="F963" s="2489"/>
      <c r="U963" s="2489"/>
    </row>
    <row r="964" spans="1:21">
      <c r="A964" s="2489"/>
      <c r="B964" s="2489"/>
      <c r="C964" s="2489"/>
      <c r="D964" s="2489"/>
      <c r="E964" s="2489"/>
      <c r="F964" s="2489"/>
      <c r="U964" s="2489"/>
    </row>
    <row r="965" spans="1:21">
      <c r="A965" s="2489"/>
      <c r="B965" s="2489"/>
      <c r="C965" s="2489"/>
      <c r="D965" s="2489"/>
      <c r="E965" s="2489"/>
      <c r="F965" s="2489"/>
      <c r="U965" s="2489"/>
    </row>
    <row r="966" spans="1:21">
      <c r="A966" s="2489"/>
      <c r="B966" s="2489"/>
      <c r="C966" s="2489"/>
      <c r="D966" s="2489"/>
      <c r="E966" s="2489"/>
      <c r="F966" s="2489"/>
      <c r="U966" s="2489"/>
    </row>
    <row r="967" spans="1:21">
      <c r="A967" s="2489"/>
      <c r="B967" s="2489"/>
      <c r="C967" s="2489"/>
      <c r="D967" s="2489"/>
      <c r="E967" s="2489"/>
      <c r="F967" s="2489"/>
      <c r="U967" s="2489"/>
    </row>
    <row r="968" spans="1:21">
      <c r="A968" s="2489"/>
      <c r="B968" s="2489"/>
      <c r="C968" s="2489"/>
      <c r="D968" s="2489"/>
      <c r="E968" s="2489"/>
      <c r="F968" s="2489"/>
      <c r="U968" s="2489"/>
    </row>
    <row r="969" spans="1:21">
      <c r="A969" s="2489"/>
      <c r="B969" s="2489"/>
      <c r="C969" s="2489"/>
      <c r="D969" s="2489"/>
      <c r="E969" s="2489"/>
      <c r="F969" s="2489"/>
      <c r="U969" s="2489"/>
    </row>
    <row r="970" spans="1:21">
      <c r="A970" s="2489"/>
      <c r="B970" s="2489"/>
      <c r="C970" s="2489"/>
      <c r="D970" s="2489"/>
      <c r="E970" s="2489"/>
      <c r="F970" s="2489"/>
      <c r="U970" s="2489"/>
    </row>
    <row r="971" spans="1:21">
      <c r="A971" s="2489"/>
      <c r="B971" s="2489"/>
      <c r="C971" s="2489"/>
      <c r="D971" s="2489"/>
      <c r="E971" s="2489"/>
      <c r="F971" s="2489"/>
      <c r="U971" s="2489"/>
    </row>
    <row r="972" spans="1:21">
      <c r="A972" s="2489"/>
      <c r="B972" s="2489"/>
      <c r="C972" s="2489"/>
      <c r="D972" s="2489"/>
      <c r="E972" s="2489"/>
      <c r="F972" s="2489"/>
      <c r="U972" s="2489"/>
    </row>
    <row r="973" spans="1:21">
      <c r="A973" s="2489"/>
      <c r="B973" s="2489"/>
      <c r="C973" s="2489"/>
      <c r="D973" s="2489"/>
      <c r="E973" s="2489"/>
      <c r="F973" s="2489"/>
      <c r="U973" s="2489"/>
    </row>
    <row r="974" spans="1:21">
      <c r="A974" s="2489"/>
      <c r="B974" s="2489"/>
      <c r="C974" s="2489"/>
      <c r="D974" s="2489"/>
      <c r="E974" s="2489"/>
      <c r="F974" s="2489"/>
      <c r="U974" s="2489"/>
    </row>
    <row r="975" spans="1:21">
      <c r="A975" s="2489"/>
      <c r="B975" s="2489"/>
      <c r="C975" s="2489"/>
      <c r="D975" s="2489"/>
      <c r="E975" s="2489"/>
      <c r="F975" s="2489"/>
      <c r="U975" s="2489"/>
    </row>
    <row r="976" spans="1:21">
      <c r="A976" s="2489"/>
      <c r="B976" s="2489"/>
      <c r="C976" s="2489"/>
      <c r="D976" s="2489"/>
      <c r="E976" s="2489"/>
      <c r="F976" s="2489"/>
      <c r="U976" s="2489"/>
    </row>
    <row r="977" spans="1:21">
      <c r="A977" s="2489"/>
      <c r="B977" s="2489"/>
      <c r="C977" s="2489"/>
      <c r="D977" s="2489"/>
      <c r="E977" s="2489"/>
      <c r="F977" s="2489"/>
      <c r="U977" s="2489"/>
    </row>
    <row r="978" spans="1:21">
      <c r="A978" s="2489"/>
      <c r="B978" s="2489"/>
      <c r="C978" s="2489"/>
      <c r="D978" s="2489"/>
      <c r="E978" s="2489"/>
      <c r="F978" s="2489"/>
      <c r="U978" s="2489"/>
    </row>
    <row r="979" spans="1:21">
      <c r="A979" s="2489"/>
      <c r="B979" s="2489"/>
      <c r="C979" s="2489"/>
      <c r="D979" s="2489"/>
      <c r="E979" s="2489"/>
      <c r="F979" s="2489"/>
      <c r="U979" s="2489"/>
    </row>
    <row r="980" spans="1:21">
      <c r="A980" s="2489"/>
      <c r="B980" s="2489"/>
      <c r="C980" s="2489"/>
      <c r="D980" s="2489"/>
      <c r="E980" s="2489"/>
      <c r="F980" s="2489"/>
      <c r="U980" s="2489"/>
    </row>
    <row r="981" spans="1:21">
      <c r="A981" s="2489"/>
      <c r="B981" s="2489"/>
      <c r="C981" s="2489"/>
      <c r="D981" s="2489"/>
      <c r="E981" s="2489"/>
      <c r="F981" s="2489"/>
      <c r="U981" s="2489"/>
    </row>
    <row r="982" spans="1:21">
      <c r="A982" s="2489"/>
      <c r="B982" s="2489"/>
      <c r="C982" s="2489"/>
      <c r="D982" s="2489"/>
      <c r="E982" s="2489"/>
      <c r="F982" s="2489"/>
      <c r="U982" s="2489"/>
    </row>
    <row r="983" spans="1:21">
      <c r="A983" s="2489"/>
      <c r="B983" s="2489"/>
      <c r="C983" s="2489"/>
      <c r="D983" s="2489"/>
      <c r="E983" s="2489"/>
      <c r="F983" s="2489"/>
      <c r="U983" s="2489"/>
    </row>
    <row r="984" spans="1:21">
      <c r="A984" s="2489"/>
      <c r="B984" s="2489"/>
      <c r="C984" s="2489"/>
      <c r="D984" s="2489"/>
      <c r="E984" s="2489"/>
      <c r="F984" s="2489"/>
      <c r="U984" s="2489"/>
    </row>
    <row r="985" spans="1:21">
      <c r="A985" s="2489"/>
      <c r="B985" s="2489"/>
      <c r="C985" s="2489"/>
      <c r="D985" s="2489"/>
      <c r="E985" s="2489"/>
      <c r="F985" s="2489"/>
      <c r="U985" s="2489"/>
    </row>
    <row r="986" spans="1:21">
      <c r="A986" s="2489"/>
      <c r="B986" s="2489"/>
      <c r="C986" s="2489"/>
      <c r="D986" s="2489"/>
      <c r="E986" s="2489"/>
      <c r="F986" s="2489"/>
      <c r="U986" s="2489"/>
    </row>
    <row r="987" spans="1:21">
      <c r="A987" s="2489"/>
      <c r="B987" s="2489"/>
      <c r="C987" s="2489"/>
      <c r="D987" s="2489"/>
      <c r="E987" s="2489"/>
      <c r="F987" s="2489"/>
      <c r="U987" s="2489"/>
    </row>
    <row r="988" spans="1:21">
      <c r="A988" s="2489"/>
      <c r="B988" s="2489"/>
      <c r="C988" s="2489"/>
      <c r="D988" s="2489"/>
      <c r="E988" s="2489"/>
      <c r="F988" s="2489"/>
      <c r="U988" s="2489"/>
    </row>
    <row r="989" spans="1:21">
      <c r="A989" s="2489"/>
      <c r="B989" s="2489"/>
      <c r="C989" s="2489"/>
      <c r="D989" s="2489"/>
      <c r="E989" s="2489"/>
      <c r="F989" s="2489"/>
      <c r="U989" s="2489"/>
    </row>
    <row r="990" spans="1:21">
      <c r="A990" s="2489"/>
      <c r="B990" s="2489"/>
      <c r="C990" s="2489"/>
      <c r="D990" s="2489"/>
      <c r="E990" s="2489"/>
      <c r="F990" s="2489"/>
      <c r="U990" s="2489"/>
    </row>
    <row r="991" spans="1:21">
      <c r="A991" s="2489"/>
      <c r="B991" s="2489"/>
      <c r="C991" s="2489"/>
      <c r="D991" s="2489"/>
      <c r="E991" s="2489"/>
      <c r="F991" s="2489"/>
      <c r="U991" s="2489"/>
    </row>
    <row r="992" spans="1:21">
      <c r="A992" s="2489"/>
      <c r="B992" s="2489"/>
      <c r="C992" s="2489"/>
      <c r="D992" s="2489"/>
      <c r="E992" s="2489"/>
      <c r="F992" s="2489"/>
      <c r="U992" s="2489"/>
    </row>
    <row r="993" spans="1:21">
      <c r="A993" s="2489"/>
      <c r="B993" s="2489"/>
      <c r="C993" s="2489"/>
      <c r="D993" s="2489"/>
      <c r="E993" s="2489"/>
      <c r="F993" s="2489"/>
      <c r="U993" s="2489"/>
    </row>
    <row r="994" spans="1:21">
      <c r="A994" s="2489"/>
      <c r="B994" s="2489"/>
      <c r="C994" s="2489"/>
      <c r="D994" s="2489"/>
      <c r="E994" s="2489"/>
      <c r="F994" s="2489"/>
      <c r="U994" s="2489"/>
    </row>
    <row r="995" spans="1:21">
      <c r="A995" s="2489"/>
      <c r="B995" s="2489"/>
      <c r="C995" s="2489"/>
      <c r="D995" s="2489"/>
      <c r="E995" s="2489"/>
      <c r="F995" s="2489"/>
      <c r="U995" s="2489"/>
    </row>
    <row r="996" spans="1:21">
      <c r="A996" s="2489"/>
      <c r="B996" s="2489"/>
      <c r="C996" s="2489"/>
      <c r="D996" s="2489"/>
      <c r="E996" s="2489"/>
      <c r="F996" s="2489"/>
      <c r="U996" s="2489"/>
    </row>
    <row r="997" spans="1:21">
      <c r="A997" s="2489"/>
      <c r="B997" s="2489"/>
      <c r="C997" s="2489"/>
      <c r="D997" s="2489"/>
      <c r="E997" s="2489"/>
      <c r="F997" s="2489"/>
      <c r="U997" s="2489"/>
    </row>
    <row r="998" spans="1:21">
      <c r="A998" s="2489"/>
      <c r="B998" s="2489"/>
      <c r="C998" s="2489"/>
      <c r="D998" s="2489"/>
      <c r="E998" s="2489"/>
      <c r="F998" s="2489"/>
      <c r="U998" s="2489"/>
    </row>
    <row r="999" spans="1:21">
      <c r="A999" s="2489"/>
      <c r="B999" s="2489"/>
      <c r="C999" s="2489"/>
      <c r="D999" s="2489"/>
      <c r="E999" s="2489"/>
      <c r="F999" s="2489"/>
      <c r="U999" s="2489"/>
    </row>
    <row r="1000" spans="1:21">
      <c r="A1000" s="2489"/>
      <c r="B1000" s="2489"/>
      <c r="C1000" s="2489"/>
      <c r="D1000" s="2489"/>
      <c r="E1000" s="2489"/>
      <c r="F1000" s="2489"/>
      <c r="U1000" s="2489"/>
    </row>
    <row r="1001" spans="1:21">
      <c r="A1001" s="2489"/>
      <c r="B1001" s="2489"/>
      <c r="C1001" s="2489"/>
      <c r="D1001" s="2489"/>
      <c r="E1001" s="2489"/>
      <c r="F1001" s="2489"/>
      <c r="U1001" s="2489"/>
    </row>
    <row r="1002" spans="1:21">
      <c r="A1002" s="2489"/>
      <c r="B1002" s="2489"/>
      <c r="C1002" s="2489"/>
      <c r="D1002" s="2489"/>
      <c r="E1002" s="2489"/>
      <c r="F1002" s="2489"/>
      <c r="U1002" s="2489"/>
    </row>
    <row r="1003" spans="1:21">
      <c r="A1003" s="2489"/>
      <c r="B1003" s="2489"/>
      <c r="C1003" s="2489"/>
      <c r="D1003" s="2489"/>
      <c r="E1003" s="2489"/>
      <c r="F1003" s="2489"/>
      <c r="U1003" s="2489"/>
    </row>
    <row r="1004" spans="1:21">
      <c r="A1004" s="2489"/>
      <c r="B1004" s="2489"/>
      <c r="C1004" s="2489"/>
      <c r="D1004" s="2489"/>
      <c r="E1004" s="2489"/>
      <c r="F1004" s="2489"/>
      <c r="U1004" s="2489"/>
    </row>
    <row r="1005" spans="1:21">
      <c r="A1005" s="2489"/>
      <c r="B1005" s="2489"/>
      <c r="C1005" s="2489"/>
      <c r="D1005" s="2489"/>
      <c r="E1005" s="2489"/>
      <c r="F1005" s="2489"/>
      <c r="U1005" s="2489"/>
    </row>
    <row r="1006" spans="1:21">
      <c r="A1006" s="2489"/>
      <c r="B1006" s="2489"/>
      <c r="C1006" s="2489"/>
      <c r="D1006" s="2489"/>
      <c r="E1006" s="2489"/>
      <c r="F1006" s="2489"/>
      <c r="U1006" s="2489"/>
    </row>
    <row r="1007" spans="1:21">
      <c r="A1007" s="2489"/>
      <c r="B1007" s="2489"/>
      <c r="C1007" s="2489"/>
      <c r="D1007" s="2489"/>
      <c r="E1007" s="2489"/>
      <c r="F1007" s="2489"/>
      <c r="U1007" s="2489"/>
    </row>
    <row r="1008" spans="1:21">
      <c r="A1008" s="2489"/>
      <c r="B1008" s="2489"/>
      <c r="C1008" s="2489"/>
      <c r="D1008" s="2489"/>
      <c r="E1008" s="2489"/>
      <c r="F1008" s="2489"/>
      <c r="U1008" s="2489"/>
    </row>
    <row r="1009" spans="1:21">
      <c r="A1009" s="2489"/>
      <c r="B1009" s="2489"/>
      <c r="C1009" s="2489"/>
      <c r="D1009" s="2489"/>
      <c r="E1009" s="2489"/>
      <c r="F1009" s="2489"/>
      <c r="U1009" s="2489"/>
    </row>
    <row r="1010" spans="1:21">
      <c r="A1010" s="2489"/>
      <c r="B1010" s="2489"/>
      <c r="C1010" s="2489"/>
      <c r="D1010" s="2489"/>
      <c r="E1010" s="2489"/>
      <c r="F1010" s="2489"/>
      <c r="U1010" s="2489"/>
    </row>
    <row r="1011" spans="1:21">
      <c r="A1011" s="2489"/>
      <c r="B1011" s="2489"/>
      <c r="C1011" s="2489"/>
      <c r="D1011" s="2489"/>
      <c r="E1011" s="2489"/>
      <c r="F1011" s="2489"/>
      <c r="U1011" s="2489"/>
    </row>
    <row r="1012" spans="1:21">
      <c r="A1012" s="2489"/>
      <c r="B1012" s="2489"/>
      <c r="C1012" s="2489"/>
      <c r="D1012" s="2489"/>
      <c r="E1012" s="2489"/>
      <c r="F1012" s="2489"/>
      <c r="U1012" s="2489"/>
    </row>
    <row r="1013" spans="1:21">
      <c r="A1013" s="2489"/>
      <c r="B1013" s="2489"/>
      <c r="C1013" s="2489"/>
      <c r="D1013" s="2489"/>
      <c r="E1013" s="2489"/>
      <c r="F1013" s="2489"/>
      <c r="U1013" s="2489"/>
    </row>
    <row r="1014" spans="1:21">
      <c r="A1014" s="2489"/>
      <c r="B1014" s="2489"/>
      <c r="C1014" s="2489"/>
      <c r="D1014" s="2489"/>
      <c r="E1014" s="2489"/>
      <c r="F1014" s="2489"/>
      <c r="U1014" s="2489"/>
    </row>
    <row r="1015" spans="1:21">
      <c r="A1015" s="2489"/>
      <c r="B1015" s="2489"/>
      <c r="C1015" s="2489"/>
      <c r="D1015" s="2489"/>
      <c r="E1015" s="2489"/>
      <c r="F1015" s="2489"/>
      <c r="U1015" s="2489"/>
    </row>
    <row r="1016" spans="1:21">
      <c r="A1016" s="2489"/>
      <c r="B1016" s="2489"/>
      <c r="C1016" s="2489"/>
      <c r="D1016" s="2489"/>
      <c r="E1016" s="2489"/>
      <c r="F1016" s="2489"/>
      <c r="U1016" s="2489"/>
    </row>
    <row r="1017" spans="1:21">
      <c r="A1017" s="2489"/>
      <c r="B1017" s="2489"/>
      <c r="C1017" s="2489"/>
      <c r="D1017" s="2489"/>
      <c r="E1017" s="2489"/>
      <c r="F1017" s="2489"/>
      <c r="U1017" s="2489"/>
    </row>
    <row r="1018" spans="1:21">
      <c r="A1018" s="2489"/>
      <c r="B1018" s="2489"/>
      <c r="C1018" s="2489"/>
      <c r="D1018" s="2489"/>
      <c r="E1018" s="2489"/>
      <c r="F1018" s="2489"/>
      <c r="U1018" s="2489"/>
    </row>
    <row r="1019" spans="1:21">
      <c r="A1019" s="2489"/>
      <c r="B1019" s="2489"/>
      <c r="C1019" s="2489"/>
      <c r="D1019" s="2489"/>
      <c r="E1019" s="2489"/>
      <c r="F1019" s="2489"/>
      <c r="U1019" s="2489"/>
    </row>
    <row r="1020" spans="1:21">
      <c r="A1020" s="2489"/>
      <c r="B1020" s="2489"/>
      <c r="C1020" s="2489"/>
      <c r="D1020" s="2489"/>
      <c r="E1020" s="2489"/>
      <c r="F1020" s="2489"/>
      <c r="U1020" s="2489"/>
    </row>
    <row r="1021" spans="1:21">
      <c r="A1021" s="2489"/>
      <c r="B1021" s="2489"/>
      <c r="C1021" s="2489"/>
      <c r="D1021" s="2489"/>
      <c r="E1021" s="2489"/>
      <c r="F1021" s="2489"/>
      <c r="U1021" s="2489"/>
    </row>
    <row r="1022" spans="1:21">
      <c r="A1022" s="2489"/>
      <c r="B1022" s="2489"/>
      <c r="C1022" s="2489"/>
      <c r="D1022" s="2489"/>
      <c r="E1022" s="2489"/>
      <c r="F1022" s="2489"/>
      <c r="U1022" s="2489"/>
    </row>
    <row r="1023" spans="1:21">
      <c r="A1023" s="2489"/>
      <c r="B1023" s="2489"/>
      <c r="C1023" s="2489"/>
      <c r="D1023" s="2489"/>
      <c r="E1023" s="2489"/>
      <c r="F1023" s="2489"/>
      <c r="U1023" s="2489"/>
    </row>
    <row r="1024" spans="1:21">
      <c r="A1024" s="2489"/>
      <c r="B1024" s="2489"/>
      <c r="C1024" s="2489"/>
      <c r="D1024" s="2489"/>
      <c r="E1024" s="2489"/>
      <c r="F1024" s="2489"/>
      <c r="U1024" s="2489"/>
    </row>
    <row r="1025" spans="1:21">
      <c r="A1025" s="2489"/>
      <c r="B1025" s="2489"/>
      <c r="C1025" s="2489"/>
      <c r="D1025" s="2489"/>
      <c r="E1025" s="2489"/>
      <c r="F1025" s="2489"/>
      <c r="U1025" s="2489"/>
    </row>
    <row r="1026" spans="1:21">
      <c r="A1026" s="2489"/>
      <c r="B1026" s="2489"/>
      <c r="C1026" s="2489"/>
      <c r="D1026" s="2489"/>
      <c r="E1026" s="2489"/>
      <c r="F1026" s="2489"/>
      <c r="U1026" s="2489"/>
    </row>
    <row r="1027" spans="1:21">
      <c r="A1027" s="2489"/>
      <c r="B1027" s="2489"/>
      <c r="C1027" s="2489"/>
      <c r="D1027" s="2489"/>
      <c r="E1027" s="2489"/>
      <c r="F1027" s="2489"/>
      <c r="U1027" s="2489"/>
    </row>
    <row r="1028" spans="1:21">
      <c r="A1028" s="2489"/>
      <c r="B1028" s="2489"/>
      <c r="C1028" s="2489"/>
      <c r="D1028" s="2489"/>
      <c r="E1028" s="2489"/>
      <c r="F1028" s="2489"/>
      <c r="U1028" s="2489"/>
    </row>
    <row r="1029" spans="1:21">
      <c r="A1029" s="2489"/>
      <c r="B1029" s="2489"/>
      <c r="C1029" s="2489"/>
      <c r="D1029" s="2489"/>
      <c r="E1029" s="2489"/>
      <c r="F1029" s="2489"/>
      <c r="U1029" s="2489"/>
    </row>
    <row r="1030" spans="1:21">
      <c r="A1030" s="2489"/>
      <c r="B1030" s="2489"/>
      <c r="C1030" s="2489"/>
      <c r="D1030" s="2489"/>
      <c r="E1030" s="2489"/>
      <c r="F1030" s="2489"/>
      <c r="U1030" s="2489"/>
    </row>
    <row r="1031" spans="1:21">
      <c r="A1031" s="2489"/>
      <c r="B1031" s="2489"/>
      <c r="C1031" s="2489"/>
      <c r="D1031" s="2489"/>
      <c r="E1031" s="2489"/>
      <c r="F1031" s="2489"/>
      <c r="U1031" s="2489"/>
    </row>
    <row r="1032" spans="1:21">
      <c r="A1032" s="2489"/>
      <c r="B1032" s="2489"/>
      <c r="C1032" s="2489"/>
      <c r="D1032" s="2489"/>
      <c r="E1032" s="2489"/>
      <c r="F1032" s="2489"/>
      <c r="U1032" s="2489"/>
    </row>
    <row r="1033" spans="1:21">
      <c r="A1033" s="2489"/>
      <c r="B1033" s="2489"/>
      <c r="C1033" s="2489"/>
      <c r="D1033" s="2489"/>
      <c r="E1033" s="2489"/>
      <c r="F1033" s="2489"/>
      <c r="U1033" s="2489"/>
    </row>
    <row r="1034" spans="1:21">
      <c r="A1034" s="2489"/>
      <c r="B1034" s="2489"/>
      <c r="C1034" s="2489"/>
      <c r="D1034" s="2489"/>
      <c r="E1034" s="2489"/>
      <c r="F1034" s="2489"/>
      <c r="U1034" s="2489"/>
    </row>
    <row r="1035" spans="1:21">
      <c r="A1035" s="2489"/>
      <c r="B1035" s="2489"/>
      <c r="C1035" s="2489"/>
      <c r="D1035" s="2489"/>
      <c r="E1035" s="2489"/>
      <c r="F1035" s="2489"/>
      <c r="U1035" s="2489"/>
    </row>
    <row r="1036" spans="1:21">
      <c r="A1036" s="2489"/>
      <c r="B1036" s="2489"/>
      <c r="C1036" s="2489"/>
      <c r="D1036" s="2489"/>
      <c r="E1036" s="2489"/>
      <c r="F1036" s="2489"/>
      <c r="U1036" s="2489"/>
    </row>
    <row r="1037" spans="1:21">
      <c r="A1037" s="2489"/>
      <c r="B1037" s="2489"/>
      <c r="C1037" s="2489"/>
      <c r="D1037" s="2489"/>
      <c r="E1037" s="2489"/>
      <c r="F1037" s="2489"/>
      <c r="U1037" s="2489"/>
    </row>
    <row r="1038" spans="1:21">
      <c r="A1038" s="2489"/>
      <c r="B1038" s="2489"/>
      <c r="C1038" s="2489"/>
      <c r="D1038" s="2489"/>
      <c r="E1038" s="2489"/>
      <c r="F1038" s="2489"/>
      <c r="U1038" s="2489"/>
    </row>
    <row r="1039" spans="1:21">
      <c r="A1039" s="2489"/>
      <c r="B1039" s="2489"/>
      <c r="C1039" s="2489"/>
      <c r="D1039" s="2489"/>
      <c r="E1039" s="2489"/>
      <c r="F1039" s="2489"/>
      <c r="U1039" s="2489"/>
    </row>
    <row r="1040" spans="1:21">
      <c r="A1040" s="2489"/>
      <c r="B1040" s="2489"/>
      <c r="C1040" s="2489"/>
      <c r="D1040" s="2489"/>
      <c r="E1040" s="2489"/>
      <c r="F1040" s="2489"/>
      <c r="U1040" s="2489"/>
    </row>
    <row r="1041" spans="1:21">
      <c r="A1041" s="2489"/>
      <c r="B1041" s="2489"/>
      <c r="C1041" s="2489"/>
      <c r="D1041" s="2489"/>
      <c r="E1041" s="2489"/>
      <c r="F1041" s="2489"/>
      <c r="U1041" s="2489"/>
    </row>
    <row r="1042" spans="1:21">
      <c r="A1042" s="2489"/>
      <c r="B1042" s="2489"/>
      <c r="C1042" s="2489"/>
      <c r="D1042" s="2489"/>
      <c r="E1042" s="2489"/>
      <c r="F1042" s="2489"/>
      <c r="U1042" s="2489"/>
    </row>
    <row r="1043" spans="1:21">
      <c r="A1043" s="2489"/>
      <c r="B1043" s="2489"/>
      <c r="C1043" s="2489"/>
      <c r="D1043" s="2489"/>
      <c r="E1043" s="2489"/>
      <c r="F1043" s="2489"/>
      <c r="U1043" s="2489"/>
    </row>
    <row r="1044" spans="1:21">
      <c r="A1044" s="2489"/>
      <c r="B1044" s="2489"/>
      <c r="C1044" s="2489"/>
      <c r="D1044" s="2489"/>
      <c r="E1044" s="2489"/>
      <c r="F1044" s="2489"/>
      <c r="U1044" s="2489"/>
    </row>
    <row r="1045" spans="1:21">
      <c r="A1045" s="2489"/>
      <c r="B1045" s="2489"/>
      <c r="C1045" s="2489"/>
      <c r="D1045" s="2489"/>
      <c r="E1045" s="2489"/>
      <c r="F1045" s="2489"/>
      <c r="U1045" s="2489"/>
    </row>
    <row r="1046" spans="1:21">
      <c r="A1046" s="2489"/>
      <c r="B1046" s="2489"/>
      <c r="C1046" s="2489"/>
      <c r="D1046" s="2489"/>
      <c r="E1046" s="2489"/>
      <c r="F1046" s="2489"/>
      <c r="U1046" s="2489"/>
    </row>
    <row r="1047" spans="1:21">
      <c r="A1047" s="2489"/>
      <c r="B1047" s="2489"/>
      <c r="C1047" s="2489"/>
      <c r="D1047" s="2489"/>
      <c r="E1047" s="2489"/>
      <c r="F1047" s="2489"/>
      <c r="U1047" s="2489"/>
    </row>
    <row r="1048" spans="1:21">
      <c r="A1048" s="2489"/>
      <c r="B1048" s="2489"/>
      <c r="C1048" s="2489"/>
      <c r="D1048" s="2489"/>
      <c r="E1048" s="2489"/>
      <c r="F1048" s="2489"/>
      <c r="U1048" s="2489"/>
    </row>
    <row r="1049" spans="1:21">
      <c r="A1049" s="2489"/>
      <c r="B1049" s="2489"/>
      <c r="C1049" s="2489"/>
      <c r="D1049" s="2489"/>
      <c r="E1049" s="2489"/>
      <c r="F1049" s="2489"/>
      <c r="U1049" s="2489"/>
    </row>
    <row r="1050" spans="1:21">
      <c r="A1050" s="2489"/>
      <c r="B1050" s="2489"/>
      <c r="C1050" s="2489"/>
      <c r="D1050" s="2489"/>
      <c r="E1050" s="2489"/>
      <c r="F1050" s="2489"/>
      <c r="U1050" s="2489"/>
    </row>
    <row r="1051" spans="1:21">
      <c r="A1051" s="2489"/>
      <c r="B1051" s="2489"/>
      <c r="C1051" s="2489"/>
      <c r="D1051" s="2489"/>
      <c r="E1051" s="2489"/>
      <c r="F1051" s="2489"/>
      <c r="U1051" s="2489"/>
    </row>
    <row r="1052" spans="1:21">
      <c r="A1052" s="2489"/>
      <c r="B1052" s="2489"/>
      <c r="C1052" s="2489"/>
      <c r="D1052" s="2489"/>
      <c r="E1052" s="2489"/>
      <c r="F1052" s="2489"/>
      <c r="U1052" s="2489"/>
    </row>
    <row r="1053" spans="1:21">
      <c r="A1053" s="2489"/>
      <c r="B1053" s="2489"/>
      <c r="C1053" s="2489"/>
      <c r="D1053" s="2489"/>
      <c r="E1053" s="2489"/>
      <c r="F1053" s="2489"/>
      <c r="U1053" s="2489"/>
    </row>
    <row r="1054" spans="1:21">
      <c r="A1054" s="2489"/>
      <c r="B1054" s="2489"/>
      <c r="C1054" s="2489"/>
      <c r="D1054" s="2489"/>
      <c r="E1054" s="2489"/>
      <c r="F1054" s="2489"/>
      <c r="U1054" s="2489"/>
    </row>
    <row r="1055" spans="1:21">
      <c r="A1055" s="2489"/>
      <c r="B1055" s="2489"/>
      <c r="C1055" s="2489"/>
      <c r="D1055" s="2489"/>
      <c r="E1055" s="2489"/>
      <c r="F1055" s="2489"/>
      <c r="U1055" s="2489"/>
    </row>
    <row r="1056" spans="1:21">
      <c r="A1056" s="2489"/>
      <c r="B1056" s="2489"/>
      <c r="C1056" s="2489"/>
      <c r="D1056" s="2489"/>
      <c r="E1056" s="2489"/>
      <c r="F1056" s="2489"/>
      <c r="U1056" s="2489"/>
    </row>
    <row r="1057" spans="1:21">
      <c r="A1057" s="2489"/>
      <c r="B1057" s="2489"/>
      <c r="C1057" s="2489"/>
      <c r="D1057" s="2489"/>
      <c r="E1057" s="2489"/>
      <c r="F1057" s="2489"/>
      <c r="U1057" s="2489"/>
    </row>
    <row r="1058" spans="1:21">
      <c r="A1058" s="2489"/>
      <c r="B1058" s="2489"/>
      <c r="C1058" s="2489"/>
      <c r="D1058" s="2489"/>
      <c r="E1058" s="2489"/>
      <c r="F1058" s="2489"/>
      <c r="U1058" s="2489"/>
    </row>
    <row r="1059" spans="1:21">
      <c r="A1059" s="2489"/>
      <c r="B1059" s="2489"/>
      <c r="C1059" s="2489"/>
      <c r="D1059" s="2489"/>
      <c r="E1059" s="2489"/>
      <c r="F1059" s="2489"/>
      <c r="U1059" s="2489"/>
    </row>
    <row r="1060" spans="1:21">
      <c r="A1060" s="2489"/>
      <c r="B1060" s="2489"/>
      <c r="C1060" s="2489"/>
      <c r="D1060" s="2489"/>
      <c r="E1060" s="2489"/>
      <c r="F1060" s="2489"/>
      <c r="U1060" s="2489"/>
    </row>
    <row r="1061" spans="1:21">
      <c r="A1061" s="2489"/>
      <c r="B1061" s="2489"/>
      <c r="C1061" s="2489"/>
      <c r="D1061" s="2489"/>
      <c r="E1061" s="2489"/>
      <c r="F1061" s="2489"/>
      <c r="U1061" s="2489"/>
    </row>
    <row r="1062" spans="1:21">
      <c r="A1062" s="2489"/>
      <c r="B1062" s="2489"/>
      <c r="C1062" s="2489"/>
      <c r="D1062" s="2489"/>
      <c r="E1062" s="2489"/>
      <c r="F1062" s="2489"/>
      <c r="U1062" s="2489"/>
    </row>
    <row r="1063" spans="1:21">
      <c r="A1063" s="2489"/>
      <c r="B1063" s="2489"/>
      <c r="C1063" s="2489"/>
      <c r="D1063" s="2489"/>
      <c r="E1063" s="2489"/>
      <c r="F1063" s="2489"/>
      <c r="U1063" s="2489"/>
    </row>
    <row r="1064" spans="1:21">
      <c r="A1064" s="2489"/>
      <c r="B1064" s="2489"/>
      <c r="C1064" s="2489"/>
      <c r="D1064" s="2489"/>
      <c r="E1064" s="2489"/>
      <c r="F1064" s="2489"/>
      <c r="U1064" s="2489"/>
    </row>
    <row r="1065" spans="1:21">
      <c r="A1065" s="2489"/>
      <c r="B1065" s="2489"/>
      <c r="C1065" s="2489"/>
      <c r="D1065" s="2489"/>
      <c r="E1065" s="2489"/>
      <c r="F1065" s="2489"/>
      <c r="U1065" s="2489"/>
    </row>
    <row r="1066" spans="1:21">
      <c r="A1066" s="2489"/>
      <c r="B1066" s="2489"/>
      <c r="C1066" s="2489"/>
      <c r="D1066" s="2489"/>
      <c r="E1066" s="2489"/>
      <c r="F1066" s="2489"/>
      <c r="U1066" s="2489"/>
    </row>
    <row r="1067" spans="1:21">
      <c r="A1067" s="2489"/>
      <c r="B1067" s="2489"/>
      <c r="C1067" s="2489"/>
      <c r="D1067" s="2489"/>
      <c r="E1067" s="2489"/>
      <c r="F1067" s="2489"/>
      <c r="U1067" s="2489"/>
    </row>
    <row r="1068" spans="1:21">
      <c r="A1068" s="2489"/>
      <c r="B1068" s="2489"/>
      <c r="C1068" s="2489"/>
      <c r="D1068" s="2489"/>
      <c r="E1068" s="2489"/>
      <c r="F1068" s="2489"/>
      <c r="U1068" s="2489"/>
    </row>
    <row r="1069" spans="1:21">
      <c r="A1069" s="2489"/>
      <c r="B1069" s="2489"/>
      <c r="C1069" s="2489"/>
      <c r="D1069" s="2489"/>
      <c r="E1069" s="2489"/>
      <c r="F1069" s="2489"/>
      <c r="U1069" s="2489"/>
    </row>
    <row r="1070" spans="1:21">
      <c r="A1070" s="2489"/>
      <c r="B1070" s="2489"/>
      <c r="C1070" s="2489"/>
      <c r="D1070" s="2489"/>
      <c r="E1070" s="2489"/>
      <c r="F1070" s="2489"/>
      <c r="U1070" s="2489"/>
    </row>
    <row r="1071" spans="1:21">
      <c r="A1071" s="2489"/>
      <c r="B1071" s="2489"/>
      <c r="C1071" s="2489"/>
      <c r="D1071" s="2489"/>
      <c r="E1071" s="2489"/>
      <c r="F1071" s="2489"/>
      <c r="U1071" s="2489"/>
    </row>
    <row r="1072" spans="1:21">
      <c r="A1072" s="2489"/>
      <c r="B1072" s="2489"/>
      <c r="C1072" s="2489"/>
      <c r="D1072" s="2489"/>
      <c r="E1072" s="2489"/>
      <c r="F1072" s="2489"/>
      <c r="U1072" s="2489"/>
    </row>
    <row r="1073" spans="1:21">
      <c r="A1073" s="2489"/>
      <c r="B1073" s="2489"/>
      <c r="C1073" s="2489"/>
      <c r="D1073" s="2489"/>
      <c r="E1073" s="2489"/>
      <c r="F1073" s="2489"/>
      <c r="U1073" s="2489"/>
    </row>
    <row r="1074" spans="1:21">
      <c r="A1074" s="2489"/>
      <c r="B1074" s="2489"/>
      <c r="C1074" s="2489"/>
      <c r="D1074" s="2489"/>
      <c r="E1074" s="2489"/>
      <c r="F1074" s="2489"/>
      <c r="U1074" s="2489"/>
    </row>
    <row r="1075" spans="1:21">
      <c r="A1075" s="2489"/>
      <c r="B1075" s="2489"/>
      <c r="C1075" s="2489"/>
      <c r="D1075" s="2489"/>
      <c r="E1075" s="2489"/>
      <c r="F1075" s="2489"/>
      <c r="U1075" s="2489"/>
    </row>
    <row r="1076" spans="1:21">
      <c r="A1076" s="2489"/>
      <c r="B1076" s="2489"/>
      <c r="C1076" s="2489"/>
      <c r="D1076" s="2489"/>
      <c r="E1076" s="2489"/>
      <c r="F1076" s="2489"/>
      <c r="U1076" s="2489"/>
    </row>
    <row r="1077" spans="1:21">
      <c r="A1077" s="2489"/>
      <c r="B1077" s="2489"/>
      <c r="C1077" s="2489"/>
      <c r="D1077" s="2489"/>
      <c r="E1077" s="2489"/>
      <c r="F1077" s="2489"/>
      <c r="U1077" s="2489"/>
    </row>
    <row r="1078" spans="1:21">
      <c r="A1078" s="2489"/>
      <c r="B1078" s="2489"/>
      <c r="C1078" s="2489"/>
      <c r="D1078" s="2489"/>
      <c r="E1078" s="2489"/>
      <c r="F1078" s="2489"/>
      <c r="U1078" s="2489"/>
    </row>
    <row r="1079" spans="1:21">
      <c r="A1079" s="2489"/>
      <c r="B1079" s="2489"/>
      <c r="C1079" s="2489"/>
      <c r="D1079" s="2489"/>
      <c r="E1079" s="2489"/>
      <c r="F1079" s="2489"/>
      <c r="U1079" s="2489"/>
    </row>
    <row r="1080" spans="1:21">
      <c r="A1080" s="2489"/>
      <c r="B1080" s="2489"/>
      <c r="C1080" s="2489"/>
      <c r="D1080" s="2489"/>
      <c r="E1080" s="2489"/>
      <c r="F1080" s="2489"/>
      <c r="U1080" s="2489"/>
    </row>
    <row r="1081" spans="1:21">
      <c r="A1081" s="2489"/>
      <c r="B1081" s="2489"/>
      <c r="C1081" s="2489"/>
      <c r="D1081" s="2489"/>
      <c r="E1081" s="2489"/>
      <c r="F1081" s="2489"/>
      <c r="U1081" s="2489"/>
    </row>
    <row r="1082" spans="1:21">
      <c r="A1082" s="2489"/>
      <c r="B1082" s="2489"/>
      <c r="C1082" s="2489"/>
      <c r="D1082" s="2489"/>
      <c r="E1082" s="2489"/>
      <c r="F1082" s="2489"/>
      <c r="U1082" s="2489"/>
    </row>
    <row r="1083" spans="1:21">
      <c r="A1083" s="2489"/>
      <c r="B1083" s="2489"/>
      <c r="C1083" s="2489"/>
      <c r="D1083" s="2489"/>
      <c r="E1083" s="2489"/>
      <c r="F1083" s="2489"/>
      <c r="U1083" s="2489"/>
    </row>
    <row r="1084" spans="1:21">
      <c r="A1084" s="2489"/>
      <c r="B1084" s="2489"/>
      <c r="C1084" s="2489"/>
      <c r="D1084" s="2489"/>
      <c r="E1084" s="2489"/>
      <c r="F1084" s="2489"/>
      <c r="U1084" s="2489"/>
    </row>
    <row r="1085" spans="1:21">
      <c r="A1085" s="2489"/>
      <c r="B1085" s="2489"/>
      <c r="C1085" s="2489"/>
      <c r="D1085" s="2489"/>
      <c r="E1085" s="2489"/>
      <c r="F1085" s="2489"/>
      <c r="U1085" s="2489"/>
    </row>
    <row r="1086" spans="1:21">
      <c r="A1086" s="2489"/>
      <c r="B1086" s="2489"/>
      <c r="C1086" s="2489"/>
      <c r="D1086" s="2489"/>
      <c r="E1086" s="2489"/>
      <c r="F1086" s="2489"/>
      <c r="U1086" s="2489"/>
    </row>
    <row r="1087" spans="1:21">
      <c r="A1087" s="2489"/>
      <c r="B1087" s="2489"/>
      <c r="C1087" s="2489"/>
      <c r="D1087" s="2489"/>
      <c r="E1087" s="2489"/>
      <c r="F1087" s="2489"/>
      <c r="U1087" s="2489"/>
    </row>
    <row r="1088" spans="1:21">
      <c r="A1088" s="2489"/>
      <c r="B1088" s="2489"/>
      <c r="C1088" s="2489"/>
      <c r="D1088" s="2489"/>
      <c r="E1088" s="2489"/>
      <c r="F1088" s="2489"/>
      <c r="U1088" s="2489"/>
    </row>
    <row r="1089" spans="1:21">
      <c r="A1089" s="2489"/>
      <c r="B1089" s="2489"/>
      <c r="C1089" s="2489"/>
      <c r="D1089" s="2489"/>
      <c r="E1089" s="2489"/>
      <c r="F1089" s="2489"/>
      <c r="U1089" s="2489"/>
    </row>
    <row r="1090" spans="1:21">
      <c r="A1090" s="2489"/>
      <c r="B1090" s="2489"/>
      <c r="C1090" s="2489"/>
      <c r="D1090" s="2489"/>
      <c r="E1090" s="2489"/>
      <c r="F1090" s="2489"/>
      <c r="U1090" s="2489"/>
    </row>
    <row r="1091" spans="1:21">
      <c r="A1091" s="2489"/>
      <c r="B1091" s="2489"/>
      <c r="C1091" s="2489"/>
      <c r="D1091" s="2489"/>
      <c r="E1091" s="2489"/>
      <c r="F1091" s="2489"/>
      <c r="U1091" s="2489"/>
    </row>
    <row r="1092" spans="1:21">
      <c r="A1092" s="2489"/>
      <c r="B1092" s="2489"/>
      <c r="C1092" s="2489"/>
      <c r="D1092" s="2489"/>
      <c r="E1092" s="2489"/>
      <c r="F1092" s="2489"/>
      <c r="U1092" s="2489"/>
    </row>
    <row r="1093" spans="1:21">
      <c r="A1093" s="2489"/>
      <c r="B1093" s="2489"/>
      <c r="C1093" s="2489"/>
      <c r="D1093" s="2489"/>
      <c r="E1093" s="2489"/>
      <c r="F1093" s="2489"/>
      <c r="U1093" s="2489"/>
    </row>
    <row r="1094" spans="1:21">
      <c r="A1094" s="2489"/>
      <c r="B1094" s="2489"/>
      <c r="C1094" s="2489"/>
      <c r="D1094" s="2489"/>
      <c r="E1094" s="2489"/>
      <c r="F1094" s="2489"/>
      <c r="U1094" s="2489"/>
    </row>
    <row r="1095" spans="1:21">
      <c r="A1095" s="2489"/>
      <c r="B1095" s="2489"/>
      <c r="C1095" s="2489"/>
      <c r="D1095" s="2489"/>
      <c r="E1095" s="2489"/>
      <c r="F1095" s="2489"/>
      <c r="U1095" s="2489"/>
    </row>
    <row r="1096" spans="1:21">
      <c r="A1096" s="2489"/>
      <c r="B1096" s="2489"/>
      <c r="C1096" s="2489"/>
      <c r="D1096" s="2489"/>
      <c r="E1096" s="2489"/>
      <c r="F1096" s="2489"/>
      <c r="U1096" s="2489"/>
    </row>
    <row r="1097" spans="1:21">
      <c r="A1097" s="2489"/>
      <c r="B1097" s="2489"/>
      <c r="C1097" s="2489"/>
      <c r="D1097" s="2489"/>
      <c r="E1097" s="2489"/>
      <c r="F1097" s="2489"/>
      <c r="U1097" s="2489"/>
    </row>
    <row r="1098" spans="1:21">
      <c r="A1098" s="2489"/>
      <c r="B1098" s="2489"/>
      <c r="C1098" s="2489"/>
      <c r="D1098" s="2489"/>
      <c r="E1098" s="2489"/>
      <c r="F1098" s="2489"/>
      <c r="U1098" s="2489"/>
    </row>
    <row r="1099" spans="1:21">
      <c r="A1099" s="2489"/>
      <c r="B1099" s="2489"/>
      <c r="C1099" s="2489"/>
      <c r="D1099" s="2489"/>
      <c r="E1099" s="2489"/>
      <c r="F1099" s="2489"/>
      <c r="U1099" s="2489"/>
    </row>
    <row r="1100" spans="1:21">
      <c r="A1100" s="2489"/>
      <c r="B1100" s="2489"/>
      <c r="C1100" s="2489"/>
      <c r="D1100" s="2489"/>
      <c r="E1100" s="2489"/>
      <c r="F1100" s="2489"/>
      <c r="U1100" s="2489"/>
    </row>
    <row r="1101" spans="1:21">
      <c r="A1101" s="2489"/>
      <c r="B1101" s="2489"/>
      <c r="C1101" s="2489"/>
      <c r="D1101" s="2489"/>
      <c r="E1101" s="2489"/>
      <c r="F1101" s="2489"/>
      <c r="U1101" s="2489"/>
    </row>
    <row r="1102" spans="1:21">
      <c r="A1102" s="2489"/>
      <c r="B1102" s="2489"/>
      <c r="C1102" s="2489"/>
      <c r="D1102" s="2489"/>
      <c r="E1102" s="2489"/>
      <c r="F1102" s="2489"/>
      <c r="U1102" s="2489"/>
    </row>
    <row r="1103" spans="1:21">
      <c r="A1103" s="2489"/>
      <c r="B1103" s="2489"/>
      <c r="C1103" s="2489"/>
      <c r="D1103" s="2489"/>
      <c r="E1103" s="2489"/>
      <c r="F1103" s="2489"/>
      <c r="U1103" s="2489"/>
    </row>
    <row r="1104" spans="1:21">
      <c r="A1104" s="2489"/>
      <c r="B1104" s="2489"/>
      <c r="C1104" s="2489"/>
      <c r="D1104" s="2489"/>
      <c r="E1104" s="2489"/>
      <c r="F1104" s="2489"/>
      <c r="U1104" s="2489"/>
    </row>
    <row r="1105" spans="1:21">
      <c r="A1105" s="2489"/>
      <c r="B1105" s="2489"/>
      <c r="C1105" s="2489"/>
      <c r="D1105" s="2489"/>
      <c r="E1105" s="2489"/>
      <c r="F1105" s="2489"/>
      <c r="U1105" s="2489"/>
    </row>
    <row r="1106" spans="1:21">
      <c r="A1106" s="2489"/>
      <c r="B1106" s="2489"/>
      <c r="C1106" s="2489"/>
      <c r="D1106" s="2489"/>
      <c r="E1106" s="2489"/>
      <c r="F1106" s="2489"/>
      <c r="U1106" s="2489"/>
    </row>
    <row r="1107" spans="1:21">
      <c r="A1107" s="2489"/>
      <c r="B1107" s="2489"/>
      <c r="C1107" s="2489"/>
      <c r="D1107" s="2489"/>
      <c r="E1107" s="2489"/>
      <c r="F1107" s="2489"/>
      <c r="U1107" s="2489"/>
    </row>
    <row r="1108" spans="1:21">
      <c r="A1108" s="2489"/>
      <c r="B1108" s="2489"/>
      <c r="C1108" s="2489"/>
      <c r="D1108" s="2489"/>
      <c r="E1108" s="2489"/>
      <c r="F1108" s="2489"/>
      <c r="U1108" s="2489"/>
    </row>
    <row r="1109" spans="1:21">
      <c r="A1109" s="2489"/>
      <c r="B1109" s="2489"/>
      <c r="C1109" s="2489"/>
      <c r="D1109" s="2489"/>
      <c r="E1109" s="2489"/>
      <c r="F1109" s="2489"/>
      <c r="U1109" s="2489"/>
    </row>
    <row r="1110" spans="1:21">
      <c r="A1110" s="2489"/>
      <c r="B1110" s="2489"/>
      <c r="C1110" s="2489"/>
      <c r="D1110" s="2489"/>
      <c r="E1110" s="2489"/>
      <c r="F1110" s="2489"/>
      <c r="U1110" s="2489"/>
    </row>
    <row r="1111" spans="1:21">
      <c r="A1111" s="2489"/>
      <c r="B1111" s="2489"/>
      <c r="C1111" s="2489"/>
      <c r="D1111" s="2489"/>
      <c r="E1111" s="2489"/>
      <c r="F1111" s="2489"/>
      <c r="U1111" s="2489"/>
    </row>
    <row r="1112" spans="1:21">
      <c r="A1112" s="2489"/>
      <c r="B1112" s="2489"/>
      <c r="C1112" s="2489"/>
      <c r="D1112" s="2489"/>
      <c r="E1112" s="2489"/>
      <c r="F1112" s="2489"/>
      <c r="U1112" s="2489"/>
    </row>
  </sheetData>
  <mergeCells count="51">
    <mergeCell ref="N233:S233"/>
    <mergeCell ref="N234:S234"/>
    <mergeCell ref="X11:Y11"/>
    <mergeCell ref="N220:S220"/>
    <mergeCell ref="V8:V10"/>
    <mergeCell ref="V32:V46"/>
    <mergeCell ref="V55:V57"/>
    <mergeCell ref="N221:S221"/>
    <mergeCell ref="V75:V83"/>
    <mergeCell ref="N219:S219"/>
    <mergeCell ref="A54:U54"/>
    <mergeCell ref="U55:U57"/>
    <mergeCell ref="J55:J56"/>
    <mergeCell ref="M55:M56"/>
    <mergeCell ref="N55:T56"/>
    <mergeCell ref="L55:L56"/>
    <mergeCell ref="A120:A121"/>
    <mergeCell ref="A151:A152"/>
    <mergeCell ref="F114:H115"/>
    <mergeCell ref="L218:Q218"/>
    <mergeCell ref="A5:U5"/>
    <mergeCell ref="A7:U7"/>
    <mergeCell ref="U8:U10"/>
    <mergeCell ref="J8:J9"/>
    <mergeCell ref="N8:T9"/>
    <mergeCell ref="M8:M9"/>
    <mergeCell ref="K8:L9"/>
    <mergeCell ref="L241:Q241"/>
    <mergeCell ref="N242:S242"/>
    <mergeCell ref="N243:S243"/>
    <mergeCell ref="N236:S236"/>
    <mergeCell ref="N222:S222"/>
    <mergeCell ref="N223:S223"/>
    <mergeCell ref="N225:S225"/>
    <mergeCell ref="N226:S226"/>
    <mergeCell ref="N227:S227"/>
    <mergeCell ref="N224:S224"/>
    <mergeCell ref="N228:S228"/>
    <mergeCell ref="N235:S235"/>
    <mergeCell ref="N230:S230"/>
    <mergeCell ref="N229:S229"/>
    <mergeCell ref="N231:S231"/>
    <mergeCell ref="N232:S232"/>
    <mergeCell ref="N254:S254"/>
    <mergeCell ref="N248:S248"/>
    <mergeCell ref="N249:S249"/>
    <mergeCell ref="M250:S250"/>
    <mergeCell ref="N244:S244"/>
    <mergeCell ref="N245:S245"/>
    <mergeCell ref="N246:S246"/>
    <mergeCell ref="N247:S247"/>
  </mergeCells>
  <printOptions horizontalCentered="1"/>
  <pageMargins left="0.23622047244094491" right="0.19685039370078741" top="0.43307086614173229" bottom="0.31496062992125984" header="0.15748031496062992" footer="0.15748031496062992"/>
  <pageSetup paperSize="9" scale="65" firstPageNumber="19" orientation="landscape" useFirstPageNumber="1" r:id="rId1"/>
  <headerFooter alignWithMargins="0">
    <oddHeader>&amp;C&amp;"Arial,Kursywa"Wieloletnia prognoza finansowa Województwa Zachodniopomorskiego na lata 2017 - 2038 
____________________________________________________________________________________________________________________</oddHeader>
    <oddFooter>&amp;C&amp;8&amp;P</oddFooter>
  </headerFooter>
  <rowBreaks count="2" manualBreakCount="2">
    <brk id="53" max="15" man="1"/>
    <brk id="93" max="15" man="1"/>
  </rowBreaks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C473"/>
  <sheetViews>
    <sheetView showGridLines="0" view="pageBreakPreview" zoomScaleNormal="100" zoomScaleSheetLayoutView="100" workbookViewId="0">
      <pane xSplit="3" ySplit="9" topLeftCell="D10" activePane="bottomRight" state="frozen"/>
      <selection pane="topRight" activeCell="D1" sqref="D1"/>
      <selection pane="bottomLeft" activeCell="A10" sqref="A10"/>
      <selection pane="bottomRight" activeCell="D10" sqref="D10"/>
    </sheetView>
  </sheetViews>
  <sheetFormatPr defaultRowHeight="11.25"/>
  <cols>
    <col min="1" max="1" width="2.85546875" style="1944" customWidth="1"/>
    <col min="2" max="2" width="60.42578125" style="1214" customWidth="1"/>
    <col min="3" max="3" width="10.5703125" style="1214" customWidth="1"/>
    <col min="4" max="4" width="14.42578125" style="1214" customWidth="1"/>
    <col min="5" max="5" width="10.140625" style="1214" hidden="1" customWidth="1"/>
    <col min="6" max="8" width="11.5703125" style="1214" hidden="1" customWidth="1"/>
    <col min="9" max="9" width="6" style="1214" hidden="1" customWidth="1"/>
    <col min="10" max="10" width="9.5703125" style="1214" hidden="1" customWidth="1"/>
    <col min="11" max="11" width="9.85546875" style="1214" hidden="1" customWidth="1"/>
    <col min="12" max="12" width="9.7109375" style="1214" hidden="1" customWidth="1"/>
    <col min="13" max="13" width="12.5703125" style="1214" customWidth="1"/>
    <col min="14" max="14" width="9.5703125" style="1214" hidden="1" customWidth="1"/>
    <col min="15" max="15" width="11.140625" style="1214" hidden="1" customWidth="1"/>
    <col min="16" max="16" width="12.5703125" style="2008" customWidth="1"/>
    <col min="17" max="17" width="9.28515625" style="1214" customWidth="1"/>
    <col min="18" max="21" width="9.7109375" style="1214" customWidth="1"/>
    <col min="22" max="23" width="9.28515625" style="1214" customWidth="1"/>
    <col min="24" max="24" width="11.42578125" style="1214" customWidth="1"/>
    <col min="25" max="25" width="15.28515625" style="2007" customWidth="1"/>
    <col min="26" max="26" width="11.85546875" style="1214" hidden="1" customWidth="1"/>
    <col min="27" max="34" width="0" style="1214" hidden="1" customWidth="1"/>
    <col min="35" max="261" width="9.140625" style="1214"/>
    <col min="262" max="262" width="2.85546875" style="1214" customWidth="1"/>
    <col min="263" max="263" width="50.7109375" style="1214" customWidth="1"/>
    <col min="264" max="264" width="9.42578125" style="1214" customWidth="1"/>
    <col min="265" max="265" width="11.85546875" style="1214" customWidth="1"/>
    <col min="266" max="266" width="8.42578125" style="1214" bestFit="1" customWidth="1"/>
    <col min="267" max="269" width="0" style="1214" hidden="1" customWidth="1"/>
    <col min="270" max="270" width="6" style="1214" bestFit="1" customWidth="1"/>
    <col min="271" max="271" width="9.5703125" style="1214" customWidth="1"/>
    <col min="272" max="272" width="9.85546875" style="1214" customWidth="1"/>
    <col min="273" max="273" width="9.7109375" style="1214" customWidth="1"/>
    <col min="274" max="274" width="9.5703125" style="1214" customWidth="1"/>
    <col min="275" max="275" width="9.85546875" style="1214" customWidth="1"/>
    <col min="276" max="276" width="6.5703125" style="1214" customWidth="1"/>
    <col min="277" max="277" width="6" style="1214" bestFit="1" customWidth="1"/>
    <col min="278" max="278" width="6.28515625" style="1214" customWidth="1"/>
    <col min="279" max="279" width="11.7109375" style="1214" customWidth="1"/>
    <col min="280" max="280" width="0" style="1214" hidden="1" customWidth="1"/>
    <col min="281" max="281" width="14.5703125" style="1214" customWidth="1"/>
    <col min="282" max="282" width="11.85546875" style="1214" customWidth="1"/>
    <col min="283" max="517" width="9.140625" style="1214"/>
    <col min="518" max="518" width="2.85546875" style="1214" customWidth="1"/>
    <col min="519" max="519" width="50.7109375" style="1214" customWidth="1"/>
    <col min="520" max="520" width="9.42578125" style="1214" customWidth="1"/>
    <col min="521" max="521" width="11.85546875" style="1214" customWidth="1"/>
    <col min="522" max="522" width="8.42578125" style="1214" bestFit="1" customWidth="1"/>
    <col min="523" max="525" width="0" style="1214" hidden="1" customWidth="1"/>
    <col min="526" max="526" width="6" style="1214" bestFit="1" customWidth="1"/>
    <col min="527" max="527" width="9.5703125" style="1214" customWidth="1"/>
    <col min="528" max="528" width="9.85546875" style="1214" customWidth="1"/>
    <col min="529" max="529" width="9.7109375" style="1214" customWidth="1"/>
    <col min="530" max="530" width="9.5703125" style="1214" customWidth="1"/>
    <col min="531" max="531" width="9.85546875" style="1214" customWidth="1"/>
    <col min="532" max="532" width="6.5703125" style="1214" customWidth="1"/>
    <col min="533" max="533" width="6" style="1214" bestFit="1" customWidth="1"/>
    <col min="534" max="534" width="6.28515625" style="1214" customWidth="1"/>
    <col min="535" max="535" width="11.7109375" style="1214" customWidth="1"/>
    <col min="536" max="536" width="0" style="1214" hidden="1" customWidth="1"/>
    <col min="537" max="537" width="14.5703125" style="1214" customWidth="1"/>
    <col min="538" max="538" width="11.85546875" style="1214" customWidth="1"/>
    <col min="539" max="773" width="9.140625" style="1214"/>
    <col min="774" max="774" width="2.85546875" style="1214" customWidth="1"/>
    <col min="775" max="775" width="50.7109375" style="1214" customWidth="1"/>
    <col min="776" max="776" width="9.42578125" style="1214" customWidth="1"/>
    <col min="777" max="777" width="11.85546875" style="1214" customWidth="1"/>
    <col min="778" max="778" width="8.42578125" style="1214" bestFit="1" customWidth="1"/>
    <col min="779" max="781" width="0" style="1214" hidden="1" customWidth="1"/>
    <col min="782" max="782" width="6" style="1214" bestFit="1" customWidth="1"/>
    <col min="783" max="783" width="9.5703125" style="1214" customWidth="1"/>
    <col min="784" max="784" width="9.85546875" style="1214" customWidth="1"/>
    <col min="785" max="785" width="9.7109375" style="1214" customWidth="1"/>
    <col min="786" max="786" width="9.5703125" style="1214" customWidth="1"/>
    <col min="787" max="787" width="9.85546875" style="1214" customWidth="1"/>
    <col min="788" max="788" width="6.5703125" style="1214" customWidth="1"/>
    <col min="789" max="789" width="6" style="1214" bestFit="1" customWidth="1"/>
    <col min="790" max="790" width="6.28515625" style="1214" customWidth="1"/>
    <col min="791" max="791" width="11.7109375" style="1214" customWidth="1"/>
    <col min="792" max="792" width="0" style="1214" hidden="1" customWidth="1"/>
    <col min="793" max="793" width="14.5703125" style="1214" customWidth="1"/>
    <col min="794" max="794" width="11.85546875" style="1214" customWidth="1"/>
    <col min="795" max="1029" width="9.140625" style="1214"/>
    <col min="1030" max="1030" width="2.85546875" style="1214" customWidth="1"/>
    <col min="1031" max="1031" width="50.7109375" style="1214" customWidth="1"/>
    <col min="1032" max="1032" width="9.42578125" style="1214" customWidth="1"/>
    <col min="1033" max="1033" width="11.85546875" style="1214" customWidth="1"/>
    <col min="1034" max="1034" width="8.42578125" style="1214" bestFit="1" customWidth="1"/>
    <col min="1035" max="1037" width="0" style="1214" hidden="1" customWidth="1"/>
    <col min="1038" max="1038" width="6" style="1214" bestFit="1" customWidth="1"/>
    <col min="1039" max="1039" width="9.5703125" style="1214" customWidth="1"/>
    <col min="1040" max="1040" width="9.85546875" style="1214" customWidth="1"/>
    <col min="1041" max="1041" width="9.7109375" style="1214" customWidth="1"/>
    <col min="1042" max="1042" width="9.5703125" style="1214" customWidth="1"/>
    <col min="1043" max="1043" width="9.85546875" style="1214" customWidth="1"/>
    <col min="1044" max="1044" width="6.5703125" style="1214" customWidth="1"/>
    <col min="1045" max="1045" width="6" style="1214" bestFit="1" customWidth="1"/>
    <col min="1046" max="1046" width="6.28515625" style="1214" customWidth="1"/>
    <col min="1047" max="1047" width="11.7109375" style="1214" customWidth="1"/>
    <col min="1048" max="1048" width="0" style="1214" hidden="1" customWidth="1"/>
    <col min="1049" max="1049" width="14.5703125" style="1214" customWidth="1"/>
    <col min="1050" max="1050" width="11.85546875" style="1214" customWidth="1"/>
    <col min="1051" max="1285" width="9.140625" style="1214"/>
    <col min="1286" max="1286" width="2.85546875" style="1214" customWidth="1"/>
    <col min="1287" max="1287" width="50.7109375" style="1214" customWidth="1"/>
    <col min="1288" max="1288" width="9.42578125" style="1214" customWidth="1"/>
    <col min="1289" max="1289" width="11.85546875" style="1214" customWidth="1"/>
    <col min="1290" max="1290" width="8.42578125" style="1214" bestFit="1" customWidth="1"/>
    <col min="1291" max="1293" width="0" style="1214" hidden="1" customWidth="1"/>
    <col min="1294" max="1294" width="6" style="1214" bestFit="1" customWidth="1"/>
    <col min="1295" max="1295" width="9.5703125" style="1214" customWidth="1"/>
    <col min="1296" max="1296" width="9.85546875" style="1214" customWidth="1"/>
    <col min="1297" max="1297" width="9.7109375" style="1214" customWidth="1"/>
    <col min="1298" max="1298" width="9.5703125" style="1214" customWidth="1"/>
    <col min="1299" max="1299" width="9.85546875" style="1214" customWidth="1"/>
    <col min="1300" max="1300" width="6.5703125" style="1214" customWidth="1"/>
    <col min="1301" max="1301" width="6" style="1214" bestFit="1" customWidth="1"/>
    <col min="1302" max="1302" width="6.28515625" style="1214" customWidth="1"/>
    <col min="1303" max="1303" width="11.7109375" style="1214" customWidth="1"/>
    <col min="1304" max="1304" width="0" style="1214" hidden="1" customWidth="1"/>
    <col min="1305" max="1305" width="14.5703125" style="1214" customWidth="1"/>
    <col min="1306" max="1306" width="11.85546875" style="1214" customWidth="1"/>
    <col min="1307" max="1541" width="9.140625" style="1214"/>
    <col min="1542" max="1542" width="2.85546875" style="1214" customWidth="1"/>
    <col min="1543" max="1543" width="50.7109375" style="1214" customWidth="1"/>
    <col min="1544" max="1544" width="9.42578125" style="1214" customWidth="1"/>
    <col min="1545" max="1545" width="11.85546875" style="1214" customWidth="1"/>
    <col min="1546" max="1546" width="8.42578125" style="1214" bestFit="1" customWidth="1"/>
    <col min="1547" max="1549" width="0" style="1214" hidden="1" customWidth="1"/>
    <col min="1550" max="1550" width="6" style="1214" bestFit="1" customWidth="1"/>
    <col min="1551" max="1551" width="9.5703125" style="1214" customWidth="1"/>
    <col min="1552" max="1552" width="9.85546875" style="1214" customWidth="1"/>
    <col min="1553" max="1553" width="9.7109375" style="1214" customWidth="1"/>
    <col min="1554" max="1554" width="9.5703125" style="1214" customWidth="1"/>
    <col min="1555" max="1555" width="9.85546875" style="1214" customWidth="1"/>
    <col min="1556" max="1556" width="6.5703125" style="1214" customWidth="1"/>
    <col min="1557" max="1557" width="6" style="1214" bestFit="1" customWidth="1"/>
    <col min="1558" max="1558" width="6.28515625" style="1214" customWidth="1"/>
    <col min="1559" max="1559" width="11.7109375" style="1214" customWidth="1"/>
    <col min="1560" max="1560" width="0" style="1214" hidden="1" customWidth="1"/>
    <col min="1561" max="1561" width="14.5703125" style="1214" customWidth="1"/>
    <col min="1562" max="1562" width="11.85546875" style="1214" customWidth="1"/>
    <col min="1563" max="1797" width="9.140625" style="1214"/>
    <col min="1798" max="1798" width="2.85546875" style="1214" customWidth="1"/>
    <col min="1799" max="1799" width="50.7109375" style="1214" customWidth="1"/>
    <col min="1800" max="1800" width="9.42578125" style="1214" customWidth="1"/>
    <col min="1801" max="1801" width="11.85546875" style="1214" customWidth="1"/>
    <col min="1802" max="1802" width="8.42578125" style="1214" bestFit="1" customWidth="1"/>
    <col min="1803" max="1805" width="0" style="1214" hidden="1" customWidth="1"/>
    <col min="1806" max="1806" width="6" style="1214" bestFit="1" customWidth="1"/>
    <col min="1807" max="1807" width="9.5703125" style="1214" customWidth="1"/>
    <col min="1808" max="1808" width="9.85546875" style="1214" customWidth="1"/>
    <col min="1809" max="1809" width="9.7109375" style="1214" customWidth="1"/>
    <col min="1810" max="1810" width="9.5703125" style="1214" customWidth="1"/>
    <col min="1811" max="1811" width="9.85546875" style="1214" customWidth="1"/>
    <col min="1812" max="1812" width="6.5703125" style="1214" customWidth="1"/>
    <col min="1813" max="1813" width="6" style="1214" bestFit="1" customWidth="1"/>
    <col min="1814" max="1814" width="6.28515625" style="1214" customWidth="1"/>
    <col min="1815" max="1815" width="11.7109375" style="1214" customWidth="1"/>
    <col min="1816" max="1816" width="0" style="1214" hidden="1" customWidth="1"/>
    <col min="1817" max="1817" width="14.5703125" style="1214" customWidth="1"/>
    <col min="1818" max="1818" width="11.85546875" style="1214" customWidth="1"/>
    <col min="1819" max="2053" width="9.140625" style="1214"/>
    <col min="2054" max="2054" width="2.85546875" style="1214" customWidth="1"/>
    <col min="2055" max="2055" width="50.7109375" style="1214" customWidth="1"/>
    <col min="2056" max="2056" width="9.42578125" style="1214" customWidth="1"/>
    <col min="2057" max="2057" width="11.85546875" style="1214" customWidth="1"/>
    <col min="2058" max="2058" width="8.42578125" style="1214" bestFit="1" customWidth="1"/>
    <col min="2059" max="2061" width="0" style="1214" hidden="1" customWidth="1"/>
    <col min="2062" max="2062" width="6" style="1214" bestFit="1" customWidth="1"/>
    <col min="2063" max="2063" width="9.5703125" style="1214" customWidth="1"/>
    <col min="2064" max="2064" width="9.85546875" style="1214" customWidth="1"/>
    <col min="2065" max="2065" width="9.7109375" style="1214" customWidth="1"/>
    <col min="2066" max="2066" width="9.5703125" style="1214" customWidth="1"/>
    <col min="2067" max="2067" width="9.85546875" style="1214" customWidth="1"/>
    <col min="2068" max="2068" width="6.5703125" style="1214" customWidth="1"/>
    <col min="2069" max="2069" width="6" style="1214" bestFit="1" customWidth="1"/>
    <col min="2070" max="2070" width="6.28515625" style="1214" customWidth="1"/>
    <col min="2071" max="2071" width="11.7109375" style="1214" customWidth="1"/>
    <col min="2072" max="2072" width="0" style="1214" hidden="1" customWidth="1"/>
    <col min="2073" max="2073" width="14.5703125" style="1214" customWidth="1"/>
    <col min="2074" max="2074" width="11.85546875" style="1214" customWidth="1"/>
    <col min="2075" max="2309" width="9.140625" style="1214"/>
    <col min="2310" max="2310" width="2.85546875" style="1214" customWidth="1"/>
    <col min="2311" max="2311" width="50.7109375" style="1214" customWidth="1"/>
    <col min="2312" max="2312" width="9.42578125" style="1214" customWidth="1"/>
    <col min="2313" max="2313" width="11.85546875" style="1214" customWidth="1"/>
    <col min="2314" max="2314" width="8.42578125" style="1214" bestFit="1" customWidth="1"/>
    <col min="2315" max="2317" width="0" style="1214" hidden="1" customWidth="1"/>
    <col min="2318" max="2318" width="6" style="1214" bestFit="1" customWidth="1"/>
    <col min="2319" max="2319" width="9.5703125" style="1214" customWidth="1"/>
    <col min="2320" max="2320" width="9.85546875" style="1214" customWidth="1"/>
    <col min="2321" max="2321" width="9.7109375" style="1214" customWidth="1"/>
    <col min="2322" max="2322" width="9.5703125" style="1214" customWidth="1"/>
    <col min="2323" max="2323" width="9.85546875" style="1214" customWidth="1"/>
    <col min="2324" max="2324" width="6.5703125" style="1214" customWidth="1"/>
    <col min="2325" max="2325" width="6" style="1214" bestFit="1" customWidth="1"/>
    <col min="2326" max="2326" width="6.28515625" style="1214" customWidth="1"/>
    <col min="2327" max="2327" width="11.7109375" style="1214" customWidth="1"/>
    <col min="2328" max="2328" width="0" style="1214" hidden="1" customWidth="1"/>
    <col min="2329" max="2329" width="14.5703125" style="1214" customWidth="1"/>
    <col min="2330" max="2330" width="11.85546875" style="1214" customWidth="1"/>
    <col min="2331" max="2565" width="9.140625" style="1214"/>
    <col min="2566" max="2566" width="2.85546875" style="1214" customWidth="1"/>
    <col min="2567" max="2567" width="50.7109375" style="1214" customWidth="1"/>
    <col min="2568" max="2568" width="9.42578125" style="1214" customWidth="1"/>
    <col min="2569" max="2569" width="11.85546875" style="1214" customWidth="1"/>
    <col min="2570" max="2570" width="8.42578125" style="1214" bestFit="1" customWidth="1"/>
    <col min="2571" max="2573" width="0" style="1214" hidden="1" customWidth="1"/>
    <col min="2574" max="2574" width="6" style="1214" bestFit="1" customWidth="1"/>
    <col min="2575" max="2575" width="9.5703125" style="1214" customWidth="1"/>
    <col min="2576" max="2576" width="9.85546875" style="1214" customWidth="1"/>
    <col min="2577" max="2577" width="9.7109375" style="1214" customWidth="1"/>
    <col min="2578" max="2578" width="9.5703125" style="1214" customWidth="1"/>
    <col min="2579" max="2579" width="9.85546875" style="1214" customWidth="1"/>
    <col min="2580" max="2580" width="6.5703125" style="1214" customWidth="1"/>
    <col min="2581" max="2581" width="6" style="1214" bestFit="1" customWidth="1"/>
    <col min="2582" max="2582" width="6.28515625" style="1214" customWidth="1"/>
    <col min="2583" max="2583" width="11.7109375" style="1214" customWidth="1"/>
    <col min="2584" max="2584" width="0" style="1214" hidden="1" customWidth="1"/>
    <col min="2585" max="2585" width="14.5703125" style="1214" customWidth="1"/>
    <col min="2586" max="2586" width="11.85546875" style="1214" customWidth="1"/>
    <col min="2587" max="2821" width="9.140625" style="1214"/>
    <col min="2822" max="2822" width="2.85546875" style="1214" customWidth="1"/>
    <col min="2823" max="2823" width="50.7109375" style="1214" customWidth="1"/>
    <col min="2824" max="2824" width="9.42578125" style="1214" customWidth="1"/>
    <col min="2825" max="2825" width="11.85546875" style="1214" customWidth="1"/>
    <col min="2826" max="2826" width="8.42578125" style="1214" bestFit="1" customWidth="1"/>
    <col min="2827" max="2829" width="0" style="1214" hidden="1" customWidth="1"/>
    <col min="2830" max="2830" width="6" style="1214" bestFit="1" customWidth="1"/>
    <col min="2831" max="2831" width="9.5703125" style="1214" customWidth="1"/>
    <col min="2832" max="2832" width="9.85546875" style="1214" customWidth="1"/>
    <col min="2833" max="2833" width="9.7109375" style="1214" customWidth="1"/>
    <col min="2834" max="2834" width="9.5703125" style="1214" customWidth="1"/>
    <col min="2835" max="2835" width="9.85546875" style="1214" customWidth="1"/>
    <col min="2836" max="2836" width="6.5703125" style="1214" customWidth="1"/>
    <col min="2837" max="2837" width="6" style="1214" bestFit="1" customWidth="1"/>
    <col min="2838" max="2838" width="6.28515625" style="1214" customWidth="1"/>
    <col min="2839" max="2839" width="11.7109375" style="1214" customWidth="1"/>
    <col min="2840" max="2840" width="0" style="1214" hidden="1" customWidth="1"/>
    <col min="2841" max="2841" width="14.5703125" style="1214" customWidth="1"/>
    <col min="2842" max="2842" width="11.85546875" style="1214" customWidth="1"/>
    <col min="2843" max="3077" width="9.140625" style="1214"/>
    <col min="3078" max="3078" width="2.85546875" style="1214" customWidth="1"/>
    <col min="3079" max="3079" width="50.7109375" style="1214" customWidth="1"/>
    <col min="3080" max="3080" width="9.42578125" style="1214" customWidth="1"/>
    <col min="3081" max="3081" width="11.85546875" style="1214" customWidth="1"/>
    <col min="3082" max="3082" width="8.42578125" style="1214" bestFit="1" customWidth="1"/>
    <col min="3083" max="3085" width="0" style="1214" hidden="1" customWidth="1"/>
    <col min="3086" max="3086" width="6" style="1214" bestFit="1" customWidth="1"/>
    <col min="3087" max="3087" width="9.5703125" style="1214" customWidth="1"/>
    <col min="3088" max="3088" width="9.85546875" style="1214" customWidth="1"/>
    <col min="3089" max="3089" width="9.7109375" style="1214" customWidth="1"/>
    <col min="3090" max="3090" width="9.5703125" style="1214" customWidth="1"/>
    <col min="3091" max="3091" width="9.85546875" style="1214" customWidth="1"/>
    <col min="3092" max="3092" width="6.5703125" style="1214" customWidth="1"/>
    <col min="3093" max="3093" width="6" style="1214" bestFit="1" customWidth="1"/>
    <col min="3094" max="3094" width="6.28515625" style="1214" customWidth="1"/>
    <col min="3095" max="3095" width="11.7109375" style="1214" customWidth="1"/>
    <col min="3096" max="3096" width="0" style="1214" hidden="1" customWidth="1"/>
    <col min="3097" max="3097" width="14.5703125" style="1214" customWidth="1"/>
    <col min="3098" max="3098" width="11.85546875" style="1214" customWidth="1"/>
    <col min="3099" max="3333" width="9.140625" style="1214"/>
    <col min="3334" max="3334" width="2.85546875" style="1214" customWidth="1"/>
    <col min="3335" max="3335" width="50.7109375" style="1214" customWidth="1"/>
    <col min="3336" max="3336" width="9.42578125" style="1214" customWidth="1"/>
    <col min="3337" max="3337" width="11.85546875" style="1214" customWidth="1"/>
    <col min="3338" max="3338" width="8.42578125" style="1214" bestFit="1" customWidth="1"/>
    <col min="3339" max="3341" width="0" style="1214" hidden="1" customWidth="1"/>
    <col min="3342" max="3342" width="6" style="1214" bestFit="1" customWidth="1"/>
    <col min="3343" max="3343" width="9.5703125" style="1214" customWidth="1"/>
    <col min="3344" max="3344" width="9.85546875" style="1214" customWidth="1"/>
    <col min="3345" max="3345" width="9.7109375" style="1214" customWidth="1"/>
    <col min="3346" max="3346" width="9.5703125" style="1214" customWidth="1"/>
    <col min="3347" max="3347" width="9.85546875" style="1214" customWidth="1"/>
    <col min="3348" max="3348" width="6.5703125" style="1214" customWidth="1"/>
    <col min="3349" max="3349" width="6" style="1214" bestFit="1" customWidth="1"/>
    <col min="3350" max="3350" width="6.28515625" style="1214" customWidth="1"/>
    <col min="3351" max="3351" width="11.7109375" style="1214" customWidth="1"/>
    <col min="3352" max="3352" width="0" style="1214" hidden="1" customWidth="1"/>
    <col min="3353" max="3353" width="14.5703125" style="1214" customWidth="1"/>
    <col min="3354" max="3354" width="11.85546875" style="1214" customWidth="1"/>
    <col min="3355" max="3589" width="9.140625" style="1214"/>
    <col min="3590" max="3590" width="2.85546875" style="1214" customWidth="1"/>
    <col min="3591" max="3591" width="50.7109375" style="1214" customWidth="1"/>
    <col min="3592" max="3592" width="9.42578125" style="1214" customWidth="1"/>
    <col min="3593" max="3593" width="11.85546875" style="1214" customWidth="1"/>
    <col min="3594" max="3594" width="8.42578125" style="1214" bestFit="1" customWidth="1"/>
    <col min="3595" max="3597" width="0" style="1214" hidden="1" customWidth="1"/>
    <col min="3598" max="3598" width="6" style="1214" bestFit="1" customWidth="1"/>
    <col min="3599" max="3599" width="9.5703125" style="1214" customWidth="1"/>
    <col min="3600" max="3600" width="9.85546875" style="1214" customWidth="1"/>
    <col min="3601" max="3601" width="9.7109375" style="1214" customWidth="1"/>
    <col min="3602" max="3602" width="9.5703125" style="1214" customWidth="1"/>
    <col min="3603" max="3603" width="9.85546875" style="1214" customWidth="1"/>
    <col min="3604" max="3604" width="6.5703125" style="1214" customWidth="1"/>
    <col min="3605" max="3605" width="6" style="1214" bestFit="1" customWidth="1"/>
    <col min="3606" max="3606" width="6.28515625" style="1214" customWidth="1"/>
    <col min="3607" max="3607" width="11.7109375" style="1214" customWidth="1"/>
    <col min="3608" max="3608" width="0" style="1214" hidden="1" customWidth="1"/>
    <col min="3609" max="3609" width="14.5703125" style="1214" customWidth="1"/>
    <col min="3610" max="3610" width="11.85546875" style="1214" customWidth="1"/>
    <col min="3611" max="3845" width="9.140625" style="1214"/>
    <col min="3846" max="3846" width="2.85546875" style="1214" customWidth="1"/>
    <col min="3847" max="3847" width="50.7109375" style="1214" customWidth="1"/>
    <col min="3848" max="3848" width="9.42578125" style="1214" customWidth="1"/>
    <col min="3849" max="3849" width="11.85546875" style="1214" customWidth="1"/>
    <col min="3850" max="3850" width="8.42578125" style="1214" bestFit="1" customWidth="1"/>
    <col min="3851" max="3853" width="0" style="1214" hidden="1" customWidth="1"/>
    <col min="3854" max="3854" width="6" style="1214" bestFit="1" customWidth="1"/>
    <col min="3855" max="3855" width="9.5703125" style="1214" customWidth="1"/>
    <col min="3856" max="3856" width="9.85546875" style="1214" customWidth="1"/>
    <col min="3857" max="3857" width="9.7109375" style="1214" customWidth="1"/>
    <col min="3858" max="3858" width="9.5703125" style="1214" customWidth="1"/>
    <col min="3859" max="3859" width="9.85546875" style="1214" customWidth="1"/>
    <col min="3860" max="3860" width="6.5703125" style="1214" customWidth="1"/>
    <col min="3861" max="3861" width="6" style="1214" bestFit="1" customWidth="1"/>
    <col min="3862" max="3862" width="6.28515625" style="1214" customWidth="1"/>
    <col min="3863" max="3863" width="11.7109375" style="1214" customWidth="1"/>
    <col min="3864" max="3864" width="0" style="1214" hidden="1" customWidth="1"/>
    <col min="3865" max="3865" width="14.5703125" style="1214" customWidth="1"/>
    <col min="3866" max="3866" width="11.85546875" style="1214" customWidth="1"/>
    <col min="3867" max="4101" width="9.140625" style="1214"/>
    <col min="4102" max="4102" width="2.85546875" style="1214" customWidth="1"/>
    <col min="4103" max="4103" width="50.7109375" style="1214" customWidth="1"/>
    <col min="4104" max="4104" width="9.42578125" style="1214" customWidth="1"/>
    <col min="4105" max="4105" width="11.85546875" style="1214" customWidth="1"/>
    <col min="4106" max="4106" width="8.42578125" style="1214" bestFit="1" customWidth="1"/>
    <col min="4107" max="4109" width="0" style="1214" hidden="1" customWidth="1"/>
    <col min="4110" max="4110" width="6" style="1214" bestFit="1" customWidth="1"/>
    <col min="4111" max="4111" width="9.5703125" style="1214" customWidth="1"/>
    <col min="4112" max="4112" width="9.85546875" style="1214" customWidth="1"/>
    <col min="4113" max="4113" width="9.7109375" style="1214" customWidth="1"/>
    <col min="4114" max="4114" width="9.5703125" style="1214" customWidth="1"/>
    <col min="4115" max="4115" width="9.85546875" style="1214" customWidth="1"/>
    <col min="4116" max="4116" width="6.5703125" style="1214" customWidth="1"/>
    <col min="4117" max="4117" width="6" style="1214" bestFit="1" customWidth="1"/>
    <col min="4118" max="4118" width="6.28515625" style="1214" customWidth="1"/>
    <col min="4119" max="4119" width="11.7109375" style="1214" customWidth="1"/>
    <col min="4120" max="4120" width="0" style="1214" hidden="1" customWidth="1"/>
    <col min="4121" max="4121" width="14.5703125" style="1214" customWidth="1"/>
    <col min="4122" max="4122" width="11.85546875" style="1214" customWidth="1"/>
    <col min="4123" max="4357" width="9.140625" style="1214"/>
    <col min="4358" max="4358" width="2.85546875" style="1214" customWidth="1"/>
    <col min="4359" max="4359" width="50.7109375" style="1214" customWidth="1"/>
    <col min="4360" max="4360" width="9.42578125" style="1214" customWidth="1"/>
    <col min="4361" max="4361" width="11.85546875" style="1214" customWidth="1"/>
    <col min="4362" max="4362" width="8.42578125" style="1214" bestFit="1" customWidth="1"/>
    <col min="4363" max="4365" width="0" style="1214" hidden="1" customWidth="1"/>
    <col min="4366" max="4366" width="6" style="1214" bestFit="1" customWidth="1"/>
    <col min="4367" max="4367" width="9.5703125" style="1214" customWidth="1"/>
    <col min="4368" max="4368" width="9.85546875" style="1214" customWidth="1"/>
    <col min="4369" max="4369" width="9.7109375" style="1214" customWidth="1"/>
    <col min="4370" max="4370" width="9.5703125" style="1214" customWidth="1"/>
    <col min="4371" max="4371" width="9.85546875" style="1214" customWidth="1"/>
    <col min="4372" max="4372" width="6.5703125" style="1214" customWidth="1"/>
    <col min="4373" max="4373" width="6" style="1214" bestFit="1" customWidth="1"/>
    <col min="4374" max="4374" width="6.28515625" style="1214" customWidth="1"/>
    <col min="4375" max="4375" width="11.7109375" style="1214" customWidth="1"/>
    <col min="4376" max="4376" width="0" style="1214" hidden="1" customWidth="1"/>
    <col min="4377" max="4377" width="14.5703125" style="1214" customWidth="1"/>
    <col min="4378" max="4378" width="11.85546875" style="1214" customWidth="1"/>
    <col min="4379" max="4613" width="9.140625" style="1214"/>
    <col min="4614" max="4614" width="2.85546875" style="1214" customWidth="1"/>
    <col min="4615" max="4615" width="50.7109375" style="1214" customWidth="1"/>
    <col min="4616" max="4616" width="9.42578125" style="1214" customWidth="1"/>
    <col min="4617" max="4617" width="11.85546875" style="1214" customWidth="1"/>
    <col min="4618" max="4618" width="8.42578125" style="1214" bestFit="1" customWidth="1"/>
    <col min="4619" max="4621" width="0" style="1214" hidden="1" customWidth="1"/>
    <col min="4622" max="4622" width="6" style="1214" bestFit="1" customWidth="1"/>
    <col min="4623" max="4623" width="9.5703125" style="1214" customWidth="1"/>
    <col min="4624" max="4624" width="9.85546875" style="1214" customWidth="1"/>
    <col min="4625" max="4625" width="9.7109375" style="1214" customWidth="1"/>
    <col min="4626" max="4626" width="9.5703125" style="1214" customWidth="1"/>
    <col min="4627" max="4627" width="9.85546875" style="1214" customWidth="1"/>
    <col min="4628" max="4628" width="6.5703125" style="1214" customWidth="1"/>
    <col min="4629" max="4629" width="6" style="1214" bestFit="1" customWidth="1"/>
    <col min="4630" max="4630" width="6.28515625" style="1214" customWidth="1"/>
    <col min="4631" max="4631" width="11.7109375" style="1214" customWidth="1"/>
    <col min="4632" max="4632" width="0" style="1214" hidden="1" customWidth="1"/>
    <col min="4633" max="4633" width="14.5703125" style="1214" customWidth="1"/>
    <col min="4634" max="4634" width="11.85546875" style="1214" customWidth="1"/>
    <col min="4635" max="4869" width="9.140625" style="1214"/>
    <col min="4870" max="4870" width="2.85546875" style="1214" customWidth="1"/>
    <col min="4871" max="4871" width="50.7109375" style="1214" customWidth="1"/>
    <col min="4872" max="4872" width="9.42578125" style="1214" customWidth="1"/>
    <col min="4873" max="4873" width="11.85546875" style="1214" customWidth="1"/>
    <col min="4874" max="4874" width="8.42578125" style="1214" bestFit="1" customWidth="1"/>
    <col min="4875" max="4877" width="0" style="1214" hidden="1" customWidth="1"/>
    <col min="4878" max="4878" width="6" style="1214" bestFit="1" customWidth="1"/>
    <col min="4879" max="4879" width="9.5703125" style="1214" customWidth="1"/>
    <col min="4880" max="4880" width="9.85546875" style="1214" customWidth="1"/>
    <col min="4881" max="4881" width="9.7109375" style="1214" customWidth="1"/>
    <col min="4882" max="4882" width="9.5703125" style="1214" customWidth="1"/>
    <col min="4883" max="4883" width="9.85546875" style="1214" customWidth="1"/>
    <col min="4884" max="4884" width="6.5703125" style="1214" customWidth="1"/>
    <col min="4885" max="4885" width="6" style="1214" bestFit="1" customWidth="1"/>
    <col min="4886" max="4886" width="6.28515625" style="1214" customWidth="1"/>
    <col min="4887" max="4887" width="11.7109375" style="1214" customWidth="1"/>
    <col min="4888" max="4888" width="0" style="1214" hidden="1" customWidth="1"/>
    <col min="4889" max="4889" width="14.5703125" style="1214" customWidth="1"/>
    <col min="4890" max="4890" width="11.85546875" style="1214" customWidth="1"/>
    <col min="4891" max="5125" width="9.140625" style="1214"/>
    <col min="5126" max="5126" width="2.85546875" style="1214" customWidth="1"/>
    <col min="5127" max="5127" width="50.7109375" style="1214" customWidth="1"/>
    <col min="5128" max="5128" width="9.42578125" style="1214" customWidth="1"/>
    <col min="5129" max="5129" width="11.85546875" style="1214" customWidth="1"/>
    <col min="5130" max="5130" width="8.42578125" style="1214" bestFit="1" customWidth="1"/>
    <col min="5131" max="5133" width="0" style="1214" hidden="1" customWidth="1"/>
    <col min="5134" max="5134" width="6" style="1214" bestFit="1" customWidth="1"/>
    <col min="5135" max="5135" width="9.5703125" style="1214" customWidth="1"/>
    <col min="5136" max="5136" width="9.85546875" style="1214" customWidth="1"/>
    <col min="5137" max="5137" width="9.7109375" style="1214" customWidth="1"/>
    <col min="5138" max="5138" width="9.5703125" style="1214" customWidth="1"/>
    <col min="5139" max="5139" width="9.85546875" style="1214" customWidth="1"/>
    <col min="5140" max="5140" width="6.5703125" style="1214" customWidth="1"/>
    <col min="5141" max="5141" width="6" style="1214" bestFit="1" customWidth="1"/>
    <col min="5142" max="5142" width="6.28515625" style="1214" customWidth="1"/>
    <col min="5143" max="5143" width="11.7109375" style="1214" customWidth="1"/>
    <col min="5144" max="5144" width="0" style="1214" hidden="1" customWidth="1"/>
    <col min="5145" max="5145" width="14.5703125" style="1214" customWidth="1"/>
    <col min="5146" max="5146" width="11.85546875" style="1214" customWidth="1"/>
    <col min="5147" max="5381" width="9.140625" style="1214"/>
    <col min="5382" max="5382" width="2.85546875" style="1214" customWidth="1"/>
    <col min="5383" max="5383" width="50.7109375" style="1214" customWidth="1"/>
    <col min="5384" max="5384" width="9.42578125" style="1214" customWidth="1"/>
    <col min="5385" max="5385" width="11.85546875" style="1214" customWidth="1"/>
    <col min="5386" max="5386" width="8.42578125" style="1214" bestFit="1" customWidth="1"/>
    <col min="5387" max="5389" width="0" style="1214" hidden="1" customWidth="1"/>
    <col min="5390" max="5390" width="6" style="1214" bestFit="1" customWidth="1"/>
    <col min="5391" max="5391" width="9.5703125" style="1214" customWidth="1"/>
    <col min="5392" max="5392" width="9.85546875" style="1214" customWidth="1"/>
    <col min="5393" max="5393" width="9.7109375" style="1214" customWidth="1"/>
    <col min="5394" max="5394" width="9.5703125" style="1214" customWidth="1"/>
    <col min="5395" max="5395" width="9.85546875" style="1214" customWidth="1"/>
    <col min="5396" max="5396" width="6.5703125" style="1214" customWidth="1"/>
    <col min="5397" max="5397" width="6" style="1214" bestFit="1" customWidth="1"/>
    <col min="5398" max="5398" width="6.28515625" style="1214" customWidth="1"/>
    <col min="5399" max="5399" width="11.7109375" style="1214" customWidth="1"/>
    <col min="5400" max="5400" width="0" style="1214" hidden="1" customWidth="1"/>
    <col min="5401" max="5401" width="14.5703125" style="1214" customWidth="1"/>
    <col min="5402" max="5402" width="11.85546875" style="1214" customWidth="1"/>
    <col min="5403" max="5637" width="9.140625" style="1214"/>
    <col min="5638" max="5638" width="2.85546875" style="1214" customWidth="1"/>
    <col min="5639" max="5639" width="50.7109375" style="1214" customWidth="1"/>
    <col min="5640" max="5640" width="9.42578125" style="1214" customWidth="1"/>
    <col min="5641" max="5641" width="11.85546875" style="1214" customWidth="1"/>
    <col min="5642" max="5642" width="8.42578125" style="1214" bestFit="1" customWidth="1"/>
    <col min="5643" max="5645" width="0" style="1214" hidden="1" customWidth="1"/>
    <col min="5646" max="5646" width="6" style="1214" bestFit="1" customWidth="1"/>
    <col min="5647" max="5647" width="9.5703125" style="1214" customWidth="1"/>
    <col min="5648" max="5648" width="9.85546875" style="1214" customWidth="1"/>
    <col min="5649" max="5649" width="9.7109375" style="1214" customWidth="1"/>
    <col min="5650" max="5650" width="9.5703125" style="1214" customWidth="1"/>
    <col min="5651" max="5651" width="9.85546875" style="1214" customWidth="1"/>
    <col min="5652" max="5652" width="6.5703125" style="1214" customWidth="1"/>
    <col min="5653" max="5653" width="6" style="1214" bestFit="1" customWidth="1"/>
    <col min="5654" max="5654" width="6.28515625" style="1214" customWidth="1"/>
    <col min="5655" max="5655" width="11.7109375" style="1214" customWidth="1"/>
    <col min="5656" max="5656" width="0" style="1214" hidden="1" customWidth="1"/>
    <col min="5657" max="5657" width="14.5703125" style="1214" customWidth="1"/>
    <col min="5658" max="5658" width="11.85546875" style="1214" customWidth="1"/>
    <col min="5659" max="5893" width="9.140625" style="1214"/>
    <col min="5894" max="5894" width="2.85546875" style="1214" customWidth="1"/>
    <col min="5895" max="5895" width="50.7109375" style="1214" customWidth="1"/>
    <col min="5896" max="5896" width="9.42578125" style="1214" customWidth="1"/>
    <col min="5897" max="5897" width="11.85546875" style="1214" customWidth="1"/>
    <col min="5898" max="5898" width="8.42578125" style="1214" bestFit="1" customWidth="1"/>
    <col min="5899" max="5901" width="0" style="1214" hidden="1" customWidth="1"/>
    <col min="5902" max="5902" width="6" style="1214" bestFit="1" customWidth="1"/>
    <col min="5903" max="5903" width="9.5703125" style="1214" customWidth="1"/>
    <col min="5904" max="5904" width="9.85546875" style="1214" customWidth="1"/>
    <col min="5905" max="5905" width="9.7109375" style="1214" customWidth="1"/>
    <col min="5906" max="5906" width="9.5703125" style="1214" customWidth="1"/>
    <col min="5907" max="5907" width="9.85546875" style="1214" customWidth="1"/>
    <col min="5908" max="5908" width="6.5703125" style="1214" customWidth="1"/>
    <col min="5909" max="5909" width="6" style="1214" bestFit="1" customWidth="1"/>
    <col min="5910" max="5910" width="6.28515625" style="1214" customWidth="1"/>
    <col min="5911" max="5911" width="11.7109375" style="1214" customWidth="1"/>
    <col min="5912" max="5912" width="0" style="1214" hidden="1" customWidth="1"/>
    <col min="5913" max="5913" width="14.5703125" style="1214" customWidth="1"/>
    <col min="5914" max="5914" width="11.85546875" style="1214" customWidth="1"/>
    <col min="5915" max="6149" width="9.140625" style="1214"/>
    <col min="6150" max="6150" width="2.85546875" style="1214" customWidth="1"/>
    <col min="6151" max="6151" width="50.7109375" style="1214" customWidth="1"/>
    <col min="6152" max="6152" width="9.42578125" style="1214" customWidth="1"/>
    <col min="6153" max="6153" width="11.85546875" style="1214" customWidth="1"/>
    <col min="6154" max="6154" width="8.42578125" style="1214" bestFit="1" customWidth="1"/>
    <col min="6155" max="6157" width="0" style="1214" hidden="1" customWidth="1"/>
    <col min="6158" max="6158" width="6" style="1214" bestFit="1" customWidth="1"/>
    <col min="6159" max="6159" width="9.5703125" style="1214" customWidth="1"/>
    <col min="6160" max="6160" width="9.85546875" style="1214" customWidth="1"/>
    <col min="6161" max="6161" width="9.7109375" style="1214" customWidth="1"/>
    <col min="6162" max="6162" width="9.5703125" style="1214" customWidth="1"/>
    <col min="6163" max="6163" width="9.85546875" style="1214" customWidth="1"/>
    <col min="6164" max="6164" width="6.5703125" style="1214" customWidth="1"/>
    <col min="6165" max="6165" width="6" style="1214" bestFit="1" customWidth="1"/>
    <col min="6166" max="6166" width="6.28515625" style="1214" customWidth="1"/>
    <col min="6167" max="6167" width="11.7109375" style="1214" customWidth="1"/>
    <col min="6168" max="6168" width="0" style="1214" hidden="1" customWidth="1"/>
    <col min="6169" max="6169" width="14.5703125" style="1214" customWidth="1"/>
    <col min="6170" max="6170" width="11.85546875" style="1214" customWidth="1"/>
    <col min="6171" max="6405" width="9.140625" style="1214"/>
    <col min="6406" max="6406" width="2.85546875" style="1214" customWidth="1"/>
    <col min="6407" max="6407" width="50.7109375" style="1214" customWidth="1"/>
    <col min="6408" max="6408" width="9.42578125" style="1214" customWidth="1"/>
    <col min="6409" max="6409" width="11.85546875" style="1214" customWidth="1"/>
    <col min="6410" max="6410" width="8.42578125" style="1214" bestFit="1" customWidth="1"/>
    <col min="6411" max="6413" width="0" style="1214" hidden="1" customWidth="1"/>
    <col min="6414" max="6414" width="6" style="1214" bestFit="1" customWidth="1"/>
    <col min="6415" max="6415" width="9.5703125" style="1214" customWidth="1"/>
    <col min="6416" max="6416" width="9.85546875" style="1214" customWidth="1"/>
    <col min="6417" max="6417" width="9.7109375" style="1214" customWidth="1"/>
    <col min="6418" max="6418" width="9.5703125" style="1214" customWidth="1"/>
    <col min="6419" max="6419" width="9.85546875" style="1214" customWidth="1"/>
    <col min="6420" max="6420" width="6.5703125" style="1214" customWidth="1"/>
    <col min="6421" max="6421" width="6" style="1214" bestFit="1" customWidth="1"/>
    <col min="6422" max="6422" width="6.28515625" style="1214" customWidth="1"/>
    <col min="6423" max="6423" width="11.7109375" style="1214" customWidth="1"/>
    <col min="6424" max="6424" width="0" style="1214" hidden="1" customWidth="1"/>
    <col min="6425" max="6425" width="14.5703125" style="1214" customWidth="1"/>
    <col min="6426" max="6426" width="11.85546875" style="1214" customWidth="1"/>
    <col min="6427" max="6661" width="9.140625" style="1214"/>
    <col min="6662" max="6662" width="2.85546875" style="1214" customWidth="1"/>
    <col min="6663" max="6663" width="50.7109375" style="1214" customWidth="1"/>
    <col min="6664" max="6664" width="9.42578125" style="1214" customWidth="1"/>
    <col min="6665" max="6665" width="11.85546875" style="1214" customWidth="1"/>
    <col min="6666" max="6666" width="8.42578125" style="1214" bestFit="1" customWidth="1"/>
    <col min="6667" max="6669" width="0" style="1214" hidden="1" customWidth="1"/>
    <col min="6670" max="6670" width="6" style="1214" bestFit="1" customWidth="1"/>
    <col min="6671" max="6671" width="9.5703125" style="1214" customWidth="1"/>
    <col min="6672" max="6672" width="9.85546875" style="1214" customWidth="1"/>
    <col min="6673" max="6673" width="9.7109375" style="1214" customWidth="1"/>
    <col min="6674" max="6674" width="9.5703125" style="1214" customWidth="1"/>
    <col min="6675" max="6675" width="9.85546875" style="1214" customWidth="1"/>
    <col min="6676" max="6676" width="6.5703125" style="1214" customWidth="1"/>
    <col min="6677" max="6677" width="6" style="1214" bestFit="1" customWidth="1"/>
    <col min="6678" max="6678" width="6.28515625" style="1214" customWidth="1"/>
    <col min="6679" max="6679" width="11.7109375" style="1214" customWidth="1"/>
    <col min="6680" max="6680" width="0" style="1214" hidden="1" customWidth="1"/>
    <col min="6681" max="6681" width="14.5703125" style="1214" customWidth="1"/>
    <col min="6682" max="6682" width="11.85546875" style="1214" customWidth="1"/>
    <col min="6683" max="6917" width="9.140625" style="1214"/>
    <col min="6918" max="6918" width="2.85546875" style="1214" customWidth="1"/>
    <col min="6919" max="6919" width="50.7109375" style="1214" customWidth="1"/>
    <col min="6920" max="6920" width="9.42578125" style="1214" customWidth="1"/>
    <col min="6921" max="6921" width="11.85546875" style="1214" customWidth="1"/>
    <col min="6922" max="6922" width="8.42578125" style="1214" bestFit="1" customWidth="1"/>
    <col min="6923" max="6925" width="0" style="1214" hidden="1" customWidth="1"/>
    <col min="6926" max="6926" width="6" style="1214" bestFit="1" customWidth="1"/>
    <col min="6927" max="6927" width="9.5703125" style="1214" customWidth="1"/>
    <col min="6928" max="6928" width="9.85546875" style="1214" customWidth="1"/>
    <col min="6929" max="6929" width="9.7109375" style="1214" customWidth="1"/>
    <col min="6930" max="6930" width="9.5703125" style="1214" customWidth="1"/>
    <col min="6931" max="6931" width="9.85546875" style="1214" customWidth="1"/>
    <col min="6932" max="6932" width="6.5703125" style="1214" customWidth="1"/>
    <col min="6933" max="6933" width="6" style="1214" bestFit="1" customWidth="1"/>
    <col min="6934" max="6934" width="6.28515625" style="1214" customWidth="1"/>
    <col min="6935" max="6935" width="11.7109375" style="1214" customWidth="1"/>
    <col min="6936" max="6936" width="0" style="1214" hidden="1" customWidth="1"/>
    <col min="6937" max="6937" width="14.5703125" style="1214" customWidth="1"/>
    <col min="6938" max="6938" width="11.85546875" style="1214" customWidth="1"/>
    <col min="6939" max="7173" width="9.140625" style="1214"/>
    <col min="7174" max="7174" width="2.85546875" style="1214" customWidth="1"/>
    <col min="7175" max="7175" width="50.7109375" style="1214" customWidth="1"/>
    <col min="7176" max="7176" width="9.42578125" style="1214" customWidth="1"/>
    <col min="7177" max="7177" width="11.85546875" style="1214" customWidth="1"/>
    <col min="7178" max="7178" width="8.42578125" style="1214" bestFit="1" customWidth="1"/>
    <col min="7179" max="7181" width="0" style="1214" hidden="1" customWidth="1"/>
    <col min="7182" max="7182" width="6" style="1214" bestFit="1" customWidth="1"/>
    <col min="7183" max="7183" width="9.5703125" style="1214" customWidth="1"/>
    <col min="7184" max="7184" width="9.85546875" style="1214" customWidth="1"/>
    <col min="7185" max="7185" width="9.7109375" style="1214" customWidth="1"/>
    <col min="7186" max="7186" width="9.5703125" style="1214" customWidth="1"/>
    <col min="7187" max="7187" width="9.85546875" style="1214" customWidth="1"/>
    <col min="7188" max="7188" width="6.5703125" style="1214" customWidth="1"/>
    <col min="7189" max="7189" width="6" style="1214" bestFit="1" customWidth="1"/>
    <col min="7190" max="7190" width="6.28515625" style="1214" customWidth="1"/>
    <col min="7191" max="7191" width="11.7109375" style="1214" customWidth="1"/>
    <col min="7192" max="7192" width="0" style="1214" hidden="1" customWidth="1"/>
    <col min="7193" max="7193" width="14.5703125" style="1214" customWidth="1"/>
    <col min="7194" max="7194" width="11.85546875" style="1214" customWidth="1"/>
    <col min="7195" max="7429" width="9.140625" style="1214"/>
    <col min="7430" max="7430" width="2.85546875" style="1214" customWidth="1"/>
    <col min="7431" max="7431" width="50.7109375" style="1214" customWidth="1"/>
    <col min="7432" max="7432" width="9.42578125" style="1214" customWidth="1"/>
    <col min="7433" max="7433" width="11.85546875" style="1214" customWidth="1"/>
    <col min="7434" max="7434" width="8.42578125" style="1214" bestFit="1" customWidth="1"/>
    <col min="7435" max="7437" width="0" style="1214" hidden="1" customWidth="1"/>
    <col min="7438" max="7438" width="6" style="1214" bestFit="1" customWidth="1"/>
    <col min="7439" max="7439" width="9.5703125" style="1214" customWidth="1"/>
    <col min="7440" max="7440" width="9.85546875" style="1214" customWidth="1"/>
    <col min="7441" max="7441" width="9.7109375" style="1214" customWidth="1"/>
    <col min="7442" max="7442" width="9.5703125" style="1214" customWidth="1"/>
    <col min="7443" max="7443" width="9.85546875" style="1214" customWidth="1"/>
    <col min="7444" max="7444" width="6.5703125" style="1214" customWidth="1"/>
    <col min="7445" max="7445" width="6" style="1214" bestFit="1" customWidth="1"/>
    <col min="7446" max="7446" width="6.28515625" style="1214" customWidth="1"/>
    <col min="7447" max="7447" width="11.7109375" style="1214" customWidth="1"/>
    <col min="7448" max="7448" width="0" style="1214" hidden="1" customWidth="1"/>
    <col min="7449" max="7449" width="14.5703125" style="1214" customWidth="1"/>
    <col min="7450" max="7450" width="11.85546875" style="1214" customWidth="1"/>
    <col min="7451" max="7685" width="9.140625" style="1214"/>
    <col min="7686" max="7686" width="2.85546875" style="1214" customWidth="1"/>
    <col min="7687" max="7687" width="50.7109375" style="1214" customWidth="1"/>
    <col min="7688" max="7688" width="9.42578125" style="1214" customWidth="1"/>
    <col min="7689" max="7689" width="11.85546875" style="1214" customWidth="1"/>
    <col min="7690" max="7690" width="8.42578125" style="1214" bestFit="1" customWidth="1"/>
    <col min="7691" max="7693" width="0" style="1214" hidden="1" customWidth="1"/>
    <col min="7694" max="7694" width="6" style="1214" bestFit="1" customWidth="1"/>
    <col min="7695" max="7695" width="9.5703125" style="1214" customWidth="1"/>
    <col min="7696" max="7696" width="9.85546875" style="1214" customWidth="1"/>
    <col min="7697" max="7697" width="9.7109375" style="1214" customWidth="1"/>
    <col min="7698" max="7698" width="9.5703125" style="1214" customWidth="1"/>
    <col min="7699" max="7699" width="9.85546875" style="1214" customWidth="1"/>
    <col min="7700" max="7700" width="6.5703125" style="1214" customWidth="1"/>
    <col min="7701" max="7701" width="6" style="1214" bestFit="1" customWidth="1"/>
    <col min="7702" max="7702" width="6.28515625" style="1214" customWidth="1"/>
    <col min="7703" max="7703" width="11.7109375" style="1214" customWidth="1"/>
    <col min="7704" max="7704" width="0" style="1214" hidden="1" customWidth="1"/>
    <col min="7705" max="7705" width="14.5703125" style="1214" customWidth="1"/>
    <col min="7706" max="7706" width="11.85546875" style="1214" customWidth="1"/>
    <col min="7707" max="7941" width="9.140625" style="1214"/>
    <col min="7942" max="7942" width="2.85546875" style="1214" customWidth="1"/>
    <col min="7943" max="7943" width="50.7109375" style="1214" customWidth="1"/>
    <col min="7944" max="7944" width="9.42578125" style="1214" customWidth="1"/>
    <col min="7945" max="7945" width="11.85546875" style="1214" customWidth="1"/>
    <col min="7946" max="7946" width="8.42578125" style="1214" bestFit="1" customWidth="1"/>
    <col min="7947" max="7949" width="0" style="1214" hidden="1" customWidth="1"/>
    <col min="7950" max="7950" width="6" style="1214" bestFit="1" customWidth="1"/>
    <col min="7951" max="7951" width="9.5703125" style="1214" customWidth="1"/>
    <col min="7952" max="7952" width="9.85546875" style="1214" customWidth="1"/>
    <col min="7953" max="7953" width="9.7109375" style="1214" customWidth="1"/>
    <col min="7954" max="7954" width="9.5703125" style="1214" customWidth="1"/>
    <col min="7955" max="7955" width="9.85546875" style="1214" customWidth="1"/>
    <col min="7956" max="7956" width="6.5703125" style="1214" customWidth="1"/>
    <col min="7957" max="7957" width="6" style="1214" bestFit="1" customWidth="1"/>
    <col min="7958" max="7958" width="6.28515625" style="1214" customWidth="1"/>
    <col min="7959" max="7959" width="11.7109375" style="1214" customWidth="1"/>
    <col min="7960" max="7960" width="0" style="1214" hidden="1" customWidth="1"/>
    <col min="7961" max="7961" width="14.5703125" style="1214" customWidth="1"/>
    <col min="7962" max="7962" width="11.85546875" style="1214" customWidth="1"/>
    <col min="7963" max="8197" width="9.140625" style="1214"/>
    <col min="8198" max="8198" width="2.85546875" style="1214" customWidth="1"/>
    <col min="8199" max="8199" width="50.7109375" style="1214" customWidth="1"/>
    <col min="8200" max="8200" width="9.42578125" style="1214" customWidth="1"/>
    <col min="8201" max="8201" width="11.85546875" style="1214" customWidth="1"/>
    <col min="8202" max="8202" width="8.42578125" style="1214" bestFit="1" customWidth="1"/>
    <col min="8203" max="8205" width="0" style="1214" hidden="1" customWidth="1"/>
    <col min="8206" max="8206" width="6" style="1214" bestFit="1" customWidth="1"/>
    <col min="8207" max="8207" width="9.5703125" style="1214" customWidth="1"/>
    <col min="8208" max="8208" width="9.85546875" style="1214" customWidth="1"/>
    <col min="8209" max="8209" width="9.7109375" style="1214" customWidth="1"/>
    <col min="8210" max="8210" width="9.5703125" style="1214" customWidth="1"/>
    <col min="8211" max="8211" width="9.85546875" style="1214" customWidth="1"/>
    <col min="8212" max="8212" width="6.5703125" style="1214" customWidth="1"/>
    <col min="8213" max="8213" width="6" style="1214" bestFit="1" customWidth="1"/>
    <col min="8214" max="8214" width="6.28515625" style="1214" customWidth="1"/>
    <col min="8215" max="8215" width="11.7109375" style="1214" customWidth="1"/>
    <col min="8216" max="8216" width="0" style="1214" hidden="1" customWidth="1"/>
    <col min="8217" max="8217" width="14.5703125" style="1214" customWidth="1"/>
    <col min="8218" max="8218" width="11.85546875" style="1214" customWidth="1"/>
    <col min="8219" max="8453" width="9.140625" style="1214"/>
    <col min="8454" max="8454" width="2.85546875" style="1214" customWidth="1"/>
    <col min="8455" max="8455" width="50.7109375" style="1214" customWidth="1"/>
    <col min="8456" max="8456" width="9.42578125" style="1214" customWidth="1"/>
    <col min="8457" max="8457" width="11.85546875" style="1214" customWidth="1"/>
    <col min="8458" max="8458" width="8.42578125" style="1214" bestFit="1" customWidth="1"/>
    <col min="8459" max="8461" width="0" style="1214" hidden="1" customWidth="1"/>
    <col min="8462" max="8462" width="6" style="1214" bestFit="1" customWidth="1"/>
    <col min="8463" max="8463" width="9.5703125" style="1214" customWidth="1"/>
    <col min="8464" max="8464" width="9.85546875" style="1214" customWidth="1"/>
    <col min="8465" max="8465" width="9.7109375" style="1214" customWidth="1"/>
    <col min="8466" max="8466" width="9.5703125" style="1214" customWidth="1"/>
    <col min="8467" max="8467" width="9.85546875" style="1214" customWidth="1"/>
    <col min="8468" max="8468" width="6.5703125" style="1214" customWidth="1"/>
    <col min="8469" max="8469" width="6" style="1214" bestFit="1" customWidth="1"/>
    <col min="8470" max="8470" width="6.28515625" style="1214" customWidth="1"/>
    <col min="8471" max="8471" width="11.7109375" style="1214" customWidth="1"/>
    <col min="8472" max="8472" width="0" style="1214" hidden="1" customWidth="1"/>
    <col min="8473" max="8473" width="14.5703125" style="1214" customWidth="1"/>
    <col min="8474" max="8474" width="11.85546875" style="1214" customWidth="1"/>
    <col min="8475" max="8709" width="9.140625" style="1214"/>
    <col min="8710" max="8710" width="2.85546875" style="1214" customWidth="1"/>
    <col min="8711" max="8711" width="50.7109375" style="1214" customWidth="1"/>
    <col min="8712" max="8712" width="9.42578125" style="1214" customWidth="1"/>
    <col min="8713" max="8713" width="11.85546875" style="1214" customWidth="1"/>
    <col min="8714" max="8714" width="8.42578125" style="1214" bestFit="1" customWidth="1"/>
    <col min="8715" max="8717" width="0" style="1214" hidden="1" customWidth="1"/>
    <col min="8718" max="8718" width="6" style="1214" bestFit="1" customWidth="1"/>
    <col min="8719" max="8719" width="9.5703125" style="1214" customWidth="1"/>
    <col min="8720" max="8720" width="9.85546875" style="1214" customWidth="1"/>
    <col min="8721" max="8721" width="9.7109375" style="1214" customWidth="1"/>
    <col min="8722" max="8722" width="9.5703125" style="1214" customWidth="1"/>
    <col min="8723" max="8723" width="9.85546875" style="1214" customWidth="1"/>
    <col min="8724" max="8724" width="6.5703125" style="1214" customWidth="1"/>
    <col min="8725" max="8725" width="6" style="1214" bestFit="1" customWidth="1"/>
    <col min="8726" max="8726" width="6.28515625" style="1214" customWidth="1"/>
    <col min="8727" max="8727" width="11.7109375" style="1214" customWidth="1"/>
    <col min="8728" max="8728" width="0" style="1214" hidden="1" customWidth="1"/>
    <col min="8729" max="8729" width="14.5703125" style="1214" customWidth="1"/>
    <col min="8730" max="8730" width="11.85546875" style="1214" customWidth="1"/>
    <col min="8731" max="8965" width="9.140625" style="1214"/>
    <col min="8966" max="8966" width="2.85546875" style="1214" customWidth="1"/>
    <col min="8967" max="8967" width="50.7109375" style="1214" customWidth="1"/>
    <col min="8968" max="8968" width="9.42578125" style="1214" customWidth="1"/>
    <col min="8969" max="8969" width="11.85546875" style="1214" customWidth="1"/>
    <col min="8970" max="8970" width="8.42578125" style="1214" bestFit="1" customWidth="1"/>
    <col min="8971" max="8973" width="0" style="1214" hidden="1" customWidth="1"/>
    <col min="8974" max="8974" width="6" style="1214" bestFit="1" customWidth="1"/>
    <col min="8975" max="8975" width="9.5703125" style="1214" customWidth="1"/>
    <col min="8976" max="8976" width="9.85546875" style="1214" customWidth="1"/>
    <col min="8977" max="8977" width="9.7109375" style="1214" customWidth="1"/>
    <col min="8978" max="8978" width="9.5703125" style="1214" customWidth="1"/>
    <col min="8979" max="8979" width="9.85546875" style="1214" customWidth="1"/>
    <col min="8980" max="8980" width="6.5703125" style="1214" customWidth="1"/>
    <col min="8981" max="8981" width="6" style="1214" bestFit="1" customWidth="1"/>
    <col min="8982" max="8982" width="6.28515625" style="1214" customWidth="1"/>
    <col min="8983" max="8983" width="11.7109375" style="1214" customWidth="1"/>
    <col min="8984" max="8984" width="0" style="1214" hidden="1" customWidth="1"/>
    <col min="8985" max="8985" width="14.5703125" style="1214" customWidth="1"/>
    <col min="8986" max="8986" width="11.85546875" style="1214" customWidth="1"/>
    <col min="8987" max="9221" width="9.140625" style="1214"/>
    <col min="9222" max="9222" width="2.85546875" style="1214" customWidth="1"/>
    <col min="9223" max="9223" width="50.7109375" style="1214" customWidth="1"/>
    <col min="9224" max="9224" width="9.42578125" style="1214" customWidth="1"/>
    <col min="9225" max="9225" width="11.85546875" style="1214" customWidth="1"/>
    <col min="9226" max="9226" width="8.42578125" style="1214" bestFit="1" customWidth="1"/>
    <col min="9227" max="9229" width="0" style="1214" hidden="1" customWidth="1"/>
    <col min="9230" max="9230" width="6" style="1214" bestFit="1" customWidth="1"/>
    <col min="9231" max="9231" width="9.5703125" style="1214" customWidth="1"/>
    <col min="9232" max="9232" width="9.85546875" style="1214" customWidth="1"/>
    <col min="9233" max="9233" width="9.7109375" style="1214" customWidth="1"/>
    <col min="9234" max="9234" width="9.5703125" style="1214" customWidth="1"/>
    <col min="9235" max="9235" width="9.85546875" style="1214" customWidth="1"/>
    <col min="9236" max="9236" width="6.5703125" style="1214" customWidth="1"/>
    <col min="9237" max="9237" width="6" style="1214" bestFit="1" customWidth="1"/>
    <col min="9238" max="9238" width="6.28515625" style="1214" customWidth="1"/>
    <col min="9239" max="9239" width="11.7109375" style="1214" customWidth="1"/>
    <col min="9240" max="9240" width="0" style="1214" hidden="1" customWidth="1"/>
    <col min="9241" max="9241" width="14.5703125" style="1214" customWidth="1"/>
    <col min="9242" max="9242" width="11.85546875" style="1214" customWidth="1"/>
    <col min="9243" max="9477" width="9.140625" style="1214"/>
    <col min="9478" max="9478" width="2.85546875" style="1214" customWidth="1"/>
    <col min="9479" max="9479" width="50.7109375" style="1214" customWidth="1"/>
    <col min="9480" max="9480" width="9.42578125" style="1214" customWidth="1"/>
    <col min="9481" max="9481" width="11.85546875" style="1214" customWidth="1"/>
    <col min="9482" max="9482" width="8.42578125" style="1214" bestFit="1" customWidth="1"/>
    <col min="9483" max="9485" width="0" style="1214" hidden="1" customWidth="1"/>
    <col min="9486" max="9486" width="6" style="1214" bestFit="1" customWidth="1"/>
    <col min="9487" max="9487" width="9.5703125" style="1214" customWidth="1"/>
    <col min="9488" max="9488" width="9.85546875" style="1214" customWidth="1"/>
    <col min="9489" max="9489" width="9.7109375" style="1214" customWidth="1"/>
    <col min="9490" max="9490" width="9.5703125" style="1214" customWidth="1"/>
    <col min="9491" max="9491" width="9.85546875" style="1214" customWidth="1"/>
    <col min="9492" max="9492" width="6.5703125" style="1214" customWidth="1"/>
    <col min="9493" max="9493" width="6" style="1214" bestFit="1" customWidth="1"/>
    <col min="9494" max="9494" width="6.28515625" style="1214" customWidth="1"/>
    <col min="9495" max="9495" width="11.7109375" style="1214" customWidth="1"/>
    <col min="9496" max="9496" width="0" style="1214" hidden="1" customWidth="1"/>
    <col min="9497" max="9497" width="14.5703125" style="1214" customWidth="1"/>
    <col min="9498" max="9498" width="11.85546875" style="1214" customWidth="1"/>
    <col min="9499" max="9733" width="9.140625" style="1214"/>
    <col min="9734" max="9734" width="2.85546875" style="1214" customWidth="1"/>
    <col min="9735" max="9735" width="50.7109375" style="1214" customWidth="1"/>
    <col min="9736" max="9736" width="9.42578125" style="1214" customWidth="1"/>
    <col min="9737" max="9737" width="11.85546875" style="1214" customWidth="1"/>
    <col min="9738" max="9738" width="8.42578125" style="1214" bestFit="1" customWidth="1"/>
    <col min="9739" max="9741" width="0" style="1214" hidden="1" customWidth="1"/>
    <col min="9742" max="9742" width="6" style="1214" bestFit="1" customWidth="1"/>
    <col min="9743" max="9743" width="9.5703125" style="1214" customWidth="1"/>
    <col min="9744" max="9744" width="9.85546875" style="1214" customWidth="1"/>
    <col min="9745" max="9745" width="9.7109375" style="1214" customWidth="1"/>
    <col min="9746" max="9746" width="9.5703125" style="1214" customWidth="1"/>
    <col min="9747" max="9747" width="9.85546875" style="1214" customWidth="1"/>
    <col min="9748" max="9748" width="6.5703125" style="1214" customWidth="1"/>
    <col min="9749" max="9749" width="6" style="1214" bestFit="1" customWidth="1"/>
    <col min="9750" max="9750" width="6.28515625" style="1214" customWidth="1"/>
    <col min="9751" max="9751" width="11.7109375" style="1214" customWidth="1"/>
    <col min="9752" max="9752" width="0" style="1214" hidden="1" customWidth="1"/>
    <col min="9753" max="9753" width="14.5703125" style="1214" customWidth="1"/>
    <col min="9754" max="9754" width="11.85546875" style="1214" customWidth="1"/>
    <col min="9755" max="9989" width="9.140625" style="1214"/>
    <col min="9990" max="9990" width="2.85546875" style="1214" customWidth="1"/>
    <col min="9991" max="9991" width="50.7109375" style="1214" customWidth="1"/>
    <col min="9992" max="9992" width="9.42578125" style="1214" customWidth="1"/>
    <col min="9993" max="9993" width="11.85546875" style="1214" customWidth="1"/>
    <col min="9994" max="9994" width="8.42578125" style="1214" bestFit="1" customWidth="1"/>
    <col min="9995" max="9997" width="0" style="1214" hidden="1" customWidth="1"/>
    <col min="9998" max="9998" width="6" style="1214" bestFit="1" customWidth="1"/>
    <col min="9999" max="9999" width="9.5703125" style="1214" customWidth="1"/>
    <col min="10000" max="10000" width="9.85546875" style="1214" customWidth="1"/>
    <col min="10001" max="10001" width="9.7109375" style="1214" customWidth="1"/>
    <col min="10002" max="10002" width="9.5703125" style="1214" customWidth="1"/>
    <col min="10003" max="10003" width="9.85546875" style="1214" customWidth="1"/>
    <col min="10004" max="10004" width="6.5703125" style="1214" customWidth="1"/>
    <col min="10005" max="10005" width="6" style="1214" bestFit="1" customWidth="1"/>
    <col min="10006" max="10006" width="6.28515625" style="1214" customWidth="1"/>
    <col min="10007" max="10007" width="11.7109375" style="1214" customWidth="1"/>
    <col min="10008" max="10008" width="0" style="1214" hidden="1" customWidth="1"/>
    <col min="10009" max="10009" width="14.5703125" style="1214" customWidth="1"/>
    <col min="10010" max="10010" width="11.85546875" style="1214" customWidth="1"/>
    <col min="10011" max="10245" width="9.140625" style="1214"/>
    <col min="10246" max="10246" width="2.85546875" style="1214" customWidth="1"/>
    <col min="10247" max="10247" width="50.7109375" style="1214" customWidth="1"/>
    <col min="10248" max="10248" width="9.42578125" style="1214" customWidth="1"/>
    <col min="10249" max="10249" width="11.85546875" style="1214" customWidth="1"/>
    <col min="10250" max="10250" width="8.42578125" style="1214" bestFit="1" customWidth="1"/>
    <col min="10251" max="10253" width="0" style="1214" hidden="1" customWidth="1"/>
    <col min="10254" max="10254" width="6" style="1214" bestFit="1" customWidth="1"/>
    <col min="10255" max="10255" width="9.5703125" style="1214" customWidth="1"/>
    <col min="10256" max="10256" width="9.85546875" style="1214" customWidth="1"/>
    <col min="10257" max="10257" width="9.7109375" style="1214" customWidth="1"/>
    <col min="10258" max="10258" width="9.5703125" style="1214" customWidth="1"/>
    <col min="10259" max="10259" width="9.85546875" style="1214" customWidth="1"/>
    <col min="10260" max="10260" width="6.5703125" style="1214" customWidth="1"/>
    <col min="10261" max="10261" width="6" style="1214" bestFit="1" customWidth="1"/>
    <col min="10262" max="10262" width="6.28515625" style="1214" customWidth="1"/>
    <col min="10263" max="10263" width="11.7109375" style="1214" customWidth="1"/>
    <col min="10264" max="10264" width="0" style="1214" hidden="1" customWidth="1"/>
    <col min="10265" max="10265" width="14.5703125" style="1214" customWidth="1"/>
    <col min="10266" max="10266" width="11.85546875" style="1214" customWidth="1"/>
    <col min="10267" max="10501" width="9.140625" style="1214"/>
    <col min="10502" max="10502" width="2.85546875" style="1214" customWidth="1"/>
    <col min="10503" max="10503" width="50.7109375" style="1214" customWidth="1"/>
    <col min="10504" max="10504" width="9.42578125" style="1214" customWidth="1"/>
    <col min="10505" max="10505" width="11.85546875" style="1214" customWidth="1"/>
    <col min="10506" max="10506" width="8.42578125" style="1214" bestFit="1" customWidth="1"/>
    <col min="10507" max="10509" width="0" style="1214" hidden="1" customWidth="1"/>
    <col min="10510" max="10510" width="6" style="1214" bestFit="1" customWidth="1"/>
    <col min="10511" max="10511" width="9.5703125" style="1214" customWidth="1"/>
    <col min="10512" max="10512" width="9.85546875" style="1214" customWidth="1"/>
    <col min="10513" max="10513" width="9.7109375" style="1214" customWidth="1"/>
    <col min="10514" max="10514" width="9.5703125" style="1214" customWidth="1"/>
    <col min="10515" max="10515" width="9.85546875" style="1214" customWidth="1"/>
    <col min="10516" max="10516" width="6.5703125" style="1214" customWidth="1"/>
    <col min="10517" max="10517" width="6" style="1214" bestFit="1" customWidth="1"/>
    <col min="10518" max="10518" width="6.28515625" style="1214" customWidth="1"/>
    <col min="10519" max="10519" width="11.7109375" style="1214" customWidth="1"/>
    <col min="10520" max="10520" width="0" style="1214" hidden="1" customWidth="1"/>
    <col min="10521" max="10521" width="14.5703125" style="1214" customWidth="1"/>
    <col min="10522" max="10522" width="11.85546875" style="1214" customWidth="1"/>
    <col min="10523" max="10757" width="9.140625" style="1214"/>
    <col min="10758" max="10758" width="2.85546875" style="1214" customWidth="1"/>
    <col min="10759" max="10759" width="50.7109375" style="1214" customWidth="1"/>
    <col min="10760" max="10760" width="9.42578125" style="1214" customWidth="1"/>
    <col min="10761" max="10761" width="11.85546875" style="1214" customWidth="1"/>
    <col min="10762" max="10762" width="8.42578125" style="1214" bestFit="1" customWidth="1"/>
    <col min="10763" max="10765" width="0" style="1214" hidden="1" customWidth="1"/>
    <col min="10766" max="10766" width="6" style="1214" bestFit="1" customWidth="1"/>
    <col min="10767" max="10767" width="9.5703125" style="1214" customWidth="1"/>
    <col min="10768" max="10768" width="9.85546875" style="1214" customWidth="1"/>
    <col min="10769" max="10769" width="9.7109375" style="1214" customWidth="1"/>
    <col min="10770" max="10770" width="9.5703125" style="1214" customWidth="1"/>
    <col min="10771" max="10771" width="9.85546875" style="1214" customWidth="1"/>
    <col min="10772" max="10772" width="6.5703125" style="1214" customWidth="1"/>
    <col min="10773" max="10773" width="6" style="1214" bestFit="1" customWidth="1"/>
    <col min="10774" max="10774" width="6.28515625" style="1214" customWidth="1"/>
    <col min="10775" max="10775" width="11.7109375" style="1214" customWidth="1"/>
    <col min="10776" max="10776" width="0" style="1214" hidden="1" customWidth="1"/>
    <col min="10777" max="10777" width="14.5703125" style="1214" customWidth="1"/>
    <col min="10778" max="10778" width="11.85546875" style="1214" customWidth="1"/>
    <col min="10779" max="11013" width="9.140625" style="1214"/>
    <col min="11014" max="11014" width="2.85546875" style="1214" customWidth="1"/>
    <col min="11015" max="11015" width="50.7109375" style="1214" customWidth="1"/>
    <col min="11016" max="11016" width="9.42578125" style="1214" customWidth="1"/>
    <col min="11017" max="11017" width="11.85546875" style="1214" customWidth="1"/>
    <col min="11018" max="11018" width="8.42578125" style="1214" bestFit="1" customWidth="1"/>
    <col min="11019" max="11021" width="0" style="1214" hidden="1" customWidth="1"/>
    <col min="11022" max="11022" width="6" style="1214" bestFit="1" customWidth="1"/>
    <col min="11023" max="11023" width="9.5703125" style="1214" customWidth="1"/>
    <col min="11024" max="11024" width="9.85546875" style="1214" customWidth="1"/>
    <col min="11025" max="11025" width="9.7109375" style="1214" customWidth="1"/>
    <col min="11026" max="11026" width="9.5703125" style="1214" customWidth="1"/>
    <col min="11027" max="11027" width="9.85546875" style="1214" customWidth="1"/>
    <col min="11028" max="11028" width="6.5703125" style="1214" customWidth="1"/>
    <col min="11029" max="11029" width="6" style="1214" bestFit="1" customWidth="1"/>
    <col min="11030" max="11030" width="6.28515625" style="1214" customWidth="1"/>
    <col min="11031" max="11031" width="11.7109375" style="1214" customWidth="1"/>
    <col min="11032" max="11032" width="0" style="1214" hidden="1" customWidth="1"/>
    <col min="11033" max="11033" width="14.5703125" style="1214" customWidth="1"/>
    <col min="11034" max="11034" width="11.85546875" style="1214" customWidth="1"/>
    <col min="11035" max="11269" width="9.140625" style="1214"/>
    <col min="11270" max="11270" width="2.85546875" style="1214" customWidth="1"/>
    <col min="11271" max="11271" width="50.7109375" style="1214" customWidth="1"/>
    <col min="11272" max="11272" width="9.42578125" style="1214" customWidth="1"/>
    <col min="11273" max="11273" width="11.85546875" style="1214" customWidth="1"/>
    <col min="11274" max="11274" width="8.42578125" style="1214" bestFit="1" customWidth="1"/>
    <col min="11275" max="11277" width="0" style="1214" hidden="1" customWidth="1"/>
    <col min="11278" max="11278" width="6" style="1214" bestFit="1" customWidth="1"/>
    <col min="11279" max="11279" width="9.5703125" style="1214" customWidth="1"/>
    <col min="11280" max="11280" width="9.85546875" style="1214" customWidth="1"/>
    <col min="11281" max="11281" width="9.7109375" style="1214" customWidth="1"/>
    <col min="11282" max="11282" width="9.5703125" style="1214" customWidth="1"/>
    <col min="11283" max="11283" width="9.85546875" style="1214" customWidth="1"/>
    <col min="11284" max="11284" width="6.5703125" style="1214" customWidth="1"/>
    <col min="11285" max="11285" width="6" style="1214" bestFit="1" customWidth="1"/>
    <col min="11286" max="11286" width="6.28515625" style="1214" customWidth="1"/>
    <col min="11287" max="11287" width="11.7109375" style="1214" customWidth="1"/>
    <col min="11288" max="11288" width="0" style="1214" hidden="1" customWidth="1"/>
    <col min="11289" max="11289" width="14.5703125" style="1214" customWidth="1"/>
    <col min="11290" max="11290" width="11.85546875" style="1214" customWidth="1"/>
    <col min="11291" max="11525" width="9.140625" style="1214"/>
    <col min="11526" max="11526" width="2.85546875" style="1214" customWidth="1"/>
    <col min="11527" max="11527" width="50.7109375" style="1214" customWidth="1"/>
    <col min="11528" max="11528" width="9.42578125" style="1214" customWidth="1"/>
    <col min="11529" max="11529" width="11.85546875" style="1214" customWidth="1"/>
    <col min="11530" max="11530" width="8.42578125" style="1214" bestFit="1" customWidth="1"/>
    <col min="11531" max="11533" width="0" style="1214" hidden="1" customWidth="1"/>
    <col min="11534" max="11534" width="6" style="1214" bestFit="1" customWidth="1"/>
    <col min="11535" max="11535" width="9.5703125" style="1214" customWidth="1"/>
    <col min="11536" max="11536" width="9.85546875" style="1214" customWidth="1"/>
    <col min="11537" max="11537" width="9.7109375" style="1214" customWidth="1"/>
    <col min="11538" max="11538" width="9.5703125" style="1214" customWidth="1"/>
    <col min="11539" max="11539" width="9.85546875" style="1214" customWidth="1"/>
    <col min="11540" max="11540" width="6.5703125" style="1214" customWidth="1"/>
    <col min="11541" max="11541" width="6" style="1214" bestFit="1" customWidth="1"/>
    <col min="11542" max="11542" width="6.28515625" style="1214" customWidth="1"/>
    <col min="11543" max="11543" width="11.7109375" style="1214" customWidth="1"/>
    <col min="11544" max="11544" width="0" style="1214" hidden="1" customWidth="1"/>
    <col min="11545" max="11545" width="14.5703125" style="1214" customWidth="1"/>
    <col min="11546" max="11546" width="11.85546875" style="1214" customWidth="1"/>
    <col min="11547" max="11781" width="9.140625" style="1214"/>
    <col min="11782" max="11782" width="2.85546875" style="1214" customWidth="1"/>
    <col min="11783" max="11783" width="50.7109375" style="1214" customWidth="1"/>
    <col min="11784" max="11784" width="9.42578125" style="1214" customWidth="1"/>
    <col min="11785" max="11785" width="11.85546875" style="1214" customWidth="1"/>
    <col min="11786" max="11786" width="8.42578125" style="1214" bestFit="1" customWidth="1"/>
    <col min="11787" max="11789" width="0" style="1214" hidden="1" customWidth="1"/>
    <col min="11790" max="11790" width="6" style="1214" bestFit="1" customWidth="1"/>
    <col min="11791" max="11791" width="9.5703125" style="1214" customWidth="1"/>
    <col min="11792" max="11792" width="9.85546875" style="1214" customWidth="1"/>
    <col min="11793" max="11793" width="9.7109375" style="1214" customWidth="1"/>
    <col min="11794" max="11794" width="9.5703125" style="1214" customWidth="1"/>
    <col min="11795" max="11795" width="9.85546875" style="1214" customWidth="1"/>
    <col min="11796" max="11796" width="6.5703125" style="1214" customWidth="1"/>
    <col min="11797" max="11797" width="6" style="1214" bestFit="1" customWidth="1"/>
    <col min="11798" max="11798" width="6.28515625" style="1214" customWidth="1"/>
    <col min="11799" max="11799" width="11.7109375" style="1214" customWidth="1"/>
    <col min="11800" max="11800" width="0" style="1214" hidden="1" customWidth="1"/>
    <col min="11801" max="11801" width="14.5703125" style="1214" customWidth="1"/>
    <col min="11802" max="11802" width="11.85546875" style="1214" customWidth="1"/>
    <col min="11803" max="12037" width="9.140625" style="1214"/>
    <col min="12038" max="12038" width="2.85546875" style="1214" customWidth="1"/>
    <col min="12039" max="12039" width="50.7109375" style="1214" customWidth="1"/>
    <col min="12040" max="12040" width="9.42578125" style="1214" customWidth="1"/>
    <col min="12041" max="12041" width="11.85546875" style="1214" customWidth="1"/>
    <col min="12042" max="12042" width="8.42578125" style="1214" bestFit="1" customWidth="1"/>
    <col min="12043" max="12045" width="0" style="1214" hidden="1" customWidth="1"/>
    <col min="12046" max="12046" width="6" style="1214" bestFit="1" customWidth="1"/>
    <col min="12047" max="12047" width="9.5703125" style="1214" customWidth="1"/>
    <col min="12048" max="12048" width="9.85546875" style="1214" customWidth="1"/>
    <col min="12049" max="12049" width="9.7109375" style="1214" customWidth="1"/>
    <col min="12050" max="12050" width="9.5703125" style="1214" customWidth="1"/>
    <col min="12051" max="12051" width="9.85546875" style="1214" customWidth="1"/>
    <col min="12052" max="12052" width="6.5703125" style="1214" customWidth="1"/>
    <col min="12053" max="12053" width="6" style="1214" bestFit="1" customWidth="1"/>
    <col min="12054" max="12054" width="6.28515625" style="1214" customWidth="1"/>
    <col min="12055" max="12055" width="11.7109375" style="1214" customWidth="1"/>
    <col min="12056" max="12056" width="0" style="1214" hidden="1" customWidth="1"/>
    <col min="12057" max="12057" width="14.5703125" style="1214" customWidth="1"/>
    <col min="12058" max="12058" width="11.85546875" style="1214" customWidth="1"/>
    <col min="12059" max="12293" width="9.140625" style="1214"/>
    <col min="12294" max="12294" width="2.85546875" style="1214" customWidth="1"/>
    <col min="12295" max="12295" width="50.7109375" style="1214" customWidth="1"/>
    <col min="12296" max="12296" width="9.42578125" style="1214" customWidth="1"/>
    <col min="12297" max="12297" width="11.85546875" style="1214" customWidth="1"/>
    <col min="12298" max="12298" width="8.42578125" style="1214" bestFit="1" customWidth="1"/>
    <col min="12299" max="12301" width="0" style="1214" hidden="1" customWidth="1"/>
    <col min="12302" max="12302" width="6" style="1214" bestFit="1" customWidth="1"/>
    <col min="12303" max="12303" width="9.5703125" style="1214" customWidth="1"/>
    <col min="12304" max="12304" width="9.85546875" style="1214" customWidth="1"/>
    <col min="12305" max="12305" width="9.7109375" style="1214" customWidth="1"/>
    <col min="12306" max="12306" width="9.5703125" style="1214" customWidth="1"/>
    <col min="12307" max="12307" width="9.85546875" style="1214" customWidth="1"/>
    <col min="12308" max="12308" width="6.5703125" style="1214" customWidth="1"/>
    <col min="12309" max="12309" width="6" style="1214" bestFit="1" customWidth="1"/>
    <col min="12310" max="12310" width="6.28515625" style="1214" customWidth="1"/>
    <col min="12311" max="12311" width="11.7109375" style="1214" customWidth="1"/>
    <col min="12312" max="12312" width="0" style="1214" hidden="1" customWidth="1"/>
    <col min="12313" max="12313" width="14.5703125" style="1214" customWidth="1"/>
    <col min="12314" max="12314" width="11.85546875" style="1214" customWidth="1"/>
    <col min="12315" max="12549" width="9.140625" style="1214"/>
    <col min="12550" max="12550" width="2.85546875" style="1214" customWidth="1"/>
    <col min="12551" max="12551" width="50.7109375" style="1214" customWidth="1"/>
    <col min="12552" max="12552" width="9.42578125" style="1214" customWidth="1"/>
    <col min="12553" max="12553" width="11.85546875" style="1214" customWidth="1"/>
    <col min="12554" max="12554" width="8.42578125" style="1214" bestFit="1" customWidth="1"/>
    <col min="12555" max="12557" width="0" style="1214" hidden="1" customWidth="1"/>
    <col min="12558" max="12558" width="6" style="1214" bestFit="1" customWidth="1"/>
    <col min="12559" max="12559" width="9.5703125" style="1214" customWidth="1"/>
    <col min="12560" max="12560" width="9.85546875" style="1214" customWidth="1"/>
    <col min="12561" max="12561" width="9.7109375" style="1214" customWidth="1"/>
    <col min="12562" max="12562" width="9.5703125" style="1214" customWidth="1"/>
    <col min="12563" max="12563" width="9.85546875" style="1214" customWidth="1"/>
    <col min="12564" max="12564" width="6.5703125" style="1214" customWidth="1"/>
    <col min="12565" max="12565" width="6" style="1214" bestFit="1" customWidth="1"/>
    <col min="12566" max="12566" width="6.28515625" style="1214" customWidth="1"/>
    <col min="12567" max="12567" width="11.7109375" style="1214" customWidth="1"/>
    <col min="12568" max="12568" width="0" style="1214" hidden="1" customWidth="1"/>
    <col min="12569" max="12569" width="14.5703125" style="1214" customWidth="1"/>
    <col min="12570" max="12570" width="11.85546875" style="1214" customWidth="1"/>
    <col min="12571" max="12805" width="9.140625" style="1214"/>
    <col min="12806" max="12806" width="2.85546875" style="1214" customWidth="1"/>
    <col min="12807" max="12807" width="50.7109375" style="1214" customWidth="1"/>
    <col min="12808" max="12808" width="9.42578125" style="1214" customWidth="1"/>
    <col min="12809" max="12809" width="11.85546875" style="1214" customWidth="1"/>
    <col min="12810" max="12810" width="8.42578125" style="1214" bestFit="1" customWidth="1"/>
    <col min="12811" max="12813" width="0" style="1214" hidden="1" customWidth="1"/>
    <col min="12814" max="12814" width="6" style="1214" bestFit="1" customWidth="1"/>
    <col min="12815" max="12815" width="9.5703125" style="1214" customWidth="1"/>
    <col min="12816" max="12816" width="9.85546875" style="1214" customWidth="1"/>
    <col min="12817" max="12817" width="9.7109375" style="1214" customWidth="1"/>
    <col min="12818" max="12818" width="9.5703125" style="1214" customWidth="1"/>
    <col min="12819" max="12819" width="9.85546875" style="1214" customWidth="1"/>
    <col min="12820" max="12820" width="6.5703125" style="1214" customWidth="1"/>
    <col min="12821" max="12821" width="6" style="1214" bestFit="1" customWidth="1"/>
    <col min="12822" max="12822" width="6.28515625" style="1214" customWidth="1"/>
    <col min="12823" max="12823" width="11.7109375" style="1214" customWidth="1"/>
    <col min="12824" max="12824" width="0" style="1214" hidden="1" customWidth="1"/>
    <col min="12825" max="12825" width="14.5703125" style="1214" customWidth="1"/>
    <col min="12826" max="12826" width="11.85546875" style="1214" customWidth="1"/>
    <col min="12827" max="13061" width="9.140625" style="1214"/>
    <col min="13062" max="13062" width="2.85546875" style="1214" customWidth="1"/>
    <col min="13063" max="13063" width="50.7109375" style="1214" customWidth="1"/>
    <col min="13064" max="13064" width="9.42578125" style="1214" customWidth="1"/>
    <col min="13065" max="13065" width="11.85546875" style="1214" customWidth="1"/>
    <col min="13066" max="13066" width="8.42578125" style="1214" bestFit="1" customWidth="1"/>
    <col min="13067" max="13069" width="0" style="1214" hidden="1" customWidth="1"/>
    <col min="13070" max="13070" width="6" style="1214" bestFit="1" customWidth="1"/>
    <col min="13071" max="13071" width="9.5703125" style="1214" customWidth="1"/>
    <col min="13072" max="13072" width="9.85546875" style="1214" customWidth="1"/>
    <col min="13073" max="13073" width="9.7109375" style="1214" customWidth="1"/>
    <col min="13074" max="13074" width="9.5703125" style="1214" customWidth="1"/>
    <col min="13075" max="13075" width="9.85546875" style="1214" customWidth="1"/>
    <col min="13076" max="13076" width="6.5703125" style="1214" customWidth="1"/>
    <col min="13077" max="13077" width="6" style="1214" bestFit="1" customWidth="1"/>
    <col min="13078" max="13078" width="6.28515625" style="1214" customWidth="1"/>
    <col min="13079" max="13079" width="11.7109375" style="1214" customWidth="1"/>
    <col min="13080" max="13080" width="0" style="1214" hidden="1" customWidth="1"/>
    <col min="13081" max="13081" width="14.5703125" style="1214" customWidth="1"/>
    <col min="13082" max="13082" width="11.85546875" style="1214" customWidth="1"/>
    <col min="13083" max="13317" width="9.140625" style="1214"/>
    <col min="13318" max="13318" width="2.85546875" style="1214" customWidth="1"/>
    <col min="13319" max="13319" width="50.7109375" style="1214" customWidth="1"/>
    <col min="13320" max="13320" width="9.42578125" style="1214" customWidth="1"/>
    <col min="13321" max="13321" width="11.85546875" style="1214" customWidth="1"/>
    <col min="13322" max="13322" width="8.42578125" style="1214" bestFit="1" customWidth="1"/>
    <col min="13323" max="13325" width="0" style="1214" hidden="1" customWidth="1"/>
    <col min="13326" max="13326" width="6" style="1214" bestFit="1" customWidth="1"/>
    <col min="13327" max="13327" width="9.5703125" style="1214" customWidth="1"/>
    <col min="13328" max="13328" width="9.85546875" style="1214" customWidth="1"/>
    <col min="13329" max="13329" width="9.7109375" style="1214" customWidth="1"/>
    <col min="13330" max="13330" width="9.5703125" style="1214" customWidth="1"/>
    <col min="13331" max="13331" width="9.85546875" style="1214" customWidth="1"/>
    <col min="13332" max="13332" width="6.5703125" style="1214" customWidth="1"/>
    <col min="13333" max="13333" width="6" style="1214" bestFit="1" customWidth="1"/>
    <col min="13334" max="13334" width="6.28515625" style="1214" customWidth="1"/>
    <col min="13335" max="13335" width="11.7109375" style="1214" customWidth="1"/>
    <col min="13336" max="13336" width="0" style="1214" hidden="1" customWidth="1"/>
    <col min="13337" max="13337" width="14.5703125" style="1214" customWidth="1"/>
    <col min="13338" max="13338" width="11.85546875" style="1214" customWidth="1"/>
    <col min="13339" max="13573" width="9.140625" style="1214"/>
    <col min="13574" max="13574" width="2.85546875" style="1214" customWidth="1"/>
    <col min="13575" max="13575" width="50.7109375" style="1214" customWidth="1"/>
    <col min="13576" max="13576" width="9.42578125" style="1214" customWidth="1"/>
    <col min="13577" max="13577" width="11.85546875" style="1214" customWidth="1"/>
    <col min="13578" max="13578" width="8.42578125" style="1214" bestFit="1" customWidth="1"/>
    <col min="13579" max="13581" width="0" style="1214" hidden="1" customWidth="1"/>
    <col min="13582" max="13582" width="6" style="1214" bestFit="1" customWidth="1"/>
    <col min="13583" max="13583" width="9.5703125" style="1214" customWidth="1"/>
    <col min="13584" max="13584" width="9.85546875" style="1214" customWidth="1"/>
    <col min="13585" max="13585" width="9.7109375" style="1214" customWidth="1"/>
    <col min="13586" max="13586" width="9.5703125" style="1214" customWidth="1"/>
    <col min="13587" max="13587" width="9.85546875" style="1214" customWidth="1"/>
    <col min="13588" max="13588" width="6.5703125" style="1214" customWidth="1"/>
    <col min="13589" max="13589" width="6" style="1214" bestFit="1" customWidth="1"/>
    <col min="13590" max="13590" width="6.28515625" style="1214" customWidth="1"/>
    <col min="13591" max="13591" width="11.7109375" style="1214" customWidth="1"/>
    <col min="13592" max="13592" width="0" style="1214" hidden="1" customWidth="1"/>
    <col min="13593" max="13593" width="14.5703125" style="1214" customWidth="1"/>
    <col min="13594" max="13594" width="11.85546875" style="1214" customWidth="1"/>
    <col min="13595" max="13829" width="9.140625" style="1214"/>
    <col min="13830" max="13830" width="2.85546875" style="1214" customWidth="1"/>
    <col min="13831" max="13831" width="50.7109375" style="1214" customWidth="1"/>
    <col min="13832" max="13832" width="9.42578125" style="1214" customWidth="1"/>
    <col min="13833" max="13833" width="11.85546875" style="1214" customWidth="1"/>
    <col min="13834" max="13834" width="8.42578125" style="1214" bestFit="1" customWidth="1"/>
    <col min="13835" max="13837" width="0" style="1214" hidden="1" customWidth="1"/>
    <col min="13838" max="13838" width="6" style="1214" bestFit="1" customWidth="1"/>
    <col min="13839" max="13839" width="9.5703125" style="1214" customWidth="1"/>
    <col min="13840" max="13840" width="9.85546875" style="1214" customWidth="1"/>
    <col min="13841" max="13841" width="9.7109375" style="1214" customWidth="1"/>
    <col min="13842" max="13842" width="9.5703125" style="1214" customWidth="1"/>
    <col min="13843" max="13843" width="9.85546875" style="1214" customWidth="1"/>
    <col min="13844" max="13844" width="6.5703125" style="1214" customWidth="1"/>
    <col min="13845" max="13845" width="6" style="1214" bestFit="1" customWidth="1"/>
    <col min="13846" max="13846" width="6.28515625" style="1214" customWidth="1"/>
    <col min="13847" max="13847" width="11.7109375" style="1214" customWidth="1"/>
    <col min="13848" max="13848" width="0" style="1214" hidden="1" customWidth="1"/>
    <col min="13849" max="13849" width="14.5703125" style="1214" customWidth="1"/>
    <col min="13850" max="13850" width="11.85546875" style="1214" customWidth="1"/>
    <col min="13851" max="14085" width="9.140625" style="1214"/>
    <col min="14086" max="14086" width="2.85546875" style="1214" customWidth="1"/>
    <col min="14087" max="14087" width="50.7109375" style="1214" customWidth="1"/>
    <col min="14088" max="14088" width="9.42578125" style="1214" customWidth="1"/>
    <col min="14089" max="14089" width="11.85546875" style="1214" customWidth="1"/>
    <col min="14090" max="14090" width="8.42578125" style="1214" bestFit="1" customWidth="1"/>
    <col min="14091" max="14093" width="0" style="1214" hidden="1" customWidth="1"/>
    <col min="14094" max="14094" width="6" style="1214" bestFit="1" customWidth="1"/>
    <col min="14095" max="14095" width="9.5703125" style="1214" customWidth="1"/>
    <col min="14096" max="14096" width="9.85546875" style="1214" customWidth="1"/>
    <col min="14097" max="14097" width="9.7109375" style="1214" customWidth="1"/>
    <col min="14098" max="14098" width="9.5703125" style="1214" customWidth="1"/>
    <col min="14099" max="14099" width="9.85546875" style="1214" customWidth="1"/>
    <col min="14100" max="14100" width="6.5703125" style="1214" customWidth="1"/>
    <col min="14101" max="14101" width="6" style="1214" bestFit="1" customWidth="1"/>
    <col min="14102" max="14102" width="6.28515625" style="1214" customWidth="1"/>
    <col min="14103" max="14103" width="11.7109375" style="1214" customWidth="1"/>
    <col min="14104" max="14104" width="0" style="1214" hidden="1" customWidth="1"/>
    <col min="14105" max="14105" width="14.5703125" style="1214" customWidth="1"/>
    <col min="14106" max="14106" width="11.85546875" style="1214" customWidth="1"/>
    <col min="14107" max="14341" width="9.140625" style="1214"/>
    <col min="14342" max="14342" width="2.85546875" style="1214" customWidth="1"/>
    <col min="14343" max="14343" width="50.7109375" style="1214" customWidth="1"/>
    <col min="14344" max="14344" width="9.42578125" style="1214" customWidth="1"/>
    <col min="14345" max="14345" width="11.85546875" style="1214" customWidth="1"/>
    <col min="14346" max="14346" width="8.42578125" style="1214" bestFit="1" customWidth="1"/>
    <col min="14347" max="14349" width="0" style="1214" hidden="1" customWidth="1"/>
    <col min="14350" max="14350" width="6" style="1214" bestFit="1" customWidth="1"/>
    <col min="14351" max="14351" width="9.5703125" style="1214" customWidth="1"/>
    <col min="14352" max="14352" width="9.85546875" style="1214" customWidth="1"/>
    <col min="14353" max="14353" width="9.7109375" style="1214" customWidth="1"/>
    <col min="14354" max="14354" width="9.5703125" style="1214" customWidth="1"/>
    <col min="14355" max="14355" width="9.85546875" style="1214" customWidth="1"/>
    <col min="14356" max="14356" width="6.5703125" style="1214" customWidth="1"/>
    <col min="14357" max="14357" width="6" style="1214" bestFit="1" customWidth="1"/>
    <col min="14358" max="14358" width="6.28515625" style="1214" customWidth="1"/>
    <col min="14359" max="14359" width="11.7109375" style="1214" customWidth="1"/>
    <col min="14360" max="14360" width="0" style="1214" hidden="1" customWidth="1"/>
    <col min="14361" max="14361" width="14.5703125" style="1214" customWidth="1"/>
    <col min="14362" max="14362" width="11.85546875" style="1214" customWidth="1"/>
    <col min="14363" max="14597" width="9.140625" style="1214"/>
    <col min="14598" max="14598" width="2.85546875" style="1214" customWidth="1"/>
    <col min="14599" max="14599" width="50.7109375" style="1214" customWidth="1"/>
    <col min="14600" max="14600" width="9.42578125" style="1214" customWidth="1"/>
    <col min="14601" max="14601" width="11.85546875" style="1214" customWidth="1"/>
    <col min="14602" max="14602" width="8.42578125" style="1214" bestFit="1" customWidth="1"/>
    <col min="14603" max="14605" width="0" style="1214" hidden="1" customWidth="1"/>
    <col min="14606" max="14606" width="6" style="1214" bestFit="1" customWidth="1"/>
    <col min="14607" max="14607" width="9.5703125" style="1214" customWidth="1"/>
    <col min="14608" max="14608" width="9.85546875" style="1214" customWidth="1"/>
    <col min="14609" max="14609" width="9.7109375" style="1214" customWidth="1"/>
    <col min="14610" max="14610" width="9.5703125" style="1214" customWidth="1"/>
    <col min="14611" max="14611" width="9.85546875" style="1214" customWidth="1"/>
    <col min="14612" max="14612" width="6.5703125" style="1214" customWidth="1"/>
    <col min="14613" max="14613" width="6" style="1214" bestFit="1" customWidth="1"/>
    <col min="14614" max="14614" width="6.28515625" style="1214" customWidth="1"/>
    <col min="14615" max="14615" width="11.7109375" style="1214" customWidth="1"/>
    <col min="14616" max="14616" width="0" style="1214" hidden="1" customWidth="1"/>
    <col min="14617" max="14617" width="14.5703125" style="1214" customWidth="1"/>
    <col min="14618" max="14618" width="11.85546875" style="1214" customWidth="1"/>
    <col min="14619" max="14853" width="9.140625" style="1214"/>
    <col min="14854" max="14854" width="2.85546875" style="1214" customWidth="1"/>
    <col min="14855" max="14855" width="50.7109375" style="1214" customWidth="1"/>
    <col min="14856" max="14856" width="9.42578125" style="1214" customWidth="1"/>
    <col min="14857" max="14857" width="11.85546875" style="1214" customWidth="1"/>
    <col min="14858" max="14858" width="8.42578125" style="1214" bestFit="1" customWidth="1"/>
    <col min="14859" max="14861" width="0" style="1214" hidden="1" customWidth="1"/>
    <col min="14862" max="14862" width="6" style="1214" bestFit="1" customWidth="1"/>
    <col min="14863" max="14863" width="9.5703125" style="1214" customWidth="1"/>
    <col min="14864" max="14864" width="9.85546875" style="1214" customWidth="1"/>
    <col min="14865" max="14865" width="9.7109375" style="1214" customWidth="1"/>
    <col min="14866" max="14866" width="9.5703125" style="1214" customWidth="1"/>
    <col min="14867" max="14867" width="9.85546875" style="1214" customWidth="1"/>
    <col min="14868" max="14868" width="6.5703125" style="1214" customWidth="1"/>
    <col min="14869" max="14869" width="6" style="1214" bestFit="1" customWidth="1"/>
    <col min="14870" max="14870" width="6.28515625" style="1214" customWidth="1"/>
    <col min="14871" max="14871" width="11.7109375" style="1214" customWidth="1"/>
    <col min="14872" max="14872" width="0" style="1214" hidden="1" customWidth="1"/>
    <col min="14873" max="14873" width="14.5703125" style="1214" customWidth="1"/>
    <col min="14874" max="14874" width="11.85546875" style="1214" customWidth="1"/>
    <col min="14875" max="15109" width="9.140625" style="1214"/>
    <col min="15110" max="15110" width="2.85546875" style="1214" customWidth="1"/>
    <col min="15111" max="15111" width="50.7109375" style="1214" customWidth="1"/>
    <col min="15112" max="15112" width="9.42578125" style="1214" customWidth="1"/>
    <col min="15113" max="15113" width="11.85546875" style="1214" customWidth="1"/>
    <col min="15114" max="15114" width="8.42578125" style="1214" bestFit="1" customWidth="1"/>
    <col min="15115" max="15117" width="0" style="1214" hidden="1" customWidth="1"/>
    <col min="15118" max="15118" width="6" style="1214" bestFit="1" customWidth="1"/>
    <col min="15119" max="15119" width="9.5703125" style="1214" customWidth="1"/>
    <col min="15120" max="15120" width="9.85546875" style="1214" customWidth="1"/>
    <col min="15121" max="15121" width="9.7109375" style="1214" customWidth="1"/>
    <col min="15122" max="15122" width="9.5703125" style="1214" customWidth="1"/>
    <col min="15123" max="15123" width="9.85546875" style="1214" customWidth="1"/>
    <col min="15124" max="15124" width="6.5703125" style="1214" customWidth="1"/>
    <col min="15125" max="15125" width="6" style="1214" bestFit="1" customWidth="1"/>
    <col min="15126" max="15126" width="6.28515625" style="1214" customWidth="1"/>
    <col min="15127" max="15127" width="11.7109375" style="1214" customWidth="1"/>
    <col min="15128" max="15128" width="0" style="1214" hidden="1" customWidth="1"/>
    <col min="15129" max="15129" width="14.5703125" style="1214" customWidth="1"/>
    <col min="15130" max="15130" width="11.85546875" style="1214" customWidth="1"/>
    <col min="15131" max="15365" width="9.140625" style="1214"/>
    <col min="15366" max="15366" width="2.85546875" style="1214" customWidth="1"/>
    <col min="15367" max="15367" width="50.7109375" style="1214" customWidth="1"/>
    <col min="15368" max="15368" width="9.42578125" style="1214" customWidth="1"/>
    <col min="15369" max="15369" width="11.85546875" style="1214" customWidth="1"/>
    <col min="15370" max="15370" width="8.42578125" style="1214" bestFit="1" customWidth="1"/>
    <col min="15371" max="15373" width="0" style="1214" hidden="1" customWidth="1"/>
    <col min="15374" max="15374" width="6" style="1214" bestFit="1" customWidth="1"/>
    <col min="15375" max="15375" width="9.5703125" style="1214" customWidth="1"/>
    <col min="15376" max="15376" width="9.85546875" style="1214" customWidth="1"/>
    <col min="15377" max="15377" width="9.7109375" style="1214" customWidth="1"/>
    <col min="15378" max="15378" width="9.5703125" style="1214" customWidth="1"/>
    <col min="15379" max="15379" width="9.85546875" style="1214" customWidth="1"/>
    <col min="15380" max="15380" width="6.5703125" style="1214" customWidth="1"/>
    <col min="15381" max="15381" width="6" style="1214" bestFit="1" customWidth="1"/>
    <col min="15382" max="15382" width="6.28515625" style="1214" customWidth="1"/>
    <col min="15383" max="15383" width="11.7109375" style="1214" customWidth="1"/>
    <col min="15384" max="15384" width="0" style="1214" hidden="1" customWidth="1"/>
    <col min="15385" max="15385" width="14.5703125" style="1214" customWidth="1"/>
    <col min="15386" max="15386" width="11.85546875" style="1214" customWidth="1"/>
    <col min="15387" max="15621" width="9.140625" style="1214"/>
    <col min="15622" max="15622" width="2.85546875" style="1214" customWidth="1"/>
    <col min="15623" max="15623" width="50.7109375" style="1214" customWidth="1"/>
    <col min="15624" max="15624" width="9.42578125" style="1214" customWidth="1"/>
    <col min="15625" max="15625" width="11.85546875" style="1214" customWidth="1"/>
    <col min="15626" max="15626" width="8.42578125" style="1214" bestFit="1" customWidth="1"/>
    <col min="15627" max="15629" width="0" style="1214" hidden="1" customWidth="1"/>
    <col min="15630" max="15630" width="6" style="1214" bestFit="1" customWidth="1"/>
    <col min="15631" max="15631" width="9.5703125" style="1214" customWidth="1"/>
    <col min="15632" max="15632" width="9.85546875" style="1214" customWidth="1"/>
    <col min="15633" max="15633" width="9.7109375" style="1214" customWidth="1"/>
    <col min="15634" max="15634" width="9.5703125" style="1214" customWidth="1"/>
    <col min="15635" max="15635" width="9.85546875" style="1214" customWidth="1"/>
    <col min="15636" max="15636" width="6.5703125" style="1214" customWidth="1"/>
    <col min="15637" max="15637" width="6" style="1214" bestFit="1" customWidth="1"/>
    <col min="15638" max="15638" width="6.28515625" style="1214" customWidth="1"/>
    <col min="15639" max="15639" width="11.7109375" style="1214" customWidth="1"/>
    <col min="15640" max="15640" width="0" style="1214" hidden="1" customWidth="1"/>
    <col min="15641" max="15641" width="14.5703125" style="1214" customWidth="1"/>
    <col min="15642" max="15642" width="11.85546875" style="1214" customWidth="1"/>
    <col min="15643" max="15877" width="9.140625" style="1214"/>
    <col min="15878" max="15878" width="2.85546875" style="1214" customWidth="1"/>
    <col min="15879" max="15879" width="50.7109375" style="1214" customWidth="1"/>
    <col min="15880" max="15880" width="9.42578125" style="1214" customWidth="1"/>
    <col min="15881" max="15881" width="11.85546875" style="1214" customWidth="1"/>
    <col min="15882" max="15882" width="8.42578125" style="1214" bestFit="1" customWidth="1"/>
    <col min="15883" max="15885" width="0" style="1214" hidden="1" customWidth="1"/>
    <col min="15886" max="15886" width="6" style="1214" bestFit="1" customWidth="1"/>
    <col min="15887" max="15887" width="9.5703125" style="1214" customWidth="1"/>
    <col min="15888" max="15888" width="9.85546875" style="1214" customWidth="1"/>
    <col min="15889" max="15889" width="9.7109375" style="1214" customWidth="1"/>
    <col min="15890" max="15890" width="9.5703125" style="1214" customWidth="1"/>
    <col min="15891" max="15891" width="9.85546875" style="1214" customWidth="1"/>
    <col min="15892" max="15892" width="6.5703125" style="1214" customWidth="1"/>
    <col min="15893" max="15893" width="6" style="1214" bestFit="1" customWidth="1"/>
    <col min="15894" max="15894" width="6.28515625" style="1214" customWidth="1"/>
    <col min="15895" max="15895" width="11.7109375" style="1214" customWidth="1"/>
    <col min="15896" max="15896" width="0" style="1214" hidden="1" customWidth="1"/>
    <col min="15897" max="15897" width="14.5703125" style="1214" customWidth="1"/>
    <col min="15898" max="15898" width="11.85546875" style="1214" customWidth="1"/>
    <col min="15899" max="16133" width="9.140625" style="1214"/>
    <col min="16134" max="16134" width="2.85546875" style="1214" customWidth="1"/>
    <col min="16135" max="16135" width="50.7109375" style="1214" customWidth="1"/>
    <col min="16136" max="16136" width="9.42578125" style="1214" customWidth="1"/>
    <col min="16137" max="16137" width="11.85546875" style="1214" customWidth="1"/>
    <col min="16138" max="16138" width="8.42578125" style="1214" bestFit="1" customWidth="1"/>
    <col min="16139" max="16141" width="0" style="1214" hidden="1" customWidth="1"/>
    <col min="16142" max="16142" width="6" style="1214" bestFit="1" customWidth="1"/>
    <col min="16143" max="16143" width="9.5703125" style="1214" customWidth="1"/>
    <col min="16144" max="16144" width="9.85546875" style="1214" customWidth="1"/>
    <col min="16145" max="16145" width="9.7109375" style="1214" customWidth="1"/>
    <col min="16146" max="16146" width="9.5703125" style="1214" customWidth="1"/>
    <col min="16147" max="16147" width="9.85546875" style="1214" customWidth="1"/>
    <col min="16148" max="16148" width="6.5703125" style="1214" customWidth="1"/>
    <col min="16149" max="16149" width="6" style="1214" bestFit="1" customWidth="1"/>
    <col min="16150" max="16150" width="6.28515625" style="1214" customWidth="1"/>
    <col min="16151" max="16151" width="11.7109375" style="1214" customWidth="1"/>
    <col min="16152" max="16152" width="0" style="1214" hidden="1" customWidth="1"/>
    <col min="16153" max="16153" width="14.5703125" style="1214" customWidth="1"/>
    <col min="16154" max="16154" width="11.85546875" style="1214" customWidth="1"/>
    <col min="16155" max="16384" width="9.140625" style="1214"/>
  </cols>
  <sheetData>
    <row r="1" spans="1:26" ht="15" customHeight="1">
      <c r="O1" s="2224"/>
      <c r="P1" s="1214"/>
      <c r="S1" s="1945" t="s">
        <v>256</v>
      </c>
      <c r="X1" s="1194"/>
      <c r="Y1" s="1195"/>
    </row>
    <row r="2" spans="1:26" ht="2.25" customHeight="1">
      <c r="N2" s="1946"/>
      <c r="O2" s="2225"/>
      <c r="P2" s="1947"/>
      <c r="X2" s="1194"/>
      <c r="Y2" s="1195"/>
    </row>
    <row r="3" spans="1:26" ht="9" customHeight="1">
      <c r="N3" s="1946"/>
      <c r="O3" s="2225"/>
      <c r="P3" s="1947"/>
      <c r="X3" s="1194"/>
      <c r="Y3" s="1195"/>
    </row>
    <row r="4" spans="1:26" ht="36" customHeight="1" thickBot="1">
      <c r="A4" s="4185" t="s">
        <v>250</v>
      </c>
      <c r="B4" s="4185"/>
      <c r="C4" s="4185"/>
      <c r="D4" s="4185"/>
      <c r="E4" s="4185"/>
      <c r="F4" s="4185"/>
      <c r="G4" s="4185"/>
      <c r="H4" s="4185"/>
      <c r="I4" s="4185"/>
      <c r="J4" s="4185"/>
      <c r="K4" s="4185"/>
      <c r="L4" s="4185"/>
      <c r="M4" s="4185"/>
      <c r="N4" s="4185"/>
      <c r="O4" s="4185"/>
      <c r="P4" s="4185"/>
      <c r="Q4" s="4185"/>
      <c r="R4" s="4185"/>
      <c r="S4" s="4185"/>
      <c r="T4" s="4185"/>
      <c r="U4" s="4185"/>
      <c r="V4" s="4185"/>
      <c r="W4" s="4185"/>
      <c r="X4" s="4185"/>
      <c r="Y4" s="4185"/>
    </row>
    <row r="5" spans="1:26" ht="29.25" customHeight="1">
      <c r="A5" s="1948"/>
      <c r="B5" s="4186" t="s">
        <v>89</v>
      </c>
      <c r="C5" s="3674" t="s">
        <v>85</v>
      </c>
      <c r="D5" s="3677" t="s">
        <v>136</v>
      </c>
      <c r="E5" s="4189" t="s">
        <v>2</v>
      </c>
      <c r="F5" s="4190"/>
      <c r="G5" s="4190"/>
      <c r="H5" s="4190"/>
      <c r="I5" s="4190"/>
      <c r="J5" s="4190"/>
      <c r="K5" s="4190"/>
      <c r="L5" s="4191"/>
      <c r="M5" s="4197" t="s">
        <v>339</v>
      </c>
      <c r="N5" s="1196"/>
      <c r="O5" s="3877" t="s">
        <v>347</v>
      </c>
      <c r="P5" s="3925" t="s">
        <v>494</v>
      </c>
      <c r="Q5" s="3694" t="s">
        <v>495</v>
      </c>
      <c r="R5" s="3694"/>
      <c r="S5" s="3694"/>
      <c r="T5" s="3694"/>
      <c r="U5" s="3694"/>
      <c r="V5" s="3694"/>
      <c r="W5" s="3695"/>
      <c r="X5" s="4032" t="s">
        <v>490</v>
      </c>
      <c r="Y5" s="3869" t="s">
        <v>87</v>
      </c>
    </row>
    <row r="6" spans="1:26" ht="29.25" customHeight="1">
      <c r="A6" s="1949" t="s">
        <v>88</v>
      </c>
      <c r="B6" s="4187"/>
      <c r="C6" s="3921"/>
      <c r="D6" s="3923"/>
      <c r="E6" s="4192"/>
      <c r="F6" s="4193"/>
      <c r="G6" s="4193"/>
      <c r="H6" s="4193"/>
      <c r="I6" s="4193"/>
      <c r="J6" s="4193"/>
      <c r="K6" s="4193"/>
      <c r="L6" s="4194"/>
      <c r="M6" s="4198"/>
      <c r="N6" s="1197"/>
      <c r="O6" s="3878"/>
      <c r="P6" s="3693"/>
      <c r="Q6" s="3696"/>
      <c r="R6" s="3696"/>
      <c r="S6" s="3696"/>
      <c r="T6" s="3696"/>
      <c r="U6" s="3696"/>
      <c r="V6" s="3696"/>
      <c r="W6" s="3697"/>
      <c r="X6" s="4195"/>
      <c r="Y6" s="3870"/>
    </row>
    <row r="7" spans="1:26" ht="24" customHeight="1" thickBot="1">
      <c r="A7" s="1949"/>
      <c r="B7" s="4188"/>
      <c r="C7" s="3922"/>
      <c r="D7" s="3924"/>
      <c r="E7" s="1198" t="s">
        <v>5</v>
      </c>
      <c r="F7" s="1199" t="s">
        <v>6</v>
      </c>
      <c r="G7" s="1199" t="s">
        <v>7</v>
      </c>
      <c r="H7" s="1199" t="s">
        <v>8</v>
      </c>
      <c r="I7" s="3234" t="s">
        <v>9</v>
      </c>
      <c r="J7" s="3234" t="s">
        <v>10</v>
      </c>
      <c r="K7" s="3234" t="s">
        <v>11</v>
      </c>
      <c r="L7" s="3234" t="s">
        <v>12</v>
      </c>
      <c r="M7" s="2226" t="s">
        <v>497</v>
      </c>
      <c r="N7" s="1200" t="s">
        <v>13</v>
      </c>
      <c r="O7" s="1201" t="s">
        <v>14</v>
      </c>
      <c r="P7" s="1201" t="s">
        <v>15</v>
      </c>
      <c r="Q7" s="1201" t="s">
        <v>16</v>
      </c>
      <c r="R7" s="1201" t="s">
        <v>17</v>
      </c>
      <c r="S7" s="1201" t="s">
        <v>259</v>
      </c>
      <c r="T7" s="1201" t="s">
        <v>260</v>
      </c>
      <c r="U7" s="1201" t="s">
        <v>327</v>
      </c>
      <c r="V7" s="1201" t="s">
        <v>328</v>
      </c>
      <c r="W7" s="1201" t="s">
        <v>329</v>
      </c>
      <c r="X7" s="4196"/>
      <c r="Y7" s="3871"/>
    </row>
    <row r="8" spans="1:26" ht="15" customHeight="1" thickBot="1">
      <c r="A8" s="1950">
        <v>1</v>
      </c>
      <c r="B8" s="1951">
        <v>2</v>
      </c>
      <c r="C8" s="1952" t="s">
        <v>137</v>
      </c>
      <c r="D8" s="2227" t="s">
        <v>138</v>
      </c>
      <c r="E8" s="1952" t="s">
        <v>139</v>
      </c>
      <c r="F8" s="1953">
        <v>8</v>
      </c>
      <c r="G8" s="1953">
        <v>9</v>
      </c>
      <c r="H8" s="1953">
        <v>10</v>
      </c>
      <c r="I8" s="1954" t="s">
        <v>140</v>
      </c>
      <c r="J8" s="1954" t="s">
        <v>141</v>
      </c>
      <c r="K8" s="1954" t="s">
        <v>142</v>
      </c>
      <c r="L8" s="1954" t="s">
        <v>143</v>
      </c>
      <c r="M8" s="2228">
        <v>5</v>
      </c>
      <c r="N8" s="1954" t="s">
        <v>326</v>
      </c>
      <c r="O8" s="1954" t="s">
        <v>326</v>
      </c>
      <c r="P8" s="1954">
        <v>6</v>
      </c>
      <c r="Q8" s="1954">
        <v>7</v>
      </c>
      <c r="R8" s="1954">
        <v>8</v>
      </c>
      <c r="S8" s="1955">
        <v>9</v>
      </c>
      <c r="T8" s="1955">
        <v>10</v>
      </c>
      <c r="U8" s="1955">
        <v>11</v>
      </c>
      <c r="V8" s="1955">
        <v>12</v>
      </c>
      <c r="W8" s="1955">
        <v>13</v>
      </c>
      <c r="X8" s="1956">
        <v>14</v>
      </c>
      <c r="Y8" s="1957">
        <v>15</v>
      </c>
    </row>
    <row r="9" spans="1:26" s="1959" customFormat="1" ht="15.75" customHeight="1">
      <c r="A9" s="1209"/>
      <c r="B9" s="307" t="s">
        <v>90</v>
      </c>
      <c r="C9" s="277"/>
      <c r="D9" s="2229">
        <f>+D10+D11</f>
        <v>2259649</v>
      </c>
      <c r="E9" s="278">
        <f t="shared" ref="E9:Q9" si="0">+E10+E11</f>
        <v>0</v>
      </c>
      <c r="F9" s="278">
        <f t="shared" si="0"/>
        <v>0</v>
      </c>
      <c r="G9" s="278">
        <f t="shared" si="0"/>
        <v>0</v>
      </c>
      <c r="H9" s="278">
        <f t="shared" si="0"/>
        <v>0</v>
      </c>
      <c r="I9" s="278">
        <f t="shared" si="0"/>
        <v>0</v>
      </c>
      <c r="J9" s="278">
        <f t="shared" si="0"/>
        <v>0</v>
      </c>
      <c r="K9" s="278">
        <f t="shared" si="0"/>
        <v>0</v>
      </c>
      <c r="L9" s="278">
        <f t="shared" si="0"/>
        <v>0</v>
      </c>
      <c r="M9" s="278">
        <f>+M10+M11</f>
        <v>42524</v>
      </c>
      <c r="N9" s="278">
        <f t="shared" si="0"/>
        <v>0</v>
      </c>
      <c r="O9" s="278">
        <f t="shared" si="0"/>
        <v>42524</v>
      </c>
      <c r="P9" s="278">
        <f t="shared" si="0"/>
        <v>400996</v>
      </c>
      <c r="Q9" s="278">
        <f t="shared" si="0"/>
        <v>827639</v>
      </c>
      <c r="R9" s="278">
        <f t="shared" ref="R9:X9" si="1">+R10+R11</f>
        <v>716400</v>
      </c>
      <c r="S9" s="278">
        <f t="shared" si="1"/>
        <v>145187</v>
      </c>
      <c r="T9" s="278">
        <f t="shared" si="1"/>
        <v>126903</v>
      </c>
      <c r="U9" s="278">
        <f t="shared" si="1"/>
        <v>0</v>
      </c>
      <c r="V9" s="278">
        <f t="shared" si="1"/>
        <v>0</v>
      </c>
      <c r="W9" s="278">
        <f t="shared" si="1"/>
        <v>0</v>
      </c>
      <c r="X9" s="195">
        <f t="shared" si="1"/>
        <v>1816129</v>
      </c>
      <c r="Y9" s="1894"/>
      <c r="Z9" s="1958"/>
    </row>
    <row r="10" spans="1:26" s="1959" customFormat="1" ht="13.5" customHeight="1">
      <c r="A10" s="1209"/>
      <c r="B10" s="292" t="s">
        <v>91</v>
      </c>
      <c r="C10" s="280"/>
      <c r="D10" s="2213">
        <f>+D26+D35+D55</f>
        <v>2259649</v>
      </c>
      <c r="E10" s="281">
        <f t="shared" ref="E10:L10" si="2">+E26+E35+E56</f>
        <v>0</v>
      </c>
      <c r="F10" s="281">
        <f t="shared" si="2"/>
        <v>0</v>
      </c>
      <c r="G10" s="281">
        <f t="shared" si="2"/>
        <v>0</v>
      </c>
      <c r="H10" s="281">
        <f t="shared" si="2"/>
        <v>0</v>
      </c>
      <c r="I10" s="281">
        <f t="shared" si="2"/>
        <v>0</v>
      </c>
      <c r="J10" s="281">
        <f t="shared" si="2"/>
        <v>0</v>
      </c>
      <c r="K10" s="281">
        <f t="shared" si="2"/>
        <v>0</v>
      </c>
      <c r="L10" s="281">
        <f t="shared" si="2"/>
        <v>0</v>
      </c>
      <c r="M10" s="281">
        <f>+M26+M35+M55</f>
        <v>42524</v>
      </c>
      <c r="N10" s="281">
        <f>+N26+N35</f>
        <v>0</v>
      </c>
      <c r="O10" s="281">
        <f t="shared" ref="O10:T10" si="3">+O26+O35+O55</f>
        <v>42524</v>
      </c>
      <c r="P10" s="281">
        <f t="shared" si="3"/>
        <v>400996</v>
      </c>
      <c r="Q10" s="281">
        <f t="shared" si="3"/>
        <v>827639</v>
      </c>
      <c r="R10" s="281">
        <f t="shared" si="3"/>
        <v>716400</v>
      </c>
      <c r="S10" s="281">
        <f t="shared" si="3"/>
        <v>145187</v>
      </c>
      <c r="T10" s="281">
        <f t="shared" si="3"/>
        <v>126903</v>
      </c>
      <c r="U10" s="281">
        <f>+U26+U35+U56</f>
        <v>0</v>
      </c>
      <c r="V10" s="281">
        <f>+V26+V35+V56</f>
        <v>0</v>
      </c>
      <c r="W10" s="281">
        <f>+W26+W35+W56</f>
        <v>0</v>
      </c>
      <c r="X10" s="1202">
        <f>SUM(Q10:W10)</f>
        <v>1816129</v>
      </c>
      <c r="Y10" s="1894"/>
    </row>
    <row r="11" spans="1:26" s="1959" customFormat="1" ht="13.5" customHeight="1" thickBot="1">
      <c r="A11" s="1209"/>
      <c r="B11" s="1960" t="s">
        <v>20</v>
      </c>
      <c r="C11" s="1961"/>
      <c r="D11" s="2230">
        <f>D44</f>
        <v>0</v>
      </c>
      <c r="E11" s="1962">
        <f t="shared" ref="E11:Q11" si="4">E44</f>
        <v>0</v>
      </c>
      <c r="F11" s="1962">
        <f t="shared" si="4"/>
        <v>0</v>
      </c>
      <c r="G11" s="1962">
        <f t="shared" si="4"/>
        <v>0</v>
      </c>
      <c r="H11" s="1962">
        <f t="shared" si="4"/>
        <v>0</v>
      </c>
      <c r="I11" s="1962">
        <f t="shared" si="4"/>
        <v>0</v>
      </c>
      <c r="J11" s="1962">
        <f t="shared" si="4"/>
        <v>0</v>
      </c>
      <c r="K11" s="1962">
        <f t="shared" si="4"/>
        <v>0</v>
      </c>
      <c r="L11" s="1962">
        <f t="shared" si="4"/>
        <v>0</v>
      </c>
      <c r="M11" s="1962">
        <f>M44</f>
        <v>0</v>
      </c>
      <c r="N11" s="1962">
        <f t="shared" si="4"/>
        <v>0</v>
      </c>
      <c r="O11" s="1962">
        <f t="shared" si="4"/>
        <v>0</v>
      </c>
      <c r="P11" s="1962">
        <f t="shared" si="4"/>
        <v>0</v>
      </c>
      <c r="Q11" s="1962">
        <f t="shared" si="4"/>
        <v>0</v>
      </c>
      <c r="R11" s="1962">
        <f t="shared" ref="R11:W11" si="5">R44</f>
        <v>0</v>
      </c>
      <c r="S11" s="1962">
        <f t="shared" si="5"/>
        <v>0</v>
      </c>
      <c r="T11" s="1962">
        <f t="shared" si="5"/>
        <v>0</v>
      </c>
      <c r="U11" s="1962">
        <f t="shared" si="5"/>
        <v>0</v>
      </c>
      <c r="V11" s="1962">
        <f t="shared" si="5"/>
        <v>0</v>
      </c>
      <c r="W11" s="1962">
        <f t="shared" si="5"/>
        <v>0</v>
      </c>
      <c r="X11" s="197">
        <f>SUM(Q11:W11)</f>
        <v>0</v>
      </c>
      <c r="Y11" s="1894"/>
    </row>
    <row r="12" spans="1:26" ht="14.25" customHeight="1">
      <c r="A12" s="1209"/>
      <c r="B12" s="119" t="s">
        <v>21</v>
      </c>
      <c r="C12" s="116"/>
      <c r="D12" s="157">
        <f>D13+D16</f>
        <v>2259649</v>
      </c>
      <c r="E12" s="157">
        <f t="shared" ref="E12:O12" si="6">E13+E16</f>
        <v>0</v>
      </c>
      <c r="F12" s="157">
        <f t="shared" si="6"/>
        <v>0</v>
      </c>
      <c r="G12" s="157">
        <f t="shared" si="6"/>
        <v>0</v>
      </c>
      <c r="H12" s="157">
        <f t="shared" si="6"/>
        <v>0</v>
      </c>
      <c r="I12" s="157">
        <f t="shared" si="6"/>
        <v>0</v>
      </c>
      <c r="J12" s="157">
        <f t="shared" si="6"/>
        <v>0</v>
      </c>
      <c r="K12" s="157">
        <f t="shared" si="6"/>
        <v>0</v>
      </c>
      <c r="L12" s="157">
        <f t="shared" si="6"/>
        <v>0</v>
      </c>
      <c r="M12" s="157">
        <f>M13+M16</f>
        <v>42524</v>
      </c>
      <c r="N12" s="157">
        <f t="shared" si="6"/>
        <v>0</v>
      </c>
      <c r="O12" s="157">
        <f t="shared" si="6"/>
        <v>42524</v>
      </c>
      <c r="P12" s="157">
        <f t="shared" ref="P12:W12" si="7">P13+P16</f>
        <v>400996</v>
      </c>
      <c r="Q12" s="157">
        <f t="shared" si="7"/>
        <v>827639</v>
      </c>
      <c r="R12" s="157">
        <f t="shared" si="7"/>
        <v>716400</v>
      </c>
      <c r="S12" s="157">
        <f t="shared" si="7"/>
        <v>145187</v>
      </c>
      <c r="T12" s="157">
        <f t="shared" si="7"/>
        <v>126903</v>
      </c>
      <c r="U12" s="157">
        <f t="shared" si="7"/>
        <v>0</v>
      </c>
      <c r="V12" s="157">
        <f t="shared" si="7"/>
        <v>0</v>
      </c>
      <c r="W12" s="157">
        <f t="shared" si="7"/>
        <v>0</v>
      </c>
      <c r="X12" s="1073">
        <f>+X13+X16</f>
        <v>1816129</v>
      </c>
      <c r="Y12" s="1896"/>
    </row>
    <row r="13" spans="1:26" ht="13.5" customHeight="1">
      <c r="A13" s="1209"/>
      <c r="B13" s="1963" t="s">
        <v>35</v>
      </c>
      <c r="C13" s="1964"/>
      <c r="D13" s="1965">
        <f>+D14+D15</f>
        <v>379642</v>
      </c>
      <c r="E13" s="1965">
        <f t="shared" ref="E13:W13" si="8">+E14+E15</f>
        <v>0</v>
      </c>
      <c r="F13" s="1965">
        <f t="shared" si="8"/>
        <v>0</v>
      </c>
      <c r="G13" s="1965">
        <f t="shared" si="8"/>
        <v>0</v>
      </c>
      <c r="H13" s="1965">
        <f t="shared" si="8"/>
        <v>0</v>
      </c>
      <c r="I13" s="1965">
        <f t="shared" si="8"/>
        <v>0</v>
      </c>
      <c r="J13" s="1965">
        <f t="shared" si="8"/>
        <v>0</v>
      </c>
      <c r="K13" s="1965">
        <f t="shared" si="8"/>
        <v>0</v>
      </c>
      <c r="L13" s="1965">
        <f t="shared" si="8"/>
        <v>0</v>
      </c>
      <c r="M13" s="1965">
        <f t="shared" si="8"/>
        <v>10707</v>
      </c>
      <c r="N13" s="1965">
        <f t="shared" si="8"/>
        <v>0</v>
      </c>
      <c r="O13" s="1965">
        <f t="shared" si="8"/>
        <v>10707</v>
      </c>
      <c r="P13" s="1965">
        <f t="shared" si="8"/>
        <v>64835</v>
      </c>
      <c r="Q13" s="1965">
        <f t="shared" si="8"/>
        <v>134532</v>
      </c>
      <c r="R13" s="1965">
        <f t="shared" si="8"/>
        <v>114557</v>
      </c>
      <c r="S13" s="1965">
        <f t="shared" si="8"/>
        <v>28877</v>
      </c>
      <c r="T13" s="1965">
        <f t="shared" si="8"/>
        <v>26134</v>
      </c>
      <c r="U13" s="1965">
        <f t="shared" si="8"/>
        <v>0</v>
      </c>
      <c r="V13" s="1965">
        <f t="shared" si="8"/>
        <v>0</v>
      </c>
      <c r="W13" s="1965">
        <f t="shared" si="8"/>
        <v>0</v>
      </c>
      <c r="X13" s="1966">
        <f>+X14+X15</f>
        <v>304100</v>
      </c>
      <c r="Y13" s="1898"/>
    </row>
    <row r="14" spans="1:26" ht="14.25" customHeight="1">
      <c r="A14" s="1209"/>
      <c r="B14" s="1967" t="s">
        <v>23</v>
      </c>
      <c r="C14" s="1968"/>
      <c r="D14" s="1211">
        <f>D28+D37+D61</f>
        <v>280245</v>
      </c>
      <c r="E14" s="1211">
        <f t="shared" ref="E14:N14" si="9">E28+E37</f>
        <v>0</v>
      </c>
      <c r="F14" s="1211">
        <f t="shared" si="9"/>
        <v>0</v>
      </c>
      <c r="G14" s="1211">
        <f t="shared" si="9"/>
        <v>0</v>
      </c>
      <c r="H14" s="1211">
        <f t="shared" si="9"/>
        <v>0</v>
      </c>
      <c r="I14" s="1211">
        <f t="shared" si="9"/>
        <v>0</v>
      </c>
      <c r="J14" s="1211">
        <f t="shared" si="9"/>
        <v>0</v>
      </c>
      <c r="K14" s="1211">
        <f t="shared" si="9"/>
        <v>0</v>
      </c>
      <c r="L14" s="1211">
        <f t="shared" si="9"/>
        <v>0</v>
      </c>
      <c r="M14" s="1211">
        <f>M28+M37+M61</f>
        <v>101</v>
      </c>
      <c r="N14" s="1211">
        <f t="shared" si="9"/>
        <v>0</v>
      </c>
      <c r="O14" s="1211">
        <f>O28+O37+O61</f>
        <v>101</v>
      </c>
      <c r="P14" s="1211">
        <f t="shared" ref="P14:W14" si="10">P28+P37+P61</f>
        <v>53375</v>
      </c>
      <c r="Q14" s="1211">
        <f t="shared" si="10"/>
        <v>109160</v>
      </c>
      <c r="R14" s="1211">
        <f t="shared" si="10"/>
        <v>97238</v>
      </c>
      <c r="S14" s="1211">
        <f t="shared" si="10"/>
        <v>11557</v>
      </c>
      <c r="T14" s="1211">
        <f t="shared" si="10"/>
        <v>8814</v>
      </c>
      <c r="U14" s="1211">
        <f t="shared" si="10"/>
        <v>0</v>
      </c>
      <c r="V14" s="1211">
        <f t="shared" si="10"/>
        <v>0</v>
      </c>
      <c r="W14" s="1211">
        <f t="shared" si="10"/>
        <v>0</v>
      </c>
      <c r="X14" s="1179">
        <f>SUM(Q14:W14)</f>
        <v>226769</v>
      </c>
      <c r="Y14" s="1898"/>
    </row>
    <row r="15" spans="1:26" ht="13.5" customHeight="1">
      <c r="A15" s="1209"/>
      <c r="B15" s="1967" t="s">
        <v>24</v>
      </c>
      <c r="C15" s="1968"/>
      <c r="D15" s="1969">
        <f>+D57</f>
        <v>99397</v>
      </c>
      <c r="E15" s="1969"/>
      <c r="F15" s="1969"/>
      <c r="G15" s="1969"/>
      <c r="H15" s="1969"/>
      <c r="I15" s="1969"/>
      <c r="J15" s="1969"/>
      <c r="K15" s="1969"/>
      <c r="L15" s="1969"/>
      <c r="M15" s="1969">
        <f>+M57</f>
        <v>10606</v>
      </c>
      <c r="N15" s="1969"/>
      <c r="O15" s="1969">
        <f>+O57</f>
        <v>10606</v>
      </c>
      <c r="P15" s="1969">
        <f t="shared" ref="P15:W15" si="11">+P57</f>
        <v>11460</v>
      </c>
      <c r="Q15" s="1969">
        <f t="shared" si="11"/>
        <v>25372</v>
      </c>
      <c r="R15" s="1969">
        <f t="shared" si="11"/>
        <v>17319</v>
      </c>
      <c r="S15" s="1969">
        <f t="shared" si="11"/>
        <v>17320</v>
      </c>
      <c r="T15" s="1969">
        <f>+T57</f>
        <v>17320</v>
      </c>
      <c r="U15" s="1969">
        <f t="shared" si="11"/>
        <v>0</v>
      </c>
      <c r="V15" s="1969">
        <f t="shared" si="11"/>
        <v>0</v>
      </c>
      <c r="W15" s="1969">
        <f t="shared" si="11"/>
        <v>0</v>
      </c>
      <c r="X15" s="1179">
        <f>SUM(Q15:W15)</f>
        <v>77331</v>
      </c>
      <c r="Y15" s="1898"/>
    </row>
    <row r="16" spans="1:26" ht="13.5" customHeight="1">
      <c r="A16" s="1209"/>
      <c r="B16" s="1970" t="s">
        <v>29</v>
      </c>
      <c r="C16" s="1971"/>
      <c r="D16" s="1965">
        <f>+D17+D18</f>
        <v>1880007</v>
      </c>
      <c r="E16" s="1965">
        <f t="shared" ref="E16:N16" si="12">E17</f>
        <v>0</v>
      </c>
      <c r="F16" s="1965">
        <f t="shared" si="12"/>
        <v>0</v>
      </c>
      <c r="G16" s="1965">
        <f t="shared" si="12"/>
        <v>0</v>
      </c>
      <c r="H16" s="1965">
        <f t="shared" si="12"/>
        <v>0</v>
      </c>
      <c r="I16" s="1965">
        <f t="shared" si="12"/>
        <v>0</v>
      </c>
      <c r="J16" s="1965">
        <f t="shared" si="12"/>
        <v>0</v>
      </c>
      <c r="K16" s="1965">
        <f t="shared" si="12"/>
        <v>0</v>
      </c>
      <c r="L16" s="1965">
        <f t="shared" si="12"/>
        <v>0</v>
      </c>
      <c r="M16" s="1965">
        <f>+M17+M18</f>
        <v>31817</v>
      </c>
      <c r="N16" s="1965">
        <f t="shared" si="12"/>
        <v>0</v>
      </c>
      <c r="O16" s="1965">
        <f>+O17+O18</f>
        <v>31817</v>
      </c>
      <c r="P16" s="1965">
        <f>+P17+P18</f>
        <v>336161</v>
      </c>
      <c r="Q16" s="1965">
        <f t="shared" ref="Q16:W16" si="13">+Q17+Q18</f>
        <v>693107</v>
      </c>
      <c r="R16" s="1965">
        <f t="shared" si="13"/>
        <v>601843</v>
      </c>
      <c r="S16" s="1965">
        <f t="shared" si="13"/>
        <v>116310</v>
      </c>
      <c r="T16" s="1965">
        <f t="shared" si="13"/>
        <v>100769</v>
      </c>
      <c r="U16" s="1965">
        <f t="shared" si="13"/>
        <v>0</v>
      </c>
      <c r="V16" s="1965">
        <f t="shared" si="13"/>
        <v>0</v>
      </c>
      <c r="W16" s="1965">
        <f t="shared" si="13"/>
        <v>0</v>
      </c>
      <c r="X16" s="1178">
        <f>+X17+X18</f>
        <v>1512029</v>
      </c>
      <c r="Y16" s="1898"/>
    </row>
    <row r="17" spans="1:27" ht="13.5" hidden="1" customHeight="1">
      <c r="A17" s="1209"/>
      <c r="B17" s="1967" t="s">
        <v>32</v>
      </c>
      <c r="C17" s="1972"/>
      <c r="D17" s="1203"/>
      <c r="E17" s="1203"/>
      <c r="F17" s="1203"/>
      <c r="G17" s="1203"/>
      <c r="H17" s="1203"/>
      <c r="I17" s="1203"/>
      <c r="J17" s="1203"/>
      <c r="K17" s="1203"/>
      <c r="L17" s="1203"/>
      <c r="M17" s="1203"/>
      <c r="N17" s="1203"/>
      <c r="O17" s="1203"/>
      <c r="P17" s="1203"/>
      <c r="Q17" s="1203"/>
      <c r="R17" s="1203"/>
      <c r="S17" s="1203"/>
      <c r="T17" s="1203"/>
      <c r="U17" s="1203"/>
      <c r="V17" s="1203"/>
      <c r="W17" s="1203"/>
      <c r="X17" s="1179">
        <f>+W17+V17+U17+T17+S17+R17+Q17+P17+O17+M17</f>
        <v>0</v>
      </c>
      <c r="Y17" s="1898"/>
    </row>
    <row r="18" spans="1:27" ht="12.75" customHeight="1">
      <c r="A18" s="1209"/>
      <c r="B18" s="1204" t="s">
        <v>31</v>
      </c>
      <c r="C18" s="1972"/>
      <c r="D18" s="1203">
        <f t="shared" ref="D18:W18" si="14">+D30+D39+D63</f>
        <v>1880007</v>
      </c>
      <c r="E18" s="1203">
        <f t="shared" si="14"/>
        <v>0</v>
      </c>
      <c r="F18" s="1203">
        <f t="shared" si="14"/>
        <v>0</v>
      </c>
      <c r="G18" s="1203">
        <f t="shared" si="14"/>
        <v>0</v>
      </c>
      <c r="H18" s="1203">
        <f t="shared" si="14"/>
        <v>0</v>
      </c>
      <c r="I18" s="1203">
        <f t="shared" si="14"/>
        <v>0</v>
      </c>
      <c r="J18" s="1203">
        <f t="shared" si="14"/>
        <v>0</v>
      </c>
      <c r="K18" s="1203">
        <f t="shared" si="14"/>
        <v>0</v>
      </c>
      <c r="L18" s="1203">
        <f t="shared" si="14"/>
        <v>0</v>
      </c>
      <c r="M18" s="1203">
        <f t="shared" si="14"/>
        <v>31817</v>
      </c>
      <c r="N18" s="1203">
        <f t="shared" si="14"/>
        <v>0</v>
      </c>
      <c r="O18" s="1203">
        <f t="shared" si="14"/>
        <v>31817</v>
      </c>
      <c r="P18" s="1203">
        <f t="shared" si="14"/>
        <v>336161</v>
      </c>
      <c r="Q18" s="1203">
        <f t="shared" si="14"/>
        <v>693107</v>
      </c>
      <c r="R18" s="1203">
        <f t="shared" si="14"/>
        <v>601843</v>
      </c>
      <c r="S18" s="1203">
        <f t="shared" si="14"/>
        <v>116310</v>
      </c>
      <c r="T18" s="1203">
        <f t="shared" si="14"/>
        <v>100769</v>
      </c>
      <c r="U18" s="1203">
        <f t="shared" si="14"/>
        <v>0</v>
      </c>
      <c r="V18" s="1203">
        <f t="shared" si="14"/>
        <v>0</v>
      </c>
      <c r="W18" s="1203">
        <f t="shared" si="14"/>
        <v>0</v>
      </c>
      <c r="X18" s="1179">
        <f>SUM(Q18:W18)</f>
        <v>1512029</v>
      </c>
      <c r="Y18" s="1898"/>
    </row>
    <row r="19" spans="1:27" ht="15" customHeight="1">
      <c r="A19" s="1209"/>
      <c r="B19" s="103" t="s">
        <v>33</v>
      </c>
      <c r="C19" s="1090"/>
      <c r="D19" s="1205">
        <f>D22+D20</f>
        <v>1979404</v>
      </c>
      <c r="E19" s="1205">
        <f t="shared" ref="E19:P19" si="15">E22+E20</f>
        <v>0</v>
      </c>
      <c r="F19" s="1205">
        <f t="shared" si="15"/>
        <v>0</v>
      </c>
      <c r="G19" s="1205">
        <f t="shared" si="15"/>
        <v>0</v>
      </c>
      <c r="H19" s="1205">
        <f t="shared" si="15"/>
        <v>0</v>
      </c>
      <c r="I19" s="1205">
        <f t="shared" si="15"/>
        <v>0</v>
      </c>
      <c r="J19" s="1205">
        <f t="shared" si="15"/>
        <v>0</v>
      </c>
      <c r="K19" s="1205">
        <f t="shared" si="15"/>
        <v>0</v>
      </c>
      <c r="L19" s="1205">
        <f t="shared" si="15"/>
        <v>0</v>
      </c>
      <c r="M19" s="1205">
        <f t="shared" si="15"/>
        <v>0</v>
      </c>
      <c r="N19" s="1205">
        <f t="shared" si="15"/>
        <v>0</v>
      </c>
      <c r="O19" s="1205">
        <f t="shared" si="15"/>
        <v>0</v>
      </c>
      <c r="P19" s="1205">
        <f t="shared" si="15"/>
        <v>0</v>
      </c>
      <c r="Q19" s="1205">
        <f>Q22+Q21</f>
        <v>406577</v>
      </c>
      <c r="R19" s="1205">
        <f t="shared" ref="R19:W19" si="16">R22+R21</f>
        <v>719266</v>
      </c>
      <c r="S19" s="1205">
        <f t="shared" si="16"/>
        <v>619162</v>
      </c>
      <c r="T19" s="1205">
        <f t="shared" si="16"/>
        <v>133630</v>
      </c>
      <c r="U19" s="1205">
        <f t="shared" si="16"/>
        <v>100769</v>
      </c>
      <c r="V19" s="1205">
        <f t="shared" si="16"/>
        <v>0</v>
      </c>
      <c r="W19" s="1205">
        <f t="shared" si="16"/>
        <v>0</v>
      </c>
      <c r="X19" s="4166" t="s">
        <v>75</v>
      </c>
      <c r="Y19" s="1212"/>
      <c r="Z19" s="1213"/>
    </row>
    <row r="20" spans="1:27" ht="14.25" customHeight="1">
      <c r="A20" s="1209"/>
      <c r="B20" s="1206" t="s">
        <v>23</v>
      </c>
      <c r="C20" s="1207"/>
      <c r="D20" s="1208">
        <f>+D21</f>
        <v>99397</v>
      </c>
      <c r="E20" s="1208"/>
      <c r="F20" s="1208"/>
      <c r="G20" s="1208"/>
      <c r="H20" s="1208"/>
      <c r="I20" s="1208"/>
      <c r="J20" s="1208"/>
      <c r="K20" s="1208"/>
      <c r="L20" s="1208"/>
      <c r="M20" s="1208">
        <f>+M21</f>
        <v>0</v>
      </c>
      <c r="N20" s="1208">
        <f t="shared" ref="N20:W20" si="17">+N21</f>
        <v>0</v>
      </c>
      <c r="O20" s="1208">
        <f t="shared" si="17"/>
        <v>0</v>
      </c>
      <c r="P20" s="1208">
        <f t="shared" si="17"/>
        <v>0</v>
      </c>
      <c r="Q20" s="1208">
        <f t="shared" si="17"/>
        <v>28409</v>
      </c>
      <c r="R20" s="1208">
        <f t="shared" si="17"/>
        <v>23359</v>
      </c>
      <c r="S20" s="1208">
        <f t="shared" si="17"/>
        <v>17319</v>
      </c>
      <c r="T20" s="1208">
        <f t="shared" si="17"/>
        <v>17320</v>
      </c>
      <c r="U20" s="1208">
        <f t="shared" si="17"/>
        <v>12990</v>
      </c>
      <c r="V20" s="1208">
        <f t="shared" si="17"/>
        <v>0</v>
      </c>
      <c r="W20" s="1208">
        <f t="shared" si="17"/>
        <v>0</v>
      </c>
      <c r="X20" s="3635"/>
      <c r="Y20" s="1212"/>
      <c r="Z20" s="1213"/>
    </row>
    <row r="21" spans="1:27" ht="12">
      <c r="A21" s="1209"/>
      <c r="B21" s="1210" t="s">
        <v>24</v>
      </c>
      <c r="C21" s="1207"/>
      <c r="D21" s="1211">
        <f>+M21+O21+P21+Q21+R21+S21+T21+U21</f>
        <v>99397</v>
      </c>
      <c r="E21" s="1211"/>
      <c r="F21" s="1211"/>
      <c r="G21" s="1211"/>
      <c r="H21" s="1211"/>
      <c r="I21" s="1211"/>
      <c r="J21" s="1211"/>
      <c r="K21" s="1211"/>
      <c r="L21" s="1211"/>
      <c r="M21" s="1211">
        <f>+M69</f>
        <v>0</v>
      </c>
      <c r="N21" s="1211">
        <f t="shared" ref="N21:W21" si="18">+N69</f>
        <v>0</v>
      </c>
      <c r="O21" s="1211">
        <f>+O69</f>
        <v>0</v>
      </c>
      <c r="P21" s="1211">
        <f t="shared" si="18"/>
        <v>0</v>
      </c>
      <c r="Q21" s="1211">
        <f t="shared" si="18"/>
        <v>28409</v>
      </c>
      <c r="R21" s="1211">
        <f t="shared" si="18"/>
        <v>23359</v>
      </c>
      <c r="S21" s="1211">
        <f t="shared" si="18"/>
        <v>17319</v>
      </c>
      <c r="T21" s="1211">
        <f t="shared" si="18"/>
        <v>17320</v>
      </c>
      <c r="U21" s="1211">
        <f t="shared" si="18"/>
        <v>12990</v>
      </c>
      <c r="V21" s="1211">
        <f t="shared" si="18"/>
        <v>0</v>
      </c>
      <c r="W21" s="1211">
        <f t="shared" si="18"/>
        <v>0</v>
      </c>
      <c r="X21" s="3635"/>
      <c r="Y21" s="1212"/>
      <c r="Z21" s="1213">
        <f>D15-D21</f>
        <v>0</v>
      </c>
    </row>
    <row r="22" spans="1:27" ht="15" customHeight="1">
      <c r="A22" s="1215"/>
      <c r="B22" s="232" t="s">
        <v>29</v>
      </c>
      <c r="C22" s="1216"/>
      <c r="D22" s="1217">
        <f>+D23+D24</f>
        <v>1880007</v>
      </c>
      <c r="E22" s="1217">
        <f t="shared" ref="E22:N22" si="19">E23</f>
        <v>0</v>
      </c>
      <c r="F22" s="1217">
        <f t="shared" si="19"/>
        <v>0</v>
      </c>
      <c r="G22" s="1217">
        <f t="shared" si="19"/>
        <v>0</v>
      </c>
      <c r="H22" s="1217">
        <f t="shared" si="19"/>
        <v>0</v>
      </c>
      <c r="I22" s="1217">
        <f t="shared" si="19"/>
        <v>0</v>
      </c>
      <c r="J22" s="1217">
        <f t="shared" si="19"/>
        <v>0</v>
      </c>
      <c r="K22" s="1217">
        <f t="shared" si="19"/>
        <v>0</v>
      </c>
      <c r="L22" s="1217">
        <f t="shared" si="19"/>
        <v>0</v>
      </c>
      <c r="M22" s="1217">
        <f>+M23+M24</f>
        <v>0</v>
      </c>
      <c r="N22" s="1217">
        <f t="shared" si="19"/>
        <v>0</v>
      </c>
      <c r="O22" s="1217">
        <f>+O23+O24</f>
        <v>0</v>
      </c>
      <c r="P22" s="1217">
        <f>+P23+P24</f>
        <v>0</v>
      </c>
      <c r="Q22" s="1217">
        <f t="shared" ref="Q22:W22" si="20">+Q23+Q24</f>
        <v>378168</v>
      </c>
      <c r="R22" s="1217">
        <f t="shared" si="20"/>
        <v>695907</v>
      </c>
      <c r="S22" s="1217">
        <f t="shared" si="20"/>
        <v>601843</v>
      </c>
      <c r="T22" s="1217">
        <f t="shared" si="20"/>
        <v>116310</v>
      </c>
      <c r="U22" s="1217">
        <f t="shared" si="20"/>
        <v>87779</v>
      </c>
      <c r="V22" s="1217">
        <f t="shared" si="20"/>
        <v>0</v>
      </c>
      <c r="W22" s="1217">
        <f t="shared" si="20"/>
        <v>0</v>
      </c>
      <c r="X22" s="3635"/>
      <c r="Y22" s="1212"/>
    </row>
    <row r="23" spans="1:27" ht="15" hidden="1" customHeight="1">
      <c r="A23" s="1215"/>
      <c r="B23" s="1210" t="s">
        <v>32</v>
      </c>
      <c r="C23" s="1207"/>
      <c r="D23" s="1211"/>
      <c r="E23" s="1211"/>
      <c r="F23" s="1211"/>
      <c r="G23" s="1211"/>
      <c r="H23" s="1211"/>
      <c r="I23" s="1211"/>
      <c r="J23" s="1211"/>
      <c r="K23" s="1211"/>
      <c r="L23" s="1211"/>
      <c r="M23" s="1211"/>
      <c r="N23" s="1211"/>
      <c r="O23" s="1211"/>
      <c r="P23" s="1211"/>
      <c r="Q23" s="1211"/>
      <c r="R23" s="1211"/>
      <c r="S23" s="1211"/>
      <c r="T23" s="1211"/>
      <c r="U23" s="1211"/>
      <c r="V23" s="1211"/>
      <c r="W23" s="1211"/>
      <c r="X23" s="3635"/>
      <c r="Y23" s="1212"/>
      <c r="Z23" s="1213"/>
    </row>
    <row r="24" spans="1:27" ht="12.75" thickBot="1">
      <c r="A24" s="1218"/>
      <c r="B24" s="1219" t="s">
        <v>31</v>
      </c>
      <c r="C24" s="1973"/>
      <c r="D24" s="1211">
        <f t="shared" ref="D24:W24" si="21">+D33+D42+D71</f>
        <v>1880007</v>
      </c>
      <c r="E24" s="1211">
        <f t="shared" si="21"/>
        <v>0</v>
      </c>
      <c r="F24" s="1211">
        <f t="shared" si="21"/>
        <v>0</v>
      </c>
      <c r="G24" s="1211">
        <f t="shared" si="21"/>
        <v>0</v>
      </c>
      <c r="H24" s="1211">
        <f t="shared" si="21"/>
        <v>0</v>
      </c>
      <c r="I24" s="1211">
        <f t="shared" si="21"/>
        <v>0</v>
      </c>
      <c r="J24" s="1211">
        <f t="shared" si="21"/>
        <v>0</v>
      </c>
      <c r="K24" s="1211">
        <f t="shared" si="21"/>
        <v>0</v>
      </c>
      <c r="L24" s="1211">
        <f t="shared" si="21"/>
        <v>0</v>
      </c>
      <c r="M24" s="1211">
        <f t="shared" si="21"/>
        <v>0</v>
      </c>
      <c r="N24" s="1211">
        <f t="shared" si="21"/>
        <v>0</v>
      </c>
      <c r="O24" s="1211">
        <f t="shared" si="21"/>
        <v>0</v>
      </c>
      <c r="P24" s="1211">
        <f t="shared" si="21"/>
        <v>0</v>
      </c>
      <c r="Q24" s="1211">
        <f t="shared" si="21"/>
        <v>378168</v>
      </c>
      <c r="R24" s="1211">
        <f t="shared" si="21"/>
        <v>695907</v>
      </c>
      <c r="S24" s="1211">
        <f t="shared" si="21"/>
        <v>601843</v>
      </c>
      <c r="T24" s="1211">
        <f t="shared" si="21"/>
        <v>116310</v>
      </c>
      <c r="U24" s="1211">
        <f t="shared" si="21"/>
        <v>87779</v>
      </c>
      <c r="V24" s="1211">
        <f t="shared" si="21"/>
        <v>0</v>
      </c>
      <c r="W24" s="1211">
        <f t="shared" si="21"/>
        <v>0</v>
      </c>
      <c r="X24" s="3636"/>
      <c r="Y24" s="1974"/>
      <c r="Z24" s="1213">
        <f>D18-D24</f>
        <v>0</v>
      </c>
    </row>
    <row r="25" spans="1:27" ht="26.25" customHeight="1">
      <c r="A25" s="4170" t="s">
        <v>77</v>
      </c>
      <c r="B25" s="1220" t="s">
        <v>442</v>
      </c>
      <c r="C25" s="1221" t="s">
        <v>125</v>
      </c>
      <c r="D25" s="1975"/>
      <c r="E25" s="1976"/>
      <c r="F25" s="1976"/>
      <c r="G25" s="1976"/>
      <c r="H25" s="1976"/>
      <c r="I25" s="1976"/>
      <c r="J25" s="1976"/>
      <c r="K25" s="1976"/>
      <c r="L25" s="1977"/>
      <c r="M25" s="1977"/>
      <c r="N25" s="1977"/>
      <c r="O25" s="1977"/>
      <c r="P25" s="1978"/>
      <c r="Q25" s="1978"/>
      <c r="R25" s="1978"/>
      <c r="S25" s="1978"/>
      <c r="T25" s="1978"/>
      <c r="U25" s="1978"/>
      <c r="V25" s="1978"/>
      <c r="W25" s="1978"/>
      <c r="X25" s="1979"/>
      <c r="Y25" s="4173" t="s">
        <v>439</v>
      </c>
    </row>
    <row r="26" spans="1:27" ht="13.5" customHeight="1">
      <c r="A26" s="4179"/>
      <c r="B26" s="1052" t="s">
        <v>21</v>
      </c>
      <c r="C26" s="1090"/>
      <c r="D26" s="1080">
        <f t="shared" ref="D26:L26" si="22">+D27+D29</f>
        <v>963249</v>
      </c>
      <c r="E26" s="1080">
        <f t="shared" si="22"/>
        <v>0</v>
      </c>
      <c r="F26" s="1080">
        <f t="shared" si="22"/>
        <v>0</v>
      </c>
      <c r="G26" s="1080">
        <f t="shared" si="22"/>
        <v>0</v>
      </c>
      <c r="H26" s="1080">
        <f t="shared" si="22"/>
        <v>0</v>
      </c>
      <c r="I26" s="1080">
        <f t="shared" si="22"/>
        <v>0</v>
      </c>
      <c r="J26" s="1080">
        <f t="shared" si="22"/>
        <v>0</v>
      </c>
      <c r="K26" s="1080">
        <f t="shared" si="22"/>
        <v>0</v>
      </c>
      <c r="L26" s="1080">
        <f t="shared" si="22"/>
        <v>0</v>
      </c>
      <c r="M26" s="1080">
        <f t="shared" ref="M26:S26" si="23">+M27+M29</f>
        <v>0</v>
      </c>
      <c r="N26" s="1080">
        <f t="shared" si="23"/>
        <v>0</v>
      </c>
      <c r="O26" s="1080">
        <f t="shared" si="23"/>
        <v>0</v>
      </c>
      <c r="P26" s="1080">
        <f t="shared" si="23"/>
        <v>187530</v>
      </c>
      <c r="Q26" s="1080">
        <f t="shared" si="23"/>
        <v>386875</v>
      </c>
      <c r="R26" s="1080">
        <f t="shared" si="23"/>
        <v>354673</v>
      </c>
      <c r="S26" s="1080">
        <f t="shared" si="23"/>
        <v>34171</v>
      </c>
      <c r="T26" s="1080"/>
      <c r="U26" s="1080"/>
      <c r="V26" s="1080"/>
      <c r="W26" s="1080"/>
      <c r="X26" s="1073">
        <f>+X27+X29</f>
        <v>775719</v>
      </c>
      <c r="Y26" s="4174"/>
      <c r="Z26" s="1213"/>
      <c r="AA26" s="1213"/>
    </row>
    <row r="27" spans="1:27" ht="13.5" customHeight="1">
      <c r="A27" s="4179"/>
      <c r="B27" s="1980" t="s">
        <v>35</v>
      </c>
      <c r="C27" s="3611" t="s">
        <v>344</v>
      </c>
      <c r="D27" s="1222">
        <f>+D28</f>
        <v>144487</v>
      </c>
      <c r="E27" s="1222">
        <f t="shared" ref="E27:J27" si="24">+E28</f>
        <v>0</v>
      </c>
      <c r="F27" s="1223">
        <f t="shared" si="24"/>
        <v>0</v>
      </c>
      <c r="G27" s="1224">
        <f t="shared" si="24"/>
        <v>0</v>
      </c>
      <c r="H27" s="1222">
        <f t="shared" si="24"/>
        <v>0</v>
      </c>
      <c r="I27" s="1222">
        <f t="shared" si="24"/>
        <v>0</v>
      </c>
      <c r="J27" s="1222">
        <f t="shared" si="24"/>
        <v>0</v>
      </c>
      <c r="K27" s="1224">
        <f t="shared" ref="K27:S27" si="25">+K28</f>
        <v>0</v>
      </c>
      <c r="L27" s="1224">
        <f t="shared" si="25"/>
        <v>0</v>
      </c>
      <c r="M27" s="1224">
        <f t="shared" si="25"/>
        <v>0</v>
      </c>
      <c r="N27" s="1224">
        <f t="shared" si="25"/>
        <v>0</v>
      </c>
      <c r="O27" s="1224">
        <f t="shared" si="25"/>
        <v>0</v>
      </c>
      <c r="P27" s="1074">
        <f t="shared" si="25"/>
        <v>28129</v>
      </c>
      <c r="Q27" s="1074">
        <f t="shared" si="25"/>
        <v>58031</v>
      </c>
      <c r="R27" s="1074">
        <f t="shared" si="25"/>
        <v>53201</v>
      </c>
      <c r="S27" s="1074">
        <f t="shared" si="25"/>
        <v>5126</v>
      </c>
      <c r="T27" s="1074"/>
      <c r="U27" s="1074"/>
      <c r="V27" s="1074"/>
      <c r="W27" s="1074"/>
      <c r="X27" s="1087">
        <f>+X28</f>
        <v>116358</v>
      </c>
      <c r="Y27" s="4175"/>
    </row>
    <row r="28" spans="1:27" ht="13.5" customHeight="1">
      <c r="A28" s="4179"/>
      <c r="B28" s="1981" t="s">
        <v>23</v>
      </c>
      <c r="C28" s="4177"/>
      <c r="D28" s="325">
        <f>M28+P28+Q28+R28+S28+T28+U28+V28+W28</f>
        <v>144487</v>
      </c>
      <c r="E28" s="1075">
        <v>0</v>
      </c>
      <c r="F28" s="1058"/>
      <c r="G28" s="1058"/>
      <c r="H28" s="1075"/>
      <c r="I28" s="1075">
        <v>0</v>
      </c>
      <c r="J28" s="1075">
        <v>0</v>
      </c>
      <c r="K28" s="1075">
        <v>0</v>
      </c>
      <c r="L28" s="1075">
        <v>0</v>
      </c>
      <c r="M28" s="387">
        <f>+E28+I28+J28+K28+L28+N28+O28</f>
        <v>0</v>
      </c>
      <c r="N28" s="1075">
        <v>0</v>
      </c>
      <c r="O28" s="1075">
        <v>0</v>
      </c>
      <c r="P28" s="1058">
        <v>28129</v>
      </c>
      <c r="Q28" s="1058">
        <v>58031</v>
      </c>
      <c r="R28" s="1058">
        <v>53201</v>
      </c>
      <c r="S28" s="1058">
        <v>5126</v>
      </c>
      <c r="T28" s="1058"/>
      <c r="U28" s="1058"/>
      <c r="V28" s="1058"/>
      <c r="W28" s="1058"/>
      <c r="X28" s="1179">
        <f>SUM(Q28:W28)</f>
        <v>116358</v>
      </c>
      <c r="Y28" s="4175"/>
    </row>
    <row r="29" spans="1:27" ht="13.5" customHeight="1">
      <c r="A29" s="4179"/>
      <c r="B29" s="1982" t="s">
        <v>29</v>
      </c>
      <c r="C29" s="4177"/>
      <c r="D29" s="1225">
        <f t="shared" ref="D29:X29" si="26">+D30</f>
        <v>818762</v>
      </c>
      <c r="E29" s="1225">
        <f t="shared" si="26"/>
        <v>0</v>
      </c>
      <c r="F29" s="1225">
        <f t="shared" si="26"/>
        <v>0</v>
      </c>
      <c r="G29" s="1225">
        <f t="shared" si="26"/>
        <v>0</v>
      </c>
      <c r="H29" s="1225">
        <f t="shared" si="26"/>
        <v>0</v>
      </c>
      <c r="I29" s="1222">
        <f t="shared" si="26"/>
        <v>0</v>
      </c>
      <c r="J29" s="1222">
        <f t="shared" si="26"/>
        <v>0</v>
      </c>
      <c r="K29" s="1224">
        <f t="shared" si="26"/>
        <v>0</v>
      </c>
      <c r="L29" s="1222">
        <f t="shared" si="26"/>
        <v>0</v>
      </c>
      <c r="M29" s="1222">
        <f t="shared" si="26"/>
        <v>0</v>
      </c>
      <c r="N29" s="1222">
        <f t="shared" si="26"/>
        <v>0</v>
      </c>
      <c r="O29" s="1222">
        <f t="shared" si="26"/>
        <v>0</v>
      </c>
      <c r="P29" s="1226">
        <f>+P30</f>
        <v>159401</v>
      </c>
      <c r="Q29" s="1226">
        <f>+Q30</f>
        <v>328844</v>
      </c>
      <c r="R29" s="1226">
        <f>+R30</f>
        <v>301472</v>
      </c>
      <c r="S29" s="1226">
        <f>+S30</f>
        <v>29045</v>
      </c>
      <c r="T29" s="1226"/>
      <c r="U29" s="1226"/>
      <c r="V29" s="1226"/>
      <c r="W29" s="1226"/>
      <c r="X29" s="1178">
        <f t="shared" si="26"/>
        <v>659361</v>
      </c>
      <c r="Y29" s="4175"/>
    </row>
    <row r="30" spans="1:27" ht="13.5" customHeight="1">
      <c r="A30" s="4179"/>
      <c r="B30" s="1983" t="s">
        <v>31</v>
      </c>
      <c r="C30" s="4177"/>
      <c r="D30" s="325">
        <f>M30+P30+Q30+R30+S30+T30+U30+V30+W30</f>
        <v>818762</v>
      </c>
      <c r="E30" s="1181">
        <v>0</v>
      </c>
      <c r="F30" s="1180">
        <v>0</v>
      </c>
      <c r="G30" s="1180"/>
      <c r="H30" s="1181"/>
      <c r="I30" s="1181">
        <v>0</v>
      </c>
      <c r="J30" s="1181">
        <v>0</v>
      </c>
      <c r="K30" s="1181">
        <v>0</v>
      </c>
      <c r="L30" s="1181">
        <v>0</v>
      </c>
      <c r="M30" s="387">
        <f>+E30+I30+J30+K30+L30+N30+O30</f>
        <v>0</v>
      </c>
      <c r="N30" s="1181">
        <v>0</v>
      </c>
      <c r="O30" s="1181">
        <v>0</v>
      </c>
      <c r="P30" s="1180">
        <v>159401</v>
      </c>
      <c r="Q30" s="1180">
        <v>328844</v>
      </c>
      <c r="R30" s="1180">
        <v>301472</v>
      </c>
      <c r="S30" s="1180">
        <v>29045</v>
      </c>
      <c r="T30" s="1180"/>
      <c r="U30" s="1180"/>
      <c r="V30" s="1180"/>
      <c r="W30" s="1180"/>
      <c r="X30" s="1179">
        <f>SUM(Q30:W30)</f>
        <v>659361</v>
      </c>
      <c r="Y30" s="4175"/>
    </row>
    <row r="31" spans="1:27" ht="13.5" customHeight="1">
      <c r="A31" s="4179"/>
      <c r="B31" s="1052" t="s">
        <v>33</v>
      </c>
      <c r="C31" s="1090"/>
      <c r="D31" s="1984">
        <f>+D32</f>
        <v>818762</v>
      </c>
      <c r="E31" s="1984">
        <f t="shared" ref="E31:P32" si="27">+E32</f>
        <v>0</v>
      </c>
      <c r="F31" s="1984">
        <f t="shared" si="27"/>
        <v>0</v>
      </c>
      <c r="G31" s="1984">
        <f t="shared" si="27"/>
        <v>0</v>
      </c>
      <c r="H31" s="1984">
        <f t="shared" si="27"/>
        <v>0</v>
      </c>
      <c r="I31" s="1984">
        <f t="shared" si="27"/>
        <v>0</v>
      </c>
      <c r="J31" s="1984">
        <f t="shared" si="27"/>
        <v>0</v>
      </c>
      <c r="K31" s="1984">
        <f t="shared" si="27"/>
        <v>0</v>
      </c>
      <c r="L31" s="1984">
        <f t="shared" si="27"/>
        <v>0</v>
      </c>
      <c r="M31" s="1984">
        <f t="shared" si="27"/>
        <v>0</v>
      </c>
      <c r="N31" s="1984">
        <f t="shared" si="27"/>
        <v>0</v>
      </c>
      <c r="O31" s="1984">
        <f t="shared" si="27"/>
        <v>0</v>
      </c>
      <c r="P31" s="1984">
        <f>+P32</f>
        <v>0</v>
      </c>
      <c r="Q31" s="1984">
        <f>+Q32</f>
        <v>159401</v>
      </c>
      <c r="R31" s="1984">
        <f>+R32</f>
        <v>328844</v>
      </c>
      <c r="S31" s="1984">
        <f>+S32</f>
        <v>301472</v>
      </c>
      <c r="T31" s="1984">
        <f>+T32</f>
        <v>29045</v>
      </c>
      <c r="U31" s="1080"/>
      <c r="V31" s="1080"/>
      <c r="W31" s="1080"/>
      <c r="X31" s="4166" t="s">
        <v>75</v>
      </c>
      <c r="Y31" s="4175"/>
    </row>
    <row r="32" spans="1:27" ht="13.5" customHeight="1">
      <c r="A32" s="4179"/>
      <c r="B32" s="1982" t="s">
        <v>29</v>
      </c>
      <c r="C32" s="3724" t="s">
        <v>344</v>
      </c>
      <c r="D32" s="1225">
        <f>+D33</f>
        <v>818762</v>
      </c>
      <c r="E32" s="1225">
        <f t="shared" si="27"/>
        <v>0</v>
      </c>
      <c r="F32" s="1225">
        <f t="shared" si="27"/>
        <v>0</v>
      </c>
      <c r="G32" s="1225">
        <f t="shared" si="27"/>
        <v>0</v>
      </c>
      <c r="H32" s="1225">
        <f t="shared" si="27"/>
        <v>0</v>
      </c>
      <c r="I32" s="1225">
        <f t="shared" si="27"/>
        <v>0</v>
      </c>
      <c r="J32" s="1225">
        <f t="shared" si="27"/>
        <v>0</v>
      </c>
      <c r="K32" s="1225">
        <f t="shared" si="27"/>
        <v>0</v>
      </c>
      <c r="L32" s="1225">
        <f t="shared" si="27"/>
        <v>0</v>
      </c>
      <c r="M32" s="1225">
        <f t="shared" si="27"/>
        <v>0</v>
      </c>
      <c r="N32" s="1225">
        <f t="shared" si="27"/>
        <v>0</v>
      </c>
      <c r="O32" s="1225">
        <f t="shared" si="27"/>
        <v>0</v>
      </c>
      <c r="P32" s="1225">
        <f t="shared" si="27"/>
        <v>0</v>
      </c>
      <c r="Q32" s="1225">
        <f>+Q33</f>
        <v>159401</v>
      </c>
      <c r="R32" s="1225">
        <f>+R33</f>
        <v>328844</v>
      </c>
      <c r="S32" s="1225">
        <f>+S33</f>
        <v>301472</v>
      </c>
      <c r="T32" s="1225">
        <f>+T33</f>
        <v>29045</v>
      </c>
      <c r="U32" s="1225"/>
      <c r="V32" s="1225"/>
      <c r="W32" s="1225"/>
      <c r="X32" s="3635"/>
      <c r="Y32" s="4175"/>
    </row>
    <row r="33" spans="1:29" ht="13.5" customHeight="1" thickBot="1">
      <c r="A33" s="4180"/>
      <c r="B33" s="1983" t="s">
        <v>31</v>
      </c>
      <c r="C33" s="4178"/>
      <c r="D33" s="325">
        <f>M33+P33+Q33+R33+S33+T33+U33+V33+W33</f>
        <v>818762</v>
      </c>
      <c r="E33" s="1227"/>
      <c r="F33" s="1228"/>
      <c r="G33" s="1228"/>
      <c r="H33" s="1228"/>
      <c r="I33" s="1228">
        <v>0</v>
      </c>
      <c r="J33" s="1228">
        <v>0</v>
      </c>
      <c r="K33" s="1228">
        <v>0</v>
      </c>
      <c r="L33" s="1228">
        <v>0</v>
      </c>
      <c r="M33" s="387">
        <f>+E33+I33+J33+K33+L33+N33+O33</f>
        <v>0</v>
      </c>
      <c r="N33" s="1228">
        <v>0</v>
      </c>
      <c r="O33" s="1228">
        <v>0</v>
      </c>
      <c r="P33" s="1229">
        <v>0</v>
      </c>
      <c r="Q33" s="1229">
        <v>159401</v>
      </c>
      <c r="R33" s="1229">
        <v>328844</v>
      </c>
      <c r="S33" s="1229">
        <v>301472</v>
      </c>
      <c r="T33" s="1229">
        <v>29045</v>
      </c>
      <c r="U33" s="1229"/>
      <c r="V33" s="1229"/>
      <c r="W33" s="1229"/>
      <c r="X33" s="3636"/>
      <c r="Y33" s="4176"/>
    </row>
    <row r="34" spans="1:29" ht="37.5" customHeight="1">
      <c r="A34" s="4170" t="s">
        <v>78</v>
      </c>
      <c r="B34" s="1220" t="s">
        <v>475</v>
      </c>
      <c r="C34" s="1221" t="s">
        <v>125</v>
      </c>
      <c r="D34" s="1975"/>
      <c r="E34" s="1976"/>
      <c r="F34" s="1976"/>
      <c r="G34" s="1976"/>
      <c r="H34" s="1976"/>
      <c r="I34" s="1976"/>
      <c r="J34" s="1976"/>
      <c r="K34" s="1976"/>
      <c r="L34" s="1977"/>
      <c r="M34" s="1977"/>
      <c r="N34" s="1977"/>
      <c r="O34" s="1977"/>
      <c r="P34" s="1978"/>
      <c r="Q34" s="1978"/>
      <c r="R34" s="1978"/>
      <c r="S34" s="1978"/>
      <c r="T34" s="1978"/>
      <c r="U34" s="1978"/>
      <c r="V34" s="1978"/>
      <c r="W34" s="1978"/>
      <c r="X34" s="1985"/>
      <c r="Y34" s="4173" t="s">
        <v>439</v>
      </c>
    </row>
    <row r="35" spans="1:29" ht="14.25" customHeight="1">
      <c r="A35" s="4179"/>
      <c r="B35" s="1052" t="s">
        <v>21</v>
      </c>
      <c r="C35" s="1090"/>
      <c r="D35" s="1984">
        <f t="shared" ref="D35:T35" si="28">+D36+D38</f>
        <v>897708</v>
      </c>
      <c r="E35" s="1080">
        <f t="shared" si="28"/>
        <v>0</v>
      </c>
      <c r="F35" s="1080">
        <f t="shared" si="28"/>
        <v>0</v>
      </c>
      <c r="G35" s="1080">
        <f t="shared" si="28"/>
        <v>0</v>
      </c>
      <c r="H35" s="1080">
        <f t="shared" si="28"/>
        <v>0</v>
      </c>
      <c r="I35" s="1080">
        <f t="shared" si="28"/>
        <v>0</v>
      </c>
      <c r="J35" s="1080">
        <f t="shared" si="28"/>
        <v>0</v>
      </c>
      <c r="K35" s="1080">
        <f t="shared" si="28"/>
        <v>0</v>
      </c>
      <c r="L35" s="1080">
        <f t="shared" si="28"/>
        <v>0</v>
      </c>
      <c r="M35" s="1080">
        <f>+M36+M38</f>
        <v>0</v>
      </c>
      <c r="N35" s="1080">
        <f t="shared" si="28"/>
        <v>0</v>
      </c>
      <c r="O35" s="1080">
        <f t="shared" si="28"/>
        <v>0</v>
      </c>
      <c r="P35" s="1080">
        <f t="shared" si="28"/>
        <v>167503</v>
      </c>
      <c r="Q35" s="1080">
        <f>+Q36+Q38</f>
        <v>338993</v>
      </c>
      <c r="R35" s="1080">
        <f t="shared" si="28"/>
        <v>292249</v>
      </c>
      <c r="S35" s="1080">
        <f t="shared" si="28"/>
        <v>41538</v>
      </c>
      <c r="T35" s="1080">
        <f t="shared" si="28"/>
        <v>57425</v>
      </c>
      <c r="U35" s="1080"/>
      <c r="V35" s="1080"/>
      <c r="W35" s="1080"/>
      <c r="X35" s="1073">
        <f>+X36+X38</f>
        <v>730205</v>
      </c>
      <c r="Y35" s="4174"/>
      <c r="Z35" s="1213"/>
      <c r="AA35" s="1213"/>
      <c r="AB35" s="1213"/>
      <c r="AC35" s="1213"/>
    </row>
    <row r="36" spans="1:29" ht="12" customHeight="1">
      <c r="A36" s="4179"/>
      <c r="B36" s="1980" t="s">
        <v>35</v>
      </c>
      <c r="C36" s="3611" t="s">
        <v>486</v>
      </c>
      <c r="D36" s="1986">
        <f>+D37</f>
        <v>134656</v>
      </c>
      <c r="E36" s="1986">
        <f t="shared" ref="E36:J36" si="29">+E37</f>
        <v>0</v>
      </c>
      <c r="F36" s="1986">
        <f t="shared" si="29"/>
        <v>0</v>
      </c>
      <c r="G36" s="1986">
        <f t="shared" si="29"/>
        <v>0</v>
      </c>
      <c r="H36" s="1986">
        <f t="shared" si="29"/>
        <v>0</v>
      </c>
      <c r="I36" s="1986">
        <f t="shared" si="29"/>
        <v>0</v>
      </c>
      <c r="J36" s="1986">
        <f t="shared" si="29"/>
        <v>0</v>
      </c>
      <c r="K36" s="1230">
        <f t="shared" ref="K36:T36" si="30">+K37</f>
        <v>0</v>
      </c>
      <c r="L36" s="1231">
        <f t="shared" si="30"/>
        <v>0</v>
      </c>
      <c r="M36" s="1231">
        <f t="shared" si="30"/>
        <v>0</v>
      </c>
      <c r="N36" s="1230">
        <f t="shared" si="30"/>
        <v>0</v>
      </c>
      <c r="O36" s="1230">
        <f t="shared" si="30"/>
        <v>0</v>
      </c>
      <c r="P36" s="1230">
        <f t="shared" si="30"/>
        <v>25125</v>
      </c>
      <c r="Q36" s="1230">
        <f t="shared" si="30"/>
        <v>50849</v>
      </c>
      <c r="R36" s="1230">
        <f t="shared" si="30"/>
        <v>43837</v>
      </c>
      <c r="S36" s="1230">
        <f t="shared" si="30"/>
        <v>6231</v>
      </c>
      <c r="T36" s="1230">
        <f t="shared" si="30"/>
        <v>8614</v>
      </c>
      <c r="U36" s="1086"/>
      <c r="V36" s="1086"/>
      <c r="W36" s="1086"/>
      <c r="X36" s="1178">
        <f>+X37</f>
        <v>109531</v>
      </c>
      <c r="Y36" s="4175"/>
    </row>
    <row r="37" spans="1:29" ht="12">
      <c r="A37" s="4179"/>
      <c r="B37" s="1981" t="s">
        <v>23</v>
      </c>
      <c r="C37" s="4177"/>
      <c r="D37" s="325">
        <f>M37+P37+Q37+R37+S37+T37+U37+V37+W37</f>
        <v>134656</v>
      </c>
      <c r="E37" s="1075"/>
      <c r="F37" s="1058"/>
      <c r="G37" s="1058"/>
      <c r="H37" s="1075"/>
      <c r="I37" s="1075"/>
      <c r="J37" s="1075"/>
      <c r="K37" s="1075"/>
      <c r="L37" s="1075"/>
      <c r="M37" s="387">
        <f>+E37+I37+J37+K37+L37+N37+O37</f>
        <v>0</v>
      </c>
      <c r="N37" s="1058"/>
      <c r="O37" s="1058">
        <v>0</v>
      </c>
      <c r="P37" s="1058">
        <f>23565+1560</f>
        <v>25125</v>
      </c>
      <c r="Q37" s="1058">
        <f>52409-1560</f>
        <v>50849</v>
      </c>
      <c r="R37" s="1058">
        <v>43837</v>
      </c>
      <c r="S37" s="1058">
        <v>6231</v>
      </c>
      <c r="T37" s="1058">
        <v>8614</v>
      </c>
      <c r="U37" s="1058"/>
      <c r="V37" s="1058"/>
      <c r="W37" s="1058"/>
      <c r="X37" s="1179">
        <f>SUM(Q37:W37)</f>
        <v>109531</v>
      </c>
      <c r="Y37" s="4175"/>
    </row>
    <row r="38" spans="1:29" ht="12">
      <c r="A38" s="4179"/>
      <c r="B38" s="1982" t="s">
        <v>29</v>
      </c>
      <c r="C38" s="4177"/>
      <c r="D38" s="1232">
        <f t="shared" ref="D38:X38" si="31">+D39</f>
        <v>763052</v>
      </c>
      <c r="E38" s="1225">
        <f t="shared" si="31"/>
        <v>0</v>
      </c>
      <c r="F38" s="1225">
        <f t="shared" si="31"/>
        <v>0</v>
      </c>
      <c r="G38" s="1225">
        <f t="shared" si="31"/>
        <v>0</v>
      </c>
      <c r="H38" s="1225">
        <f t="shared" si="31"/>
        <v>0</v>
      </c>
      <c r="I38" s="1222">
        <f t="shared" si="31"/>
        <v>0</v>
      </c>
      <c r="J38" s="1222">
        <f t="shared" si="31"/>
        <v>0</v>
      </c>
      <c r="K38" s="1224">
        <f t="shared" si="31"/>
        <v>0</v>
      </c>
      <c r="L38" s="1222">
        <f t="shared" si="31"/>
        <v>0</v>
      </c>
      <c r="M38" s="1222">
        <f t="shared" si="31"/>
        <v>0</v>
      </c>
      <c r="N38" s="1224">
        <f t="shared" si="31"/>
        <v>0</v>
      </c>
      <c r="O38" s="1224">
        <f t="shared" si="31"/>
        <v>0</v>
      </c>
      <c r="P38" s="1224">
        <f t="shared" si="31"/>
        <v>142378</v>
      </c>
      <c r="Q38" s="1224">
        <f t="shared" si="31"/>
        <v>288144</v>
      </c>
      <c r="R38" s="1224">
        <f t="shared" si="31"/>
        <v>248412</v>
      </c>
      <c r="S38" s="1224">
        <f t="shared" si="31"/>
        <v>35307</v>
      </c>
      <c r="T38" s="1224">
        <f t="shared" si="31"/>
        <v>48811</v>
      </c>
      <c r="U38" s="1223"/>
      <c r="V38" s="1223"/>
      <c r="W38" s="1223"/>
      <c r="X38" s="1178">
        <f t="shared" si="31"/>
        <v>620674</v>
      </c>
      <c r="Y38" s="4175"/>
    </row>
    <row r="39" spans="1:29" ht="12" customHeight="1">
      <c r="A39" s="4179"/>
      <c r="B39" s="1983" t="s">
        <v>31</v>
      </c>
      <c r="C39" s="4177"/>
      <c r="D39" s="325">
        <f>M39+P39+Q39+R39+S39+T39+U39+V39+W39</f>
        <v>763052</v>
      </c>
      <c r="E39" s="1181"/>
      <c r="F39" s="1180"/>
      <c r="G39" s="1180"/>
      <c r="H39" s="1181"/>
      <c r="I39" s="1181"/>
      <c r="J39" s="1181"/>
      <c r="K39" s="1181"/>
      <c r="L39" s="1181"/>
      <c r="M39" s="387">
        <f>+E39+I39+J39+K39+L39+N39+O39</f>
        <v>0</v>
      </c>
      <c r="N39" s="1180"/>
      <c r="O39" s="1180">
        <v>0</v>
      </c>
      <c r="P39" s="1180">
        <f>133538+8840</f>
        <v>142378</v>
      </c>
      <c r="Q39" s="1180">
        <f>296984-8840</f>
        <v>288144</v>
      </c>
      <c r="R39" s="1180">
        <v>248412</v>
      </c>
      <c r="S39" s="1180">
        <v>35307</v>
      </c>
      <c r="T39" s="1180">
        <v>48811</v>
      </c>
      <c r="U39" s="1180"/>
      <c r="V39" s="1180"/>
      <c r="W39" s="1180"/>
      <c r="X39" s="1179">
        <f>SUM(Q39:W39)</f>
        <v>620674</v>
      </c>
      <c r="Y39" s="4175"/>
    </row>
    <row r="40" spans="1:29" ht="13.5" customHeight="1">
      <c r="A40" s="4179"/>
      <c r="B40" s="1049" t="s">
        <v>33</v>
      </c>
      <c r="C40" s="1090"/>
      <c r="D40" s="1984">
        <f>+D41</f>
        <v>763052</v>
      </c>
      <c r="E40" s="1984">
        <f t="shared" ref="E40:T41" si="32">+E41</f>
        <v>0</v>
      </c>
      <c r="F40" s="1984">
        <f t="shared" si="32"/>
        <v>0</v>
      </c>
      <c r="G40" s="1984">
        <f t="shared" si="32"/>
        <v>0</v>
      </c>
      <c r="H40" s="1984">
        <f t="shared" si="32"/>
        <v>0</v>
      </c>
      <c r="I40" s="1984">
        <f t="shared" si="32"/>
        <v>0</v>
      </c>
      <c r="J40" s="1984">
        <f t="shared" si="32"/>
        <v>0</v>
      </c>
      <c r="K40" s="1984">
        <f t="shared" si="32"/>
        <v>0</v>
      </c>
      <c r="L40" s="1984">
        <f t="shared" si="32"/>
        <v>0</v>
      </c>
      <c r="M40" s="1984">
        <f t="shared" si="32"/>
        <v>0</v>
      </c>
      <c r="N40" s="1984">
        <f t="shared" si="32"/>
        <v>0</v>
      </c>
      <c r="O40" s="1984">
        <f t="shared" si="32"/>
        <v>0</v>
      </c>
      <c r="P40" s="1984">
        <f t="shared" si="32"/>
        <v>0</v>
      </c>
      <c r="Q40" s="1984">
        <f t="shared" si="32"/>
        <v>133538</v>
      </c>
      <c r="R40" s="1984">
        <f t="shared" si="32"/>
        <v>296984</v>
      </c>
      <c r="S40" s="1984">
        <f t="shared" si="32"/>
        <v>248412</v>
      </c>
      <c r="T40" s="1984">
        <f t="shared" si="32"/>
        <v>35307</v>
      </c>
      <c r="U40" s="1984">
        <f t="shared" ref="P40:U41" si="33">+U41</f>
        <v>48811</v>
      </c>
      <c r="V40" s="1080"/>
      <c r="W40" s="1080"/>
      <c r="X40" s="4166" t="s">
        <v>75</v>
      </c>
      <c r="Y40" s="4175"/>
    </row>
    <row r="41" spans="1:29" ht="12" customHeight="1">
      <c r="A41" s="4179"/>
      <c r="B41" s="1982" t="s">
        <v>29</v>
      </c>
      <c r="C41" s="3724" t="s">
        <v>252</v>
      </c>
      <c r="D41" s="1232">
        <f>+D42</f>
        <v>763052</v>
      </c>
      <c r="E41" s="1225">
        <f t="shared" si="32"/>
        <v>0</v>
      </c>
      <c r="F41" s="1225">
        <f t="shared" si="32"/>
        <v>0</v>
      </c>
      <c r="G41" s="1225">
        <f t="shared" si="32"/>
        <v>0</v>
      </c>
      <c r="H41" s="1225">
        <f t="shared" si="32"/>
        <v>0</v>
      </c>
      <c r="I41" s="1225">
        <f t="shared" si="32"/>
        <v>0</v>
      </c>
      <c r="J41" s="1225">
        <f t="shared" si="32"/>
        <v>0</v>
      </c>
      <c r="K41" s="1225">
        <f t="shared" si="32"/>
        <v>0</v>
      </c>
      <c r="L41" s="1225">
        <f t="shared" si="32"/>
        <v>0</v>
      </c>
      <c r="M41" s="1225">
        <f t="shared" si="32"/>
        <v>0</v>
      </c>
      <c r="N41" s="1225">
        <f t="shared" si="32"/>
        <v>0</v>
      </c>
      <c r="O41" s="1225">
        <f t="shared" si="32"/>
        <v>0</v>
      </c>
      <c r="P41" s="1225">
        <f t="shared" si="33"/>
        <v>0</v>
      </c>
      <c r="Q41" s="1225">
        <f t="shared" si="33"/>
        <v>133538</v>
      </c>
      <c r="R41" s="1225">
        <f t="shared" si="33"/>
        <v>296984</v>
      </c>
      <c r="S41" s="1225">
        <f t="shared" si="33"/>
        <v>248412</v>
      </c>
      <c r="T41" s="1225">
        <f t="shared" si="33"/>
        <v>35307</v>
      </c>
      <c r="U41" s="1225">
        <f t="shared" si="33"/>
        <v>48811</v>
      </c>
      <c r="V41" s="1225"/>
      <c r="W41" s="1225"/>
      <c r="X41" s="3635"/>
      <c r="Y41" s="4175"/>
    </row>
    <row r="42" spans="1:29" ht="13.5" thickBot="1">
      <c r="A42" s="4180"/>
      <c r="B42" s="1983" t="s">
        <v>31</v>
      </c>
      <c r="C42" s="4178"/>
      <c r="D42" s="325">
        <f>M42+P42+Q42+R42+S42+T42+U42+V42+W42</f>
        <v>763052</v>
      </c>
      <c r="E42" s="963"/>
      <c r="F42" s="1088"/>
      <c r="G42" s="963"/>
      <c r="H42" s="963"/>
      <c r="I42" s="963"/>
      <c r="J42" s="963"/>
      <c r="K42" s="963"/>
      <c r="L42" s="1233"/>
      <c r="M42" s="387">
        <f>+E42+I42+J42+K42+L42+N42+O42</f>
        <v>0</v>
      </c>
      <c r="N42" s="1233"/>
      <c r="O42" s="1233">
        <v>0</v>
      </c>
      <c r="P42" s="1088">
        <v>0</v>
      </c>
      <c r="Q42" s="963">
        <v>133538</v>
      </c>
      <c r="R42" s="963">
        <v>296984</v>
      </c>
      <c r="S42" s="963">
        <v>248412</v>
      </c>
      <c r="T42" s="963">
        <v>35307</v>
      </c>
      <c r="U42" s="963">
        <v>48811</v>
      </c>
      <c r="V42" s="1987"/>
      <c r="W42" s="1987"/>
      <c r="X42" s="3636"/>
      <c r="Y42" s="4176"/>
    </row>
    <row r="43" spans="1:29" ht="36.75" hidden="1" customHeight="1">
      <c r="A43" s="4170" t="s">
        <v>78</v>
      </c>
      <c r="B43" s="1220"/>
      <c r="C43" s="1221" t="s">
        <v>95</v>
      </c>
      <c r="D43" s="1975"/>
      <c r="E43" s="1976"/>
      <c r="F43" s="1976"/>
      <c r="G43" s="1976"/>
      <c r="H43" s="1976"/>
      <c r="I43" s="1976"/>
      <c r="J43" s="1976"/>
      <c r="K43" s="1976"/>
      <c r="L43" s="1977"/>
      <c r="M43" s="1977"/>
      <c r="N43" s="1977"/>
      <c r="O43" s="1977"/>
      <c r="P43" s="1978"/>
      <c r="Q43" s="1978"/>
      <c r="R43" s="1978"/>
      <c r="S43" s="1978"/>
      <c r="T43" s="1978"/>
      <c r="U43" s="1978"/>
      <c r="V43" s="1978"/>
      <c r="W43" s="1978"/>
      <c r="X43" s="1979"/>
      <c r="Y43" s="4173"/>
    </row>
    <row r="44" spans="1:29" ht="15.75" hidden="1" customHeight="1">
      <c r="A44" s="4171"/>
      <c r="B44" s="1052" t="s">
        <v>21</v>
      </c>
      <c r="C44" s="1090"/>
      <c r="D44" s="1984">
        <f t="shared" ref="D44:N44" si="34">+D45+D47</f>
        <v>0</v>
      </c>
      <c r="E44" s="1080">
        <f t="shared" si="34"/>
        <v>0</v>
      </c>
      <c r="F44" s="1080">
        <f t="shared" si="34"/>
        <v>0</v>
      </c>
      <c r="G44" s="1080">
        <f t="shared" si="34"/>
        <v>0</v>
      </c>
      <c r="H44" s="1080">
        <f t="shared" si="34"/>
        <v>0</v>
      </c>
      <c r="I44" s="1080">
        <f t="shared" si="34"/>
        <v>0</v>
      </c>
      <c r="J44" s="1080">
        <f t="shared" si="34"/>
        <v>0</v>
      </c>
      <c r="K44" s="1080">
        <f t="shared" si="34"/>
        <v>0</v>
      </c>
      <c r="L44" s="1080">
        <f t="shared" si="34"/>
        <v>0</v>
      </c>
      <c r="M44" s="1080">
        <f>+M45+M47</f>
        <v>0</v>
      </c>
      <c r="N44" s="1080">
        <f t="shared" si="34"/>
        <v>0</v>
      </c>
      <c r="O44" s="1080">
        <f>+O45+O47</f>
        <v>0</v>
      </c>
      <c r="P44" s="1080"/>
      <c r="Q44" s="1080"/>
      <c r="R44" s="1080"/>
      <c r="S44" s="1080"/>
      <c r="T44" s="1080"/>
      <c r="U44" s="1080"/>
      <c r="V44" s="1080"/>
      <c r="W44" s="1080"/>
      <c r="X44" s="1073">
        <f>+X45+X47</f>
        <v>0</v>
      </c>
      <c r="Y44" s="4174"/>
      <c r="AA44" s="1213"/>
    </row>
    <row r="45" spans="1:29" ht="12.75" hidden="1" customHeight="1">
      <c r="A45" s="4171"/>
      <c r="B45" s="1980" t="s">
        <v>35</v>
      </c>
      <c r="C45" s="3611" t="s">
        <v>251</v>
      </c>
      <c r="D45" s="1986">
        <f>+D46</f>
        <v>0</v>
      </c>
      <c r="E45" s="1986">
        <f t="shared" ref="E45:J45" si="35">+E46</f>
        <v>0</v>
      </c>
      <c r="F45" s="1986">
        <f t="shared" si="35"/>
        <v>0</v>
      </c>
      <c r="G45" s="1986">
        <f t="shared" si="35"/>
        <v>0</v>
      </c>
      <c r="H45" s="1986">
        <f t="shared" si="35"/>
        <v>0</v>
      </c>
      <c r="I45" s="1986">
        <f t="shared" si="35"/>
        <v>0</v>
      </c>
      <c r="J45" s="1986">
        <f t="shared" si="35"/>
        <v>0</v>
      </c>
      <c r="K45" s="1230">
        <f>+K46</f>
        <v>0</v>
      </c>
      <c r="L45" s="1231">
        <f>+L46</f>
        <v>0</v>
      </c>
      <c r="M45" s="1231">
        <f>+M46</f>
        <v>0</v>
      </c>
      <c r="N45" s="1231">
        <f>+N46</f>
        <v>0</v>
      </c>
      <c r="O45" s="1230">
        <f>+O46</f>
        <v>0</v>
      </c>
      <c r="P45" s="1959"/>
      <c r="Q45" s="1959"/>
      <c r="R45" s="1959"/>
      <c r="S45" s="1959"/>
      <c r="T45" s="1959"/>
      <c r="U45" s="1959"/>
      <c r="V45" s="1959"/>
      <c r="W45" s="1959"/>
      <c r="X45" s="1178">
        <f>+X46</f>
        <v>0</v>
      </c>
      <c r="Y45" s="4175"/>
    </row>
    <row r="46" spans="1:29" ht="12.75" hidden="1" customHeight="1">
      <c r="A46" s="4171"/>
      <c r="B46" s="1981" t="s">
        <v>23</v>
      </c>
      <c r="C46" s="4177"/>
      <c r="D46" s="1234">
        <f>L46+N46+O46+P46+Q46</f>
        <v>0</v>
      </c>
      <c r="E46" s="1075">
        <v>0</v>
      </c>
      <c r="F46" s="1058"/>
      <c r="G46" s="1058"/>
      <c r="H46" s="1075"/>
      <c r="I46" s="1075">
        <v>0</v>
      </c>
      <c r="J46" s="1075"/>
      <c r="K46" s="1075"/>
      <c r="L46" s="1075">
        <v>0</v>
      </c>
      <c r="M46" s="1075">
        <v>0</v>
      </c>
      <c r="N46" s="1058">
        <v>0</v>
      </c>
      <c r="O46" s="1058">
        <v>0</v>
      </c>
      <c r="P46" s="1058"/>
      <c r="Q46" s="1058"/>
      <c r="R46" s="1058"/>
      <c r="S46" s="1058"/>
      <c r="T46" s="1058"/>
      <c r="U46" s="268"/>
      <c r="V46" s="268"/>
      <c r="W46" s="268"/>
      <c r="X46" s="1988">
        <f>+O46+P46+Q46+R46</f>
        <v>0</v>
      </c>
      <c r="Y46" s="4175"/>
    </row>
    <row r="47" spans="1:29" ht="12" hidden="1" customHeight="1">
      <c r="A47" s="4171"/>
      <c r="B47" s="1982" t="s">
        <v>29</v>
      </c>
      <c r="C47" s="4177"/>
      <c r="D47" s="1235">
        <f t="shared" ref="D47:X47" si="36">+D48</f>
        <v>0</v>
      </c>
      <c r="E47" s="1225">
        <f t="shared" si="36"/>
        <v>0</v>
      </c>
      <c r="F47" s="1225">
        <f t="shared" si="36"/>
        <v>0</v>
      </c>
      <c r="G47" s="1225">
        <f t="shared" si="36"/>
        <v>0</v>
      </c>
      <c r="H47" s="1225">
        <f t="shared" si="36"/>
        <v>0</v>
      </c>
      <c r="I47" s="1222">
        <f t="shared" si="36"/>
        <v>0</v>
      </c>
      <c r="J47" s="1222">
        <f t="shared" si="36"/>
        <v>0</v>
      </c>
      <c r="K47" s="1224">
        <f t="shared" si="36"/>
        <v>0</v>
      </c>
      <c r="L47" s="1222">
        <f t="shared" si="36"/>
        <v>0</v>
      </c>
      <c r="M47" s="1222">
        <f t="shared" si="36"/>
        <v>0</v>
      </c>
      <c r="N47" s="1222">
        <f t="shared" si="36"/>
        <v>0</v>
      </c>
      <c r="O47" s="1224">
        <f t="shared" si="36"/>
        <v>0</v>
      </c>
      <c r="P47" s="1226"/>
      <c r="Q47" s="1226"/>
      <c r="R47" s="1226"/>
      <c r="S47" s="1226"/>
      <c r="T47" s="1226"/>
      <c r="U47" s="1226"/>
      <c r="V47" s="1226"/>
      <c r="W47" s="1226"/>
      <c r="X47" s="1178">
        <f t="shared" si="36"/>
        <v>0</v>
      </c>
      <c r="Y47" s="4175"/>
    </row>
    <row r="48" spans="1:29" ht="13.5" hidden="1" thickBot="1">
      <c r="A48" s="4171"/>
      <c r="B48" s="1989" t="s">
        <v>32</v>
      </c>
      <c r="C48" s="4177"/>
      <c r="D48" s="1075"/>
      <c r="E48" s="1181"/>
      <c r="F48" s="1180"/>
      <c r="G48" s="1180"/>
      <c r="H48" s="1181"/>
      <c r="I48" s="1181"/>
      <c r="J48" s="1181"/>
      <c r="K48" s="1181"/>
      <c r="L48" s="1181"/>
      <c r="M48" s="1075"/>
      <c r="N48" s="1180"/>
      <c r="O48" s="1180"/>
      <c r="P48" s="1180"/>
      <c r="Q48" s="1180"/>
      <c r="R48" s="1180"/>
      <c r="S48" s="1180"/>
      <c r="T48" s="1180"/>
      <c r="U48" s="1180"/>
      <c r="V48" s="1180"/>
      <c r="W48" s="1180"/>
      <c r="X48" s="1179">
        <f>SUM(P48:T48)</f>
        <v>0</v>
      </c>
      <c r="Y48" s="4175"/>
    </row>
    <row r="49" spans="1:26" ht="15.75" hidden="1" customHeight="1">
      <c r="A49" s="4171"/>
      <c r="B49" s="1049" t="s">
        <v>33</v>
      </c>
      <c r="C49" s="1090"/>
      <c r="D49" s="134">
        <f t="shared" ref="D49:M49" si="37">+D52</f>
        <v>0</v>
      </c>
      <c r="E49" s="1984">
        <f t="shared" si="37"/>
        <v>0</v>
      </c>
      <c r="F49" s="1984">
        <f t="shared" si="37"/>
        <v>0</v>
      </c>
      <c r="G49" s="1984">
        <f t="shared" si="37"/>
        <v>0</v>
      </c>
      <c r="H49" s="1984">
        <f t="shared" si="37"/>
        <v>0</v>
      </c>
      <c r="I49" s="1984">
        <f t="shared" si="37"/>
        <v>0</v>
      </c>
      <c r="J49" s="1984">
        <f t="shared" si="37"/>
        <v>0</v>
      </c>
      <c r="K49" s="1984">
        <f t="shared" si="37"/>
        <v>0</v>
      </c>
      <c r="L49" s="1984">
        <f t="shared" si="37"/>
        <v>0</v>
      </c>
      <c r="M49" s="1984">
        <f t="shared" si="37"/>
        <v>0</v>
      </c>
      <c r="N49" s="1984"/>
      <c r="O49" s="1984"/>
      <c r="P49" s="1984"/>
      <c r="Q49" s="1984"/>
      <c r="R49" s="1080"/>
      <c r="S49" s="1080"/>
      <c r="T49" s="1080"/>
      <c r="U49" s="1080"/>
      <c r="V49" s="1080"/>
      <c r="W49" s="1080"/>
      <c r="X49" s="4166" t="s">
        <v>75</v>
      </c>
      <c r="Y49" s="4175"/>
    </row>
    <row r="50" spans="1:26" ht="15.75" hidden="1" customHeight="1">
      <c r="A50" s="4171"/>
      <c r="B50" s="1236"/>
      <c r="C50" s="1237"/>
      <c r="D50" s="1990"/>
      <c r="E50" s="1991"/>
      <c r="F50" s="1991"/>
      <c r="G50" s="1991"/>
      <c r="H50" s="1991"/>
      <c r="I50" s="1991"/>
      <c r="J50" s="1991"/>
      <c r="K50" s="1991"/>
      <c r="L50" s="1991"/>
      <c r="M50" s="1991"/>
      <c r="N50" s="1991"/>
      <c r="O50" s="1991"/>
      <c r="P50" s="1991"/>
      <c r="Q50" s="1991"/>
      <c r="R50" s="1992"/>
      <c r="S50" s="1992"/>
      <c r="T50" s="1992"/>
      <c r="U50" s="1992"/>
      <c r="V50" s="1992"/>
      <c r="W50" s="1992"/>
      <c r="X50" s="3635"/>
      <c r="Y50" s="4175"/>
    </row>
    <row r="51" spans="1:26" ht="15.75" hidden="1" customHeight="1">
      <c r="A51" s="4171"/>
      <c r="B51" s="1236"/>
      <c r="C51" s="1237"/>
      <c r="D51" s="1990"/>
      <c r="E51" s="1991"/>
      <c r="F51" s="1991"/>
      <c r="G51" s="1991"/>
      <c r="H51" s="1991"/>
      <c r="I51" s="1991"/>
      <c r="J51" s="1991"/>
      <c r="K51" s="1991"/>
      <c r="L51" s="1991"/>
      <c r="M51" s="1991"/>
      <c r="N51" s="1991"/>
      <c r="O51" s="1991"/>
      <c r="P51" s="1991"/>
      <c r="Q51" s="1991"/>
      <c r="R51" s="1992"/>
      <c r="S51" s="1992"/>
      <c r="T51" s="1992"/>
      <c r="U51" s="1992"/>
      <c r="V51" s="1992"/>
      <c r="W51" s="1992"/>
      <c r="X51" s="3635"/>
      <c r="Y51" s="4175"/>
    </row>
    <row r="52" spans="1:26" ht="12" hidden="1" customHeight="1">
      <c r="A52" s="4171"/>
      <c r="B52" s="1982" t="s">
        <v>29</v>
      </c>
      <c r="C52" s="3724" t="s">
        <v>252</v>
      </c>
      <c r="D52" s="1232">
        <f>+D53</f>
        <v>0</v>
      </c>
      <c r="E52" s="1225">
        <f t="shared" ref="E52:M52" si="38">+E53</f>
        <v>0</v>
      </c>
      <c r="F52" s="1225">
        <f t="shared" si="38"/>
        <v>0</v>
      </c>
      <c r="G52" s="1225">
        <f t="shared" si="38"/>
        <v>0</v>
      </c>
      <c r="H52" s="1225">
        <f t="shared" si="38"/>
        <v>0</v>
      </c>
      <c r="I52" s="1225">
        <f t="shared" si="38"/>
        <v>0</v>
      </c>
      <c r="J52" s="1225">
        <f t="shared" si="38"/>
        <v>0</v>
      </c>
      <c r="K52" s="1225">
        <f t="shared" si="38"/>
        <v>0</v>
      </c>
      <c r="L52" s="1225">
        <f t="shared" si="38"/>
        <v>0</v>
      </c>
      <c r="M52" s="1225">
        <f t="shared" si="38"/>
        <v>0</v>
      </c>
      <c r="N52" s="1225"/>
      <c r="O52" s="1225"/>
      <c r="P52" s="1225"/>
      <c r="Q52" s="1225"/>
      <c r="R52" s="1225"/>
      <c r="S52" s="1225"/>
      <c r="T52" s="1225"/>
      <c r="U52" s="1225"/>
      <c r="V52" s="1225"/>
      <c r="W52" s="1225"/>
      <c r="X52" s="3635"/>
      <c r="Y52" s="4175"/>
    </row>
    <row r="53" spans="1:26" ht="13.5" hidden="1" thickBot="1">
      <c r="A53" s="4172"/>
      <c r="B53" s="1989" t="s">
        <v>32</v>
      </c>
      <c r="C53" s="4178"/>
      <c r="D53" s="963"/>
      <c r="E53" s="963"/>
      <c r="F53" s="1088"/>
      <c r="G53" s="963"/>
      <c r="H53" s="963"/>
      <c r="I53" s="963"/>
      <c r="J53" s="963"/>
      <c r="K53" s="963"/>
      <c r="L53" s="1233"/>
      <c r="M53" s="963"/>
      <c r="N53" s="1233"/>
      <c r="O53" s="1233"/>
      <c r="P53" s="1233"/>
      <c r="Q53" s="1233"/>
      <c r="R53" s="1233"/>
      <c r="S53" s="1233"/>
      <c r="T53" s="1233"/>
      <c r="U53" s="1233"/>
      <c r="V53" s="1233"/>
      <c r="W53" s="1233"/>
      <c r="X53" s="3636"/>
      <c r="Y53" s="4176"/>
    </row>
    <row r="54" spans="1:26" s="3230" customFormat="1" ht="15" customHeight="1">
      <c r="A54" s="4167" t="s">
        <v>79</v>
      </c>
      <c r="B54" s="91" t="s">
        <v>386</v>
      </c>
      <c r="C54" s="73" t="s">
        <v>125</v>
      </c>
      <c r="D54" s="1993"/>
      <c r="E54" s="50"/>
      <c r="F54" s="51"/>
      <c r="G54" s="50"/>
      <c r="H54" s="50"/>
      <c r="I54" s="50"/>
      <c r="J54" s="50"/>
      <c r="K54" s="50"/>
      <c r="L54" s="50"/>
      <c r="M54" s="52"/>
      <c r="N54" s="52"/>
      <c r="O54" s="52"/>
      <c r="P54" s="52"/>
      <c r="Q54" s="52"/>
      <c r="R54" s="52"/>
      <c r="S54" s="52"/>
      <c r="T54" s="52"/>
      <c r="U54" s="52"/>
      <c r="V54" s="52"/>
      <c r="W54" s="52"/>
      <c r="X54" s="53"/>
      <c r="Y54" s="3597" t="s">
        <v>409</v>
      </c>
    </row>
    <row r="55" spans="1:26" s="3230" customFormat="1" ht="14.25" customHeight="1">
      <c r="A55" s="4168"/>
      <c r="B55" s="1331" t="s">
        <v>21</v>
      </c>
      <c r="C55" s="1881"/>
      <c r="D55" s="1744">
        <f>+D56+D62</f>
        <v>398692</v>
      </c>
      <c r="E55" s="1744">
        <f t="shared" ref="E55:L55" si="39">+E56+E62</f>
        <v>0</v>
      </c>
      <c r="F55" s="1744">
        <f t="shared" si="39"/>
        <v>0</v>
      </c>
      <c r="G55" s="1744">
        <f t="shared" si="39"/>
        <v>0</v>
      </c>
      <c r="H55" s="1744">
        <f t="shared" si="39"/>
        <v>0</v>
      </c>
      <c r="I55" s="1744">
        <f t="shared" si="39"/>
        <v>0</v>
      </c>
      <c r="J55" s="1744">
        <f t="shared" si="39"/>
        <v>0</v>
      </c>
      <c r="K55" s="1744">
        <f t="shared" si="39"/>
        <v>0</v>
      </c>
      <c r="L55" s="1744">
        <f t="shared" si="39"/>
        <v>0</v>
      </c>
      <c r="M55" s="1744">
        <f>+M56+M62</f>
        <v>42524</v>
      </c>
      <c r="N55" s="1746"/>
      <c r="O55" s="1691">
        <f t="shared" ref="O55:T55" si="40">+O56+O62</f>
        <v>42524</v>
      </c>
      <c r="P55" s="1691">
        <f t="shared" si="40"/>
        <v>45963</v>
      </c>
      <c r="Q55" s="1691">
        <f t="shared" si="40"/>
        <v>101771</v>
      </c>
      <c r="R55" s="1691">
        <f t="shared" si="40"/>
        <v>69478</v>
      </c>
      <c r="S55" s="1691">
        <f t="shared" si="40"/>
        <v>69478</v>
      </c>
      <c r="T55" s="1691">
        <f t="shared" si="40"/>
        <v>69478</v>
      </c>
      <c r="U55" s="1691"/>
      <c r="V55" s="1691"/>
      <c r="W55" s="1691"/>
      <c r="X55" s="1693">
        <f>+X56+X62</f>
        <v>310205</v>
      </c>
      <c r="Y55" s="3598"/>
      <c r="Z55" s="1994"/>
    </row>
    <row r="56" spans="1:26" s="3230" customFormat="1" ht="13.5" customHeight="1">
      <c r="A56" s="4168"/>
      <c r="B56" s="2293" t="s">
        <v>23</v>
      </c>
      <c r="C56" s="3611" t="s">
        <v>179</v>
      </c>
      <c r="D56" s="3443">
        <f>+D57+D61</f>
        <v>100499</v>
      </c>
      <c r="E56" s="3443">
        <f t="shared" ref="E56:M56" si="41">+E57+E61</f>
        <v>0</v>
      </c>
      <c r="F56" s="3443">
        <f t="shared" si="41"/>
        <v>0</v>
      </c>
      <c r="G56" s="3443">
        <f t="shared" si="41"/>
        <v>0</v>
      </c>
      <c r="H56" s="3443">
        <f t="shared" si="41"/>
        <v>0</v>
      </c>
      <c r="I56" s="3443">
        <f t="shared" si="41"/>
        <v>0</v>
      </c>
      <c r="J56" s="3443">
        <f t="shared" si="41"/>
        <v>0</v>
      </c>
      <c r="K56" s="3443">
        <f t="shared" si="41"/>
        <v>0</v>
      </c>
      <c r="L56" s="3443">
        <f t="shared" si="41"/>
        <v>0</v>
      </c>
      <c r="M56" s="3443">
        <f t="shared" si="41"/>
        <v>10707</v>
      </c>
      <c r="N56" s="3443"/>
      <c r="O56" s="3444">
        <f>+O57+O61</f>
        <v>10707</v>
      </c>
      <c r="P56" s="3444">
        <f t="shared" ref="P56:T56" si="42">+P57+P61</f>
        <v>11581</v>
      </c>
      <c r="Q56" s="3444">
        <f t="shared" si="42"/>
        <v>25652</v>
      </c>
      <c r="R56" s="3444">
        <f t="shared" si="42"/>
        <v>17519</v>
      </c>
      <c r="S56" s="3444">
        <f t="shared" si="42"/>
        <v>17520</v>
      </c>
      <c r="T56" s="3444">
        <f t="shared" si="42"/>
        <v>17520</v>
      </c>
      <c r="U56" s="3443"/>
      <c r="V56" s="3443"/>
      <c r="W56" s="3443"/>
      <c r="X56" s="3445">
        <f>+X57+X61</f>
        <v>78211</v>
      </c>
      <c r="Y56" s="3598"/>
    </row>
    <row r="57" spans="1:26" s="3230" customFormat="1" ht="12.75">
      <c r="A57" s="4168"/>
      <c r="B57" s="295" t="s">
        <v>24</v>
      </c>
      <c r="C57" s="3612"/>
      <c r="D57" s="2234">
        <f>M57+P57+Q57+R57+S57+T57+U57+V57+W57</f>
        <v>99397</v>
      </c>
      <c r="E57" s="2234"/>
      <c r="F57" s="2234"/>
      <c r="G57" s="2234"/>
      <c r="H57" s="2234"/>
      <c r="I57" s="2234"/>
      <c r="J57" s="2234"/>
      <c r="K57" s="2234"/>
      <c r="L57" s="2273"/>
      <c r="M57" s="2273">
        <f>+E57+I57+J57+K57+L57+N57+O57</f>
        <v>10606</v>
      </c>
      <c r="N57" s="2273"/>
      <c r="O57" s="3335">
        <f>+O59+O60</f>
        <v>10606</v>
      </c>
      <c r="P57" s="3335">
        <f t="shared" ref="P57:T57" si="43">+P59+P60</f>
        <v>11460</v>
      </c>
      <c r="Q57" s="3335">
        <f t="shared" si="43"/>
        <v>25372</v>
      </c>
      <c r="R57" s="3335">
        <f t="shared" si="43"/>
        <v>17319</v>
      </c>
      <c r="S57" s="3335">
        <f t="shared" si="43"/>
        <v>17320</v>
      </c>
      <c r="T57" s="3335">
        <f t="shared" si="43"/>
        <v>17320</v>
      </c>
      <c r="U57" s="2273"/>
      <c r="V57" s="2273"/>
      <c r="W57" s="2273"/>
      <c r="X57" s="2285">
        <f>SUM(Q57:W57)</f>
        <v>77331</v>
      </c>
      <c r="Y57" s="3598"/>
      <c r="Z57" s="1994">
        <f>D57-D69</f>
        <v>0</v>
      </c>
    </row>
    <row r="58" spans="1:26" s="3230" customFormat="1" ht="12.75" hidden="1">
      <c r="A58" s="4168"/>
      <c r="B58" s="3446" t="s">
        <v>181</v>
      </c>
      <c r="C58" s="3612"/>
      <c r="D58" s="2234"/>
      <c r="E58" s="2300"/>
      <c r="F58" s="3447"/>
      <c r="G58" s="2300"/>
      <c r="H58" s="2300"/>
      <c r="I58" s="2300"/>
      <c r="J58" s="2300"/>
      <c r="K58" s="2300"/>
      <c r="L58" s="1710"/>
      <c r="M58" s="2273"/>
      <c r="N58" s="1710"/>
      <c r="O58" s="1710"/>
      <c r="P58" s="1713"/>
      <c r="Q58" s="1709"/>
      <c r="R58" s="1709"/>
      <c r="S58" s="1709"/>
      <c r="T58" s="1709"/>
      <c r="U58" s="1709"/>
      <c r="V58" s="1709"/>
      <c r="W58" s="1709"/>
      <c r="X58" s="2285"/>
      <c r="Y58" s="3598"/>
      <c r="Z58" s="1994"/>
    </row>
    <row r="59" spans="1:26" s="3230" customFormat="1" ht="12.75" hidden="1">
      <c r="A59" s="4168"/>
      <c r="B59" s="3446" t="s">
        <v>377</v>
      </c>
      <c r="C59" s="3612"/>
      <c r="D59" s="2234"/>
      <c r="E59" s="2300"/>
      <c r="F59" s="3447"/>
      <c r="G59" s="2300"/>
      <c r="H59" s="2300"/>
      <c r="I59" s="2300"/>
      <c r="J59" s="2300"/>
      <c r="K59" s="2300"/>
      <c r="L59" s="1710"/>
      <c r="M59" s="2273"/>
      <c r="N59" s="1710"/>
      <c r="O59" s="1710">
        <v>7399</v>
      </c>
      <c r="P59" s="3248">
        <f>8186+682+1524+217-2452</f>
        <v>8157</v>
      </c>
      <c r="Q59" s="3448">
        <f>8056+671+1501+214+2452</f>
        <v>12894</v>
      </c>
      <c r="R59" s="3448">
        <f>8056+671+1501+214</f>
        <v>10442</v>
      </c>
      <c r="S59" s="3448">
        <f>8057+671+1501+214</f>
        <v>10443</v>
      </c>
      <c r="T59" s="3448">
        <f>8057+671+1501+214</f>
        <v>10443</v>
      </c>
      <c r="U59" s="1709"/>
      <c r="V59" s="1709"/>
      <c r="W59" s="1709"/>
      <c r="X59" s="3449">
        <f>SUM(Q59:T59)</f>
        <v>44222</v>
      </c>
      <c r="Y59" s="3598"/>
      <c r="Z59" s="1994"/>
    </row>
    <row r="60" spans="1:26" s="3230" customFormat="1" ht="12.75" hidden="1">
      <c r="A60" s="4168"/>
      <c r="B60" s="3446" t="s">
        <v>126</v>
      </c>
      <c r="C60" s="3612"/>
      <c r="D60" s="2234"/>
      <c r="E60" s="2300"/>
      <c r="F60" s="3447"/>
      <c r="G60" s="2300"/>
      <c r="H60" s="2300"/>
      <c r="I60" s="2300"/>
      <c r="J60" s="2300"/>
      <c r="K60" s="2300"/>
      <c r="L60" s="1710"/>
      <c r="M60" s="2273"/>
      <c r="N60" s="1710"/>
      <c r="O60" s="1710">
        <v>3207</v>
      </c>
      <c r="P60" s="3248">
        <v>3303</v>
      </c>
      <c r="Q60" s="3248">
        <f>512+979+979+1250+2157+750+250+5601</f>
        <v>12478</v>
      </c>
      <c r="R60" s="3448">
        <f>512+979+979+1250+2407+750</f>
        <v>6877</v>
      </c>
      <c r="S60" s="3448">
        <f>512+979+979+1250+2407+750</f>
        <v>6877</v>
      </c>
      <c r="T60" s="3448">
        <f>512+979+979+1250+2407+750</f>
        <v>6877</v>
      </c>
      <c r="U60" s="1709"/>
      <c r="V60" s="1709"/>
      <c r="W60" s="1709"/>
      <c r="X60" s="3449">
        <f>SUM(Q60:T60)</f>
        <v>33109</v>
      </c>
      <c r="Y60" s="3598"/>
      <c r="Z60" s="1994"/>
    </row>
    <row r="61" spans="1:26" s="3230" customFormat="1" ht="13.5" customHeight="1">
      <c r="A61" s="4168"/>
      <c r="B61" s="2345" t="s">
        <v>23</v>
      </c>
      <c r="C61" s="3612"/>
      <c r="D61" s="2234">
        <f>+O61+P61+Q61+R61+S61+T61</f>
        <v>1102</v>
      </c>
      <c r="E61" s="2300"/>
      <c r="F61" s="3447"/>
      <c r="G61" s="2300"/>
      <c r="H61" s="2300"/>
      <c r="I61" s="2300"/>
      <c r="J61" s="2300"/>
      <c r="K61" s="2300"/>
      <c r="L61" s="1710"/>
      <c r="M61" s="2273">
        <f>+E61+I61+J61+K61+L61+N61+O61</f>
        <v>101</v>
      </c>
      <c r="N61" s="1710"/>
      <c r="O61" s="1710">
        <v>101</v>
      </c>
      <c r="P61" s="1713">
        <f>200-79</f>
        <v>121</v>
      </c>
      <c r="Q61" s="1709">
        <v>280</v>
      </c>
      <c r="R61" s="1709">
        <v>200</v>
      </c>
      <c r="S61" s="1709">
        <v>200</v>
      </c>
      <c r="T61" s="1709">
        <v>200</v>
      </c>
      <c r="U61" s="1709"/>
      <c r="V61" s="1709"/>
      <c r="W61" s="1709"/>
      <c r="X61" s="3449">
        <f>SUM(Q61:T61)</f>
        <v>880</v>
      </c>
      <c r="Y61" s="3598"/>
    </row>
    <row r="62" spans="1:26" s="3230" customFormat="1" ht="13.5" customHeight="1">
      <c r="A62" s="4168"/>
      <c r="B62" s="1388" t="s">
        <v>29</v>
      </c>
      <c r="C62" s="3612"/>
      <c r="D62" s="1284">
        <f>+D63</f>
        <v>298193</v>
      </c>
      <c r="E62" s="1284">
        <f t="shared" ref="E62:M62" si="44">+E63</f>
        <v>0</v>
      </c>
      <c r="F62" s="1284">
        <f t="shared" si="44"/>
        <v>0</v>
      </c>
      <c r="G62" s="1284">
        <f t="shared" si="44"/>
        <v>0</v>
      </c>
      <c r="H62" s="1284">
        <f t="shared" si="44"/>
        <v>0</v>
      </c>
      <c r="I62" s="1284">
        <f t="shared" si="44"/>
        <v>0</v>
      </c>
      <c r="J62" s="1284">
        <f t="shared" si="44"/>
        <v>0</v>
      </c>
      <c r="K62" s="1284">
        <f t="shared" si="44"/>
        <v>0</v>
      </c>
      <c r="L62" s="1284">
        <f t="shared" si="44"/>
        <v>0</v>
      </c>
      <c r="M62" s="1284">
        <f t="shared" si="44"/>
        <v>31817</v>
      </c>
      <c r="N62" s="2268"/>
      <c r="O62" s="2268">
        <f t="shared" ref="O62:T62" si="45">+O63</f>
        <v>31817</v>
      </c>
      <c r="P62" s="2268">
        <f t="shared" si="45"/>
        <v>34382</v>
      </c>
      <c r="Q62" s="2268">
        <f t="shared" si="45"/>
        <v>76119</v>
      </c>
      <c r="R62" s="2268">
        <f t="shared" si="45"/>
        <v>51959</v>
      </c>
      <c r="S62" s="2268">
        <f t="shared" si="45"/>
        <v>51958</v>
      </c>
      <c r="T62" s="2268">
        <f t="shared" si="45"/>
        <v>51958</v>
      </c>
      <c r="U62" s="2268"/>
      <c r="V62" s="2268"/>
      <c r="W62" s="2268"/>
      <c r="X62" s="2269">
        <f>+X63</f>
        <v>231994</v>
      </c>
      <c r="Y62" s="3598"/>
    </row>
    <row r="63" spans="1:26" s="3230" customFormat="1" ht="13.5" customHeight="1">
      <c r="A63" s="4168"/>
      <c r="B63" s="1983" t="s">
        <v>31</v>
      </c>
      <c r="C63" s="3670"/>
      <c r="D63" s="2234">
        <f>M63+P63+Q63+R63+S63+T63+U63+V63+W63</f>
        <v>298193</v>
      </c>
      <c r="E63" s="2300"/>
      <c r="F63" s="3447"/>
      <c r="G63" s="2300"/>
      <c r="H63" s="2300"/>
      <c r="I63" s="2300"/>
      <c r="J63" s="2300"/>
      <c r="K63" s="2300"/>
      <c r="L63" s="2300"/>
      <c r="M63" s="2273">
        <f>+E63+I63+J63+K63+L63+N63+O63</f>
        <v>31817</v>
      </c>
      <c r="N63" s="2301"/>
      <c r="O63" s="2301">
        <f>+O65+O66</f>
        <v>31817</v>
      </c>
      <c r="P63" s="2301">
        <f>SUM(P65:P66)</f>
        <v>34382</v>
      </c>
      <c r="Q63" s="2301">
        <f>SUM(Q65:Q66)</f>
        <v>76119</v>
      </c>
      <c r="R63" s="2301">
        <f>SUM(R65:R66)</f>
        <v>51959</v>
      </c>
      <c r="S63" s="2301">
        <f>SUM(S65:S66)</f>
        <v>51958</v>
      </c>
      <c r="T63" s="2301">
        <f>SUM(T65:T66)</f>
        <v>51958</v>
      </c>
      <c r="U63" s="2314"/>
      <c r="V63" s="2314"/>
      <c r="W63" s="2314"/>
      <c r="X63" s="2285">
        <f>SUM(Q63:W63)</f>
        <v>231994</v>
      </c>
      <c r="Y63" s="3598"/>
      <c r="Z63" s="1994">
        <f>D63-D71</f>
        <v>0</v>
      </c>
    </row>
    <row r="64" spans="1:26" s="1996" customFormat="1" ht="13.5" hidden="1" customHeight="1">
      <c r="A64" s="4168"/>
      <c r="B64" s="3446" t="s">
        <v>181</v>
      </c>
      <c r="C64" s="3450"/>
      <c r="D64" s="3451"/>
      <c r="E64" s="3452"/>
      <c r="F64" s="3447"/>
      <c r="G64" s="3452"/>
      <c r="H64" s="3452"/>
      <c r="I64" s="3452"/>
      <c r="J64" s="3452"/>
      <c r="K64" s="3452"/>
      <c r="L64" s="3452"/>
      <c r="M64" s="3452"/>
      <c r="N64" s="3452"/>
      <c r="O64" s="3452"/>
      <c r="P64" s="3452"/>
      <c r="Q64" s="3452"/>
      <c r="R64" s="3452"/>
      <c r="S64" s="3452"/>
      <c r="T64" s="3452"/>
      <c r="U64" s="3452"/>
      <c r="V64" s="3452"/>
      <c r="W64" s="3452"/>
      <c r="X64" s="3453"/>
      <c r="Y64" s="3598"/>
      <c r="Z64" s="1995"/>
    </row>
    <row r="65" spans="1:26" s="1996" customFormat="1" ht="13.5" hidden="1" customHeight="1">
      <c r="A65" s="4168"/>
      <c r="B65" s="3446" t="s">
        <v>377</v>
      </c>
      <c r="C65" s="3450"/>
      <c r="D65" s="3451"/>
      <c r="E65" s="3452"/>
      <c r="F65" s="3447"/>
      <c r="G65" s="3452"/>
      <c r="H65" s="3452"/>
      <c r="I65" s="3452"/>
      <c r="J65" s="3452"/>
      <c r="K65" s="3452"/>
      <c r="L65" s="3452"/>
      <c r="M65" s="3452"/>
      <c r="N65" s="3452"/>
      <c r="O65" s="3452">
        <v>22195</v>
      </c>
      <c r="P65" s="3452">
        <f>24556+2046+4573+652-7355</f>
        <v>24472</v>
      </c>
      <c r="Q65" s="3452">
        <f>24173+2014+4502+642+7355</f>
        <v>38686</v>
      </c>
      <c r="R65" s="3452">
        <f>24173+2014+4502+642</f>
        <v>31331</v>
      </c>
      <c r="S65" s="3452">
        <f>24172+2014+4502+642</f>
        <v>31330</v>
      </c>
      <c r="T65" s="3452">
        <f>24172+2014+4502+642</f>
        <v>31330</v>
      </c>
      <c r="U65" s="3452"/>
      <c r="V65" s="3452"/>
      <c r="W65" s="3452"/>
      <c r="X65" s="3449">
        <f>SUM(Q65:T65)</f>
        <v>132677</v>
      </c>
      <c r="Y65" s="3598"/>
      <c r="Z65" s="1995"/>
    </row>
    <row r="66" spans="1:26" s="1996" customFormat="1" ht="13.5" hidden="1" customHeight="1">
      <c r="A66" s="4168"/>
      <c r="B66" s="3446" t="s">
        <v>126</v>
      </c>
      <c r="C66" s="3450"/>
      <c r="D66" s="3451"/>
      <c r="E66" s="3452"/>
      <c r="F66" s="3447"/>
      <c r="G66" s="3452"/>
      <c r="H66" s="3452"/>
      <c r="I66" s="3452"/>
      <c r="J66" s="3452"/>
      <c r="K66" s="3452"/>
      <c r="L66" s="3452"/>
      <c r="M66" s="3452"/>
      <c r="N66" s="3452"/>
      <c r="O66" s="3452">
        <v>9622</v>
      </c>
      <c r="P66" s="3452">
        <v>9910</v>
      </c>
      <c r="Q66" s="3452">
        <f>1537+2936+2936+3750+6469+2250+750+16805</f>
        <v>37433</v>
      </c>
      <c r="R66" s="3452">
        <f>1537+2936+2936+3750+7219+2250</f>
        <v>20628</v>
      </c>
      <c r="S66" s="3452">
        <f>1537+2936+2936+3750+7219+2250</f>
        <v>20628</v>
      </c>
      <c r="T66" s="3452">
        <f>1537+2936+2936+3750+7219+2250</f>
        <v>20628</v>
      </c>
      <c r="U66" s="3452"/>
      <c r="V66" s="3452"/>
      <c r="W66" s="3452"/>
      <c r="X66" s="3449">
        <f>SUM(Q66:T66)</f>
        <v>99317</v>
      </c>
      <c r="Y66" s="3598"/>
      <c r="Z66" s="1995"/>
    </row>
    <row r="67" spans="1:26" s="3230" customFormat="1" ht="12.75">
      <c r="A67" s="4168"/>
      <c r="B67" s="1049" t="s">
        <v>33</v>
      </c>
      <c r="C67" s="1881"/>
      <c r="D67" s="1690">
        <f>+D68+D70</f>
        <v>397590</v>
      </c>
      <c r="E67" s="1690">
        <f t="shared" ref="E67:M67" si="46">+E68+E70</f>
        <v>0</v>
      </c>
      <c r="F67" s="1690">
        <f t="shared" si="46"/>
        <v>0</v>
      </c>
      <c r="G67" s="1690">
        <f t="shared" si="46"/>
        <v>0</v>
      </c>
      <c r="H67" s="1690">
        <f t="shared" si="46"/>
        <v>0</v>
      </c>
      <c r="I67" s="1690">
        <f t="shared" si="46"/>
        <v>0</v>
      </c>
      <c r="J67" s="1690">
        <f t="shared" si="46"/>
        <v>0</v>
      </c>
      <c r="K67" s="1690">
        <f t="shared" si="46"/>
        <v>0</v>
      </c>
      <c r="L67" s="1690">
        <f t="shared" si="46"/>
        <v>0</v>
      </c>
      <c r="M67" s="1690">
        <f t="shared" si="46"/>
        <v>0</v>
      </c>
      <c r="N67" s="1690"/>
      <c r="O67" s="1690">
        <f t="shared" ref="O67:U67" si="47">+O68+O70</f>
        <v>0</v>
      </c>
      <c r="P67" s="1690">
        <f t="shared" si="47"/>
        <v>0</v>
      </c>
      <c r="Q67" s="1690">
        <f t="shared" si="47"/>
        <v>113638</v>
      </c>
      <c r="R67" s="1690">
        <f t="shared" si="47"/>
        <v>93438</v>
      </c>
      <c r="S67" s="1690">
        <f t="shared" si="47"/>
        <v>69278</v>
      </c>
      <c r="T67" s="1690">
        <f t="shared" si="47"/>
        <v>69278</v>
      </c>
      <c r="U67" s="1690">
        <f t="shared" si="47"/>
        <v>51958</v>
      </c>
      <c r="V67" s="1691"/>
      <c r="W67" s="1691"/>
      <c r="X67" s="3634" t="s">
        <v>75</v>
      </c>
      <c r="Y67" s="3598"/>
    </row>
    <row r="68" spans="1:26" s="3230" customFormat="1" ht="13.5" customHeight="1">
      <c r="A68" s="4168"/>
      <c r="B68" s="1350" t="s">
        <v>35</v>
      </c>
      <c r="C68" s="3724" t="s">
        <v>179</v>
      </c>
      <c r="D68" s="3454">
        <f>+D69</f>
        <v>99397</v>
      </c>
      <c r="E68" s="3454">
        <f t="shared" ref="E68:M68" si="48">+E69</f>
        <v>0</v>
      </c>
      <c r="F68" s="3454">
        <f t="shared" si="48"/>
        <v>0</v>
      </c>
      <c r="G68" s="3454">
        <f t="shared" si="48"/>
        <v>0</v>
      </c>
      <c r="H68" s="3454">
        <f t="shared" si="48"/>
        <v>0</v>
      </c>
      <c r="I68" s="3454">
        <f t="shared" si="48"/>
        <v>0</v>
      </c>
      <c r="J68" s="3454">
        <f t="shared" si="48"/>
        <v>0</v>
      </c>
      <c r="K68" s="3454">
        <f t="shared" si="48"/>
        <v>0</v>
      </c>
      <c r="L68" s="3454">
        <f t="shared" si="48"/>
        <v>0</v>
      </c>
      <c r="M68" s="3454">
        <f t="shared" si="48"/>
        <v>0</v>
      </c>
      <c r="N68" s="3455"/>
      <c r="O68" s="3455">
        <f t="shared" ref="O68:U68" si="49">+O69</f>
        <v>0</v>
      </c>
      <c r="P68" s="3455">
        <f t="shared" si="49"/>
        <v>0</v>
      </c>
      <c r="Q68" s="3455">
        <f t="shared" si="49"/>
        <v>28409</v>
      </c>
      <c r="R68" s="3455">
        <f t="shared" si="49"/>
        <v>23359</v>
      </c>
      <c r="S68" s="3455">
        <f t="shared" si="49"/>
        <v>17319</v>
      </c>
      <c r="T68" s="3455">
        <f t="shared" si="49"/>
        <v>17320</v>
      </c>
      <c r="U68" s="3455">
        <f t="shared" si="49"/>
        <v>12990</v>
      </c>
      <c r="V68" s="3455"/>
      <c r="W68" s="3455"/>
      <c r="X68" s="3635"/>
      <c r="Y68" s="3598"/>
    </row>
    <row r="69" spans="1:26" s="3230" customFormat="1" ht="12.75">
      <c r="A69" s="4168"/>
      <c r="B69" s="295" t="s">
        <v>24</v>
      </c>
      <c r="C69" s="3741"/>
      <c r="D69" s="2192">
        <f>M69+P69+Q69+R69+S69+T69+U69+V69+W69</f>
        <v>99397</v>
      </c>
      <c r="E69" s="1710"/>
      <c r="F69" s="1709"/>
      <c r="G69" s="1710"/>
      <c r="H69" s="1710"/>
      <c r="I69" s="1710"/>
      <c r="J69" s="1710"/>
      <c r="K69" s="1710"/>
      <c r="L69" s="3456"/>
      <c r="M69" s="2273">
        <f>+E69+I69+J69+K69+L69+N69+O69</f>
        <v>0</v>
      </c>
      <c r="N69" s="3456"/>
      <c r="O69" s="3456"/>
      <c r="P69" s="1709">
        <v>0</v>
      </c>
      <c r="Q69" s="2273">
        <v>28409</v>
      </c>
      <c r="R69" s="2273">
        <f>17319+6040</f>
        <v>23359</v>
      </c>
      <c r="S69" s="2273">
        <v>17319</v>
      </c>
      <c r="T69" s="2273">
        <v>17320</v>
      </c>
      <c r="U69" s="2273">
        <v>12990</v>
      </c>
      <c r="V69" s="3457"/>
      <c r="W69" s="3457"/>
      <c r="X69" s="3635"/>
      <c r="Y69" s="3598"/>
    </row>
    <row r="70" spans="1:26" s="3230" customFormat="1" ht="12.75">
      <c r="A70" s="4168"/>
      <c r="B70" s="3458" t="s">
        <v>29</v>
      </c>
      <c r="C70" s="3741"/>
      <c r="D70" s="3459">
        <f>+D71</f>
        <v>298193</v>
      </c>
      <c r="E70" s="3459">
        <f t="shared" ref="E70:M70" si="50">+E71</f>
        <v>0</v>
      </c>
      <c r="F70" s="3459">
        <f t="shared" si="50"/>
        <v>0</v>
      </c>
      <c r="G70" s="3459">
        <f t="shared" si="50"/>
        <v>0</v>
      </c>
      <c r="H70" s="3459">
        <f t="shared" si="50"/>
        <v>0</v>
      </c>
      <c r="I70" s="3459">
        <f t="shared" si="50"/>
        <v>0</v>
      </c>
      <c r="J70" s="3459">
        <f t="shared" si="50"/>
        <v>0</v>
      </c>
      <c r="K70" s="3459">
        <f t="shared" si="50"/>
        <v>0</v>
      </c>
      <c r="L70" s="3459">
        <f t="shared" si="50"/>
        <v>0</v>
      </c>
      <c r="M70" s="3459">
        <f t="shared" si="50"/>
        <v>0</v>
      </c>
      <c r="N70" s="3459"/>
      <c r="O70" s="3459"/>
      <c r="P70" s="3459">
        <v>0</v>
      </c>
      <c r="Q70" s="3459">
        <f>+Q71</f>
        <v>85229</v>
      </c>
      <c r="R70" s="3459">
        <f>+R71</f>
        <v>70079</v>
      </c>
      <c r="S70" s="3459">
        <f>+S71</f>
        <v>51959</v>
      </c>
      <c r="T70" s="3459">
        <f>+T71</f>
        <v>51958</v>
      </c>
      <c r="U70" s="3459">
        <f>+U71</f>
        <v>38968</v>
      </c>
      <c r="V70" s="3460"/>
      <c r="W70" s="3460"/>
      <c r="X70" s="3635"/>
      <c r="Y70" s="3598"/>
    </row>
    <row r="71" spans="1:26" s="3230" customFormat="1" ht="13.5" thickBot="1">
      <c r="A71" s="4169"/>
      <c r="B71" s="1997" t="s">
        <v>31</v>
      </c>
      <c r="C71" s="4120"/>
      <c r="D71" s="2215">
        <f>M71+P71+Q71+R71+S71+T71+U71+V71+W71</f>
        <v>298193</v>
      </c>
      <c r="E71" s="963"/>
      <c r="F71" s="1088"/>
      <c r="G71" s="963"/>
      <c r="H71" s="963"/>
      <c r="I71" s="963"/>
      <c r="J71" s="963"/>
      <c r="K71" s="963"/>
      <c r="L71" s="1233"/>
      <c r="M71" s="2215">
        <f>+E71+I71+J71+K71+L71+N71+O71</f>
        <v>0</v>
      </c>
      <c r="N71" s="1233"/>
      <c r="O71" s="1233"/>
      <c r="P71" s="1088">
        <v>0</v>
      </c>
      <c r="Q71" s="963">
        <v>85229</v>
      </c>
      <c r="R71" s="963">
        <f>51959+18120</f>
        <v>70079</v>
      </c>
      <c r="S71" s="963">
        <v>51959</v>
      </c>
      <c r="T71" s="963">
        <v>51958</v>
      </c>
      <c r="U71" s="963">
        <v>38968</v>
      </c>
      <c r="V71" s="1987"/>
      <c r="W71" s="1987"/>
      <c r="X71" s="3636"/>
      <c r="Y71" s="3672"/>
    </row>
    <row r="72" spans="1:26" ht="28.5" customHeight="1" thickBot="1">
      <c r="A72" s="248" t="s">
        <v>343</v>
      </c>
      <c r="B72" s="1928"/>
      <c r="C72" s="1928"/>
      <c r="D72" s="1928"/>
      <c r="E72" s="1929"/>
      <c r="F72" s="1998"/>
      <c r="G72" s="1998"/>
      <c r="H72" s="1998"/>
      <c r="I72" s="1999"/>
      <c r="J72" s="1999"/>
      <c r="K72" s="1999"/>
      <c r="L72" s="1999"/>
      <c r="M72" s="1928"/>
      <c r="N72" s="1928"/>
      <c r="O72" s="1928"/>
      <c r="P72" s="1928"/>
      <c r="Q72" s="1928"/>
      <c r="R72" s="1928"/>
      <c r="S72" s="1928"/>
      <c r="T72" s="1928"/>
      <c r="U72" s="1928"/>
      <c r="V72" s="1928"/>
      <c r="W72" s="1928"/>
      <c r="X72" s="1930"/>
      <c r="Y72" s="1931"/>
    </row>
    <row r="73" spans="1:26" ht="15.75" customHeight="1">
      <c r="A73" s="1319"/>
      <c r="B73" s="287" t="s">
        <v>90</v>
      </c>
      <c r="C73" s="288"/>
      <c r="D73" s="289">
        <f>+D74+D75</f>
        <v>107083</v>
      </c>
      <c r="E73" s="289" t="e">
        <f t="shared" ref="E73:Q73" si="51">+E74+E75</f>
        <v>#REF!</v>
      </c>
      <c r="F73" s="567" t="e">
        <f t="shared" si="51"/>
        <v>#REF!</v>
      </c>
      <c r="G73" s="567" t="e">
        <f t="shared" si="51"/>
        <v>#REF!</v>
      </c>
      <c r="H73" s="567" t="e">
        <f t="shared" si="51"/>
        <v>#REF!</v>
      </c>
      <c r="I73" s="568" t="e">
        <f t="shared" si="51"/>
        <v>#REF!</v>
      </c>
      <c r="J73" s="568" t="e">
        <f t="shared" si="51"/>
        <v>#REF!</v>
      </c>
      <c r="K73" s="568" t="e">
        <f t="shared" si="51"/>
        <v>#REF!</v>
      </c>
      <c r="L73" s="568" t="e">
        <f t="shared" si="51"/>
        <v>#REF!</v>
      </c>
      <c r="M73" s="289">
        <f t="shared" si="51"/>
        <v>0</v>
      </c>
      <c r="N73" s="289" t="e">
        <f t="shared" si="51"/>
        <v>#REF!</v>
      </c>
      <c r="O73" s="289">
        <f t="shared" si="51"/>
        <v>0</v>
      </c>
      <c r="P73" s="289">
        <f t="shared" si="51"/>
        <v>27805</v>
      </c>
      <c r="Q73" s="289">
        <f t="shared" si="51"/>
        <v>26855</v>
      </c>
      <c r="R73" s="289">
        <f t="shared" ref="R73:X73" si="52">+R74+R75</f>
        <v>26856</v>
      </c>
      <c r="S73" s="289">
        <f t="shared" si="52"/>
        <v>25567</v>
      </c>
      <c r="T73" s="289">
        <f t="shared" si="52"/>
        <v>0</v>
      </c>
      <c r="U73" s="289">
        <f t="shared" si="52"/>
        <v>0</v>
      </c>
      <c r="V73" s="289">
        <f t="shared" si="52"/>
        <v>0</v>
      </c>
      <c r="W73" s="289">
        <f t="shared" si="52"/>
        <v>0</v>
      </c>
      <c r="X73" s="195">
        <f t="shared" si="52"/>
        <v>79278</v>
      </c>
      <c r="Y73" s="3976" t="s">
        <v>75</v>
      </c>
    </row>
    <row r="74" spans="1:26" ht="16.5" customHeight="1" thickBot="1">
      <c r="A74" s="1319"/>
      <c r="B74" s="279" t="s">
        <v>91</v>
      </c>
      <c r="C74" s="280"/>
      <c r="D74" s="281">
        <f>+D84</f>
        <v>107083</v>
      </c>
      <c r="E74" s="281" t="e">
        <f>+#REF!+E91</f>
        <v>#REF!</v>
      </c>
      <c r="F74" s="569" t="e">
        <f>+#REF!+F91</f>
        <v>#REF!</v>
      </c>
      <c r="G74" s="569" t="e">
        <f>+#REF!+G91</f>
        <v>#REF!</v>
      </c>
      <c r="H74" s="569" t="e">
        <f>+#REF!+H91</f>
        <v>#REF!</v>
      </c>
      <c r="I74" s="570" t="e">
        <f>+#REF!+I91</f>
        <v>#REF!</v>
      </c>
      <c r="J74" s="570" t="e">
        <f>+#REF!+J91</f>
        <v>#REF!</v>
      </c>
      <c r="K74" s="570" t="e">
        <f>+#REF!+K91</f>
        <v>#REF!</v>
      </c>
      <c r="L74" s="570" t="e">
        <f>+#REF!+L91</f>
        <v>#REF!</v>
      </c>
      <c r="M74" s="281">
        <f>+M84</f>
        <v>0</v>
      </c>
      <c r="N74" s="281" t="e">
        <f>+#REF!+N91</f>
        <v>#REF!</v>
      </c>
      <c r="O74" s="281">
        <f t="shared" ref="O74:W74" si="53">+O84</f>
        <v>0</v>
      </c>
      <c r="P74" s="281">
        <f t="shared" si="53"/>
        <v>27805</v>
      </c>
      <c r="Q74" s="281">
        <f t="shared" si="53"/>
        <v>26855</v>
      </c>
      <c r="R74" s="281">
        <f t="shared" si="53"/>
        <v>26856</v>
      </c>
      <c r="S74" s="281">
        <f t="shared" si="53"/>
        <v>25567</v>
      </c>
      <c r="T74" s="281">
        <f t="shared" si="53"/>
        <v>0</v>
      </c>
      <c r="U74" s="281">
        <f t="shared" si="53"/>
        <v>0</v>
      </c>
      <c r="V74" s="281">
        <f t="shared" si="53"/>
        <v>0</v>
      </c>
      <c r="W74" s="281">
        <f t="shared" si="53"/>
        <v>0</v>
      </c>
      <c r="X74" s="1239">
        <f>SUM(Q74:W74)</f>
        <v>79278</v>
      </c>
      <c r="Y74" s="3977"/>
    </row>
    <row r="75" spans="1:26" ht="12.75" hidden="1" thickBot="1">
      <c r="A75" s="1319"/>
      <c r="B75" s="2000" t="s">
        <v>20</v>
      </c>
      <c r="C75" s="280"/>
      <c r="D75" s="281"/>
      <c r="E75" s="281">
        <f>+E84</f>
        <v>0</v>
      </c>
      <c r="F75" s="569">
        <f>F84</f>
        <v>0</v>
      </c>
      <c r="G75" s="569">
        <f>G84</f>
        <v>0</v>
      </c>
      <c r="H75" s="569">
        <f>H84</f>
        <v>0</v>
      </c>
      <c r="I75" s="570">
        <f>+I84</f>
        <v>0</v>
      </c>
      <c r="J75" s="570">
        <f>+J84</f>
        <v>0</v>
      </c>
      <c r="K75" s="570">
        <f>+K84</f>
        <v>0</v>
      </c>
      <c r="L75" s="570">
        <f>+L84</f>
        <v>0</v>
      </c>
      <c r="M75" s="281"/>
      <c r="N75" s="281">
        <f>+N84</f>
        <v>0</v>
      </c>
      <c r="O75" s="281"/>
      <c r="P75" s="281"/>
      <c r="Q75" s="281"/>
      <c r="R75" s="571"/>
      <c r="S75" s="571"/>
      <c r="T75" s="571"/>
      <c r="U75" s="571"/>
      <c r="V75" s="571"/>
      <c r="W75" s="571"/>
      <c r="X75" s="197">
        <f>SUM(P75:T75)</f>
        <v>0</v>
      </c>
      <c r="Y75" s="3977"/>
    </row>
    <row r="76" spans="1:26" ht="15.75" customHeight="1">
      <c r="A76" s="572"/>
      <c r="B76" s="230" t="s">
        <v>21</v>
      </c>
      <c r="C76" s="231"/>
      <c r="D76" s="201">
        <f>+D77</f>
        <v>107083</v>
      </c>
      <c r="E76" s="201">
        <f t="shared" ref="E76:W77" si="54">+E77</f>
        <v>0</v>
      </c>
      <c r="F76" s="469">
        <f t="shared" si="54"/>
        <v>0</v>
      </c>
      <c r="G76" s="469">
        <f t="shared" si="54"/>
        <v>0</v>
      </c>
      <c r="H76" s="469">
        <f t="shared" si="54"/>
        <v>0</v>
      </c>
      <c r="I76" s="470">
        <f t="shared" si="54"/>
        <v>0</v>
      </c>
      <c r="J76" s="470">
        <f t="shared" si="54"/>
        <v>0</v>
      </c>
      <c r="K76" s="470">
        <f t="shared" si="54"/>
        <v>0</v>
      </c>
      <c r="L76" s="470">
        <f t="shared" si="54"/>
        <v>0</v>
      </c>
      <c r="M76" s="201">
        <f t="shared" si="54"/>
        <v>0</v>
      </c>
      <c r="N76" s="201">
        <f t="shared" si="54"/>
        <v>0</v>
      </c>
      <c r="O76" s="201">
        <f t="shared" si="54"/>
        <v>0</v>
      </c>
      <c r="P76" s="201">
        <f t="shared" si="54"/>
        <v>27805</v>
      </c>
      <c r="Q76" s="201">
        <f t="shared" si="54"/>
        <v>26855</v>
      </c>
      <c r="R76" s="201">
        <f t="shared" si="54"/>
        <v>26856</v>
      </c>
      <c r="S76" s="201">
        <f t="shared" si="54"/>
        <v>25567</v>
      </c>
      <c r="T76" s="201">
        <f t="shared" si="54"/>
        <v>0</v>
      </c>
      <c r="U76" s="201">
        <f t="shared" si="54"/>
        <v>0</v>
      </c>
      <c r="V76" s="201">
        <f t="shared" si="54"/>
        <v>0</v>
      </c>
      <c r="W76" s="201">
        <f t="shared" si="54"/>
        <v>0</v>
      </c>
      <c r="X76" s="573">
        <f>+X77</f>
        <v>79278</v>
      </c>
      <c r="Y76" s="3977"/>
    </row>
    <row r="77" spans="1:26" ht="15" customHeight="1">
      <c r="A77" s="252"/>
      <c r="B77" s="202" t="s">
        <v>22</v>
      </c>
      <c r="C77" s="3979" t="s">
        <v>75</v>
      </c>
      <c r="D77" s="1240">
        <f>+D78+D79</f>
        <v>107083</v>
      </c>
      <c r="E77" s="1240">
        <f t="shared" si="54"/>
        <v>0</v>
      </c>
      <c r="F77" s="1241">
        <f t="shared" si="54"/>
        <v>0</v>
      </c>
      <c r="G77" s="1241">
        <f t="shared" si="54"/>
        <v>0</v>
      </c>
      <c r="H77" s="1241">
        <f t="shared" si="54"/>
        <v>0</v>
      </c>
      <c r="I77" s="1242">
        <f t="shared" si="54"/>
        <v>0</v>
      </c>
      <c r="J77" s="1242">
        <f t="shared" si="54"/>
        <v>0</v>
      </c>
      <c r="K77" s="1242">
        <f t="shared" si="54"/>
        <v>0</v>
      </c>
      <c r="L77" s="1242">
        <f t="shared" si="54"/>
        <v>0</v>
      </c>
      <c r="M77" s="1240">
        <f t="shared" si="54"/>
        <v>0</v>
      </c>
      <c r="N77" s="1240">
        <f>+N78+N79</f>
        <v>0</v>
      </c>
      <c r="O77" s="1240">
        <f>+O78+O79</f>
        <v>0</v>
      </c>
      <c r="P77" s="1240">
        <f t="shared" si="54"/>
        <v>27805</v>
      </c>
      <c r="Q77" s="1240">
        <f t="shared" si="54"/>
        <v>26855</v>
      </c>
      <c r="R77" s="1240">
        <f t="shared" si="54"/>
        <v>26856</v>
      </c>
      <c r="S77" s="1240">
        <f t="shared" si="54"/>
        <v>25567</v>
      </c>
      <c r="T77" s="1240">
        <f t="shared" si="54"/>
        <v>0</v>
      </c>
      <c r="U77" s="1240">
        <f t="shared" si="54"/>
        <v>0</v>
      </c>
      <c r="V77" s="1240">
        <f t="shared" si="54"/>
        <v>0</v>
      </c>
      <c r="W77" s="1240">
        <f t="shared" si="54"/>
        <v>0</v>
      </c>
      <c r="X77" s="1243">
        <f>+X78+X79</f>
        <v>79278</v>
      </c>
      <c r="Y77" s="3977"/>
    </row>
    <row r="78" spans="1:26" ht="15" customHeight="1" thickBot="1">
      <c r="A78" s="1934"/>
      <c r="B78" s="205" t="s">
        <v>23</v>
      </c>
      <c r="C78" s="3980"/>
      <c r="D78" s="1244">
        <f>+D86+D89+D93</f>
        <v>107083</v>
      </c>
      <c r="E78" s="1244">
        <f t="shared" ref="E78:L78" si="55">+E86+E89</f>
        <v>0</v>
      </c>
      <c r="F78" s="1245">
        <f t="shared" si="55"/>
        <v>0</v>
      </c>
      <c r="G78" s="1245">
        <f t="shared" si="55"/>
        <v>0</v>
      </c>
      <c r="H78" s="1245">
        <f t="shared" si="55"/>
        <v>0</v>
      </c>
      <c r="I78" s="1246">
        <f t="shared" si="55"/>
        <v>0</v>
      </c>
      <c r="J78" s="1246">
        <f t="shared" si="55"/>
        <v>0</v>
      </c>
      <c r="K78" s="1246">
        <f t="shared" si="55"/>
        <v>0</v>
      </c>
      <c r="L78" s="1246">
        <f t="shared" si="55"/>
        <v>0</v>
      </c>
      <c r="M78" s="1244">
        <f>+M86+M89+M93</f>
        <v>0</v>
      </c>
      <c r="N78" s="1244">
        <f>+N86+N89+N93</f>
        <v>0</v>
      </c>
      <c r="O78" s="1244">
        <f>+O86+O89+O93</f>
        <v>0</v>
      </c>
      <c r="P78" s="1244">
        <f>+P86+P89+P93</f>
        <v>27805</v>
      </c>
      <c r="Q78" s="1244">
        <f t="shared" ref="Q78:W78" si="56">+Q86+Q89</f>
        <v>26855</v>
      </c>
      <c r="R78" s="1244">
        <f t="shared" si="56"/>
        <v>26856</v>
      </c>
      <c r="S78" s="1244">
        <f t="shared" si="56"/>
        <v>25567</v>
      </c>
      <c r="T78" s="1244">
        <f t="shared" si="56"/>
        <v>0</v>
      </c>
      <c r="U78" s="1244">
        <f t="shared" si="56"/>
        <v>0</v>
      </c>
      <c r="V78" s="1244">
        <f t="shared" si="56"/>
        <v>0</v>
      </c>
      <c r="W78" s="1244">
        <f t="shared" si="56"/>
        <v>0</v>
      </c>
      <c r="X78" s="1179">
        <f>SUM(Q78:W78)</f>
        <v>79278</v>
      </c>
      <c r="Y78" s="3977"/>
    </row>
    <row r="79" spans="1:26" ht="12.75" hidden="1" thickBot="1">
      <c r="A79" s="1934"/>
      <c r="B79" s="205" t="s">
        <v>25</v>
      </c>
      <c r="C79" s="4184"/>
      <c r="D79" s="1244">
        <f>+D94</f>
        <v>0</v>
      </c>
      <c r="E79" s="1244">
        <f>+E94</f>
        <v>0</v>
      </c>
      <c r="F79" s="1245">
        <f t="shared" ref="F79:T79" si="57">+F94</f>
        <v>0</v>
      </c>
      <c r="G79" s="1245">
        <f t="shared" si="57"/>
        <v>0</v>
      </c>
      <c r="H79" s="1245">
        <f t="shared" si="57"/>
        <v>0</v>
      </c>
      <c r="I79" s="1246">
        <f t="shared" si="57"/>
        <v>0</v>
      </c>
      <c r="J79" s="1246">
        <f t="shared" si="57"/>
        <v>0</v>
      </c>
      <c r="K79" s="1246">
        <f t="shared" si="57"/>
        <v>0</v>
      </c>
      <c r="L79" s="1246">
        <f t="shared" si="57"/>
        <v>0</v>
      </c>
      <c r="M79" s="1244">
        <f t="shared" si="57"/>
        <v>0</v>
      </c>
      <c r="N79" s="1244">
        <f t="shared" si="57"/>
        <v>0</v>
      </c>
      <c r="O79" s="1244">
        <f t="shared" si="57"/>
        <v>0</v>
      </c>
      <c r="P79" s="1244">
        <f t="shared" si="57"/>
        <v>0</v>
      </c>
      <c r="Q79" s="1244">
        <f t="shared" si="57"/>
        <v>0</v>
      </c>
      <c r="R79" s="1244">
        <f t="shared" si="57"/>
        <v>0</v>
      </c>
      <c r="S79" s="1244">
        <f t="shared" si="57"/>
        <v>0</v>
      </c>
      <c r="T79" s="1244">
        <f t="shared" si="57"/>
        <v>0</v>
      </c>
      <c r="U79" s="1244"/>
      <c r="V79" s="1244"/>
      <c r="W79" s="1244"/>
      <c r="X79" s="1078">
        <f>SUM(P79:W79)</f>
        <v>0</v>
      </c>
      <c r="Y79" s="3977"/>
    </row>
    <row r="80" spans="1:26" ht="12" hidden="1" customHeight="1">
      <c r="A80" s="572"/>
      <c r="B80" s="103" t="s">
        <v>33</v>
      </c>
      <c r="C80" s="116"/>
      <c r="D80" s="251">
        <f>+D81</f>
        <v>0</v>
      </c>
      <c r="E80" s="251">
        <f t="shared" ref="E80:M81" si="58">+E81</f>
        <v>0</v>
      </c>
      <c r="F80" s="579">
        <f t="shared" si="58"/>
        <v>0</v>
      </c>
      <c r="G80" s="579">
        <f t="shared" si="58"/>
        <v>0</v>
      </c>
      <c r="H80" s="579">
        <f t="shared" si="58"/>
        <v>0</v>
      </c>
      <c r="I80" s="580">
        <f t="shared" si="58"/>
        <v>0</v>
      </c>
      <c r="J80" s="580">
        <f t="shared" si="58"/>
        <v>0</v>
      </c>
      <c r="K80" s="580">
        <f t="shared" si="58"/>
        <v>0</v>
      </c>
      <c r="L80" s="580">
        <f t="shared" si="58"/>
        <v>0</v>
      </c>
      <c r="M80" s="251">
        <f t="shared" si="58"/>
        <v>0</v>
      </c>
      <c r="N80" s="251">
        <f>+N81</f>
        <v>0</v>
      </c>
      <c r="O80" s="251">
        <f>+O81</f>
        <v>0</v>
      </c>
      <c r="P80" s="251">
        <f t="shared" ref="P80:T81" si="59">+P81</f>
        <v>0</v>
      </c>
      <c r="Q80" s="251">
        <f t="shared" si="59"/>
        <v>0</v>
      </c>
      <c r="R80" s="251">
        <f t="shared" si="59"/>
        <v>0</v>
      </c>
      <c r="S80" s="251">
        <f t="shared" si="59"/>
        <v>0</v>
      </c>
      <c r="T80" s="251">
        <f t="shared" si="59"/>
        <v>0</v>
      </c>
      <c r="U80" s="251"/>
      <c r="V80" s="251"/>
      <c r="W80" s="251"/>
      <c r="X80" s="3913" t="s">
        <v>75</v>
      </c>
      <c r="Y80" s="3977"/>
    </row>
    <row r="81" spans="1:25" ht="12" hidden="1" customHeight="1">
      <c r="A81" s="572"/>
      <c r="B81" s="202" t="s">
        <v>22</v>
      </c>
      <c r="C81" s="3979" t="s">
        <v>75</v>
      </c>
      <c r="D81" s="1240">
        <f>+D82</f>
        <v>0</v>
      </c>
      <c r="E81" s="1240">
        <f t="shared" si="58"/>
        <v>0</v>
      </c>
      <c r="F81" s="1241">
        <f t="shared" si="58"/>
        <v>0</v>
      </c>
      <c r="G81" s="1241">
        <f t="shared" si="58"/>
        <v>0</v>
      </c>
      <c r="H81" s="1241">
        <f t="shared" si="58"/>
        <v>0</v>
      </c>
      <c r="I81" s="1242">
        <f t="shared" si="58"/>
        <v>0</v>
      </c>
      <c r="J81" s="1242">
        <f t="shared" si="58"/>
        <v>0</v>
      </c>
      <c r="K81" s="1242">
        <f>+K82</f>
        <v>0</v>
      </c>
      <c r="L81" s="1242">
        <f t="shared" si="58"/>
        <v>0</v>
      </c>
      <c r="M81" s="1240">
        <f t="shared" si="58"/>
        <v>0</v>
      </c>
      <c r="N81" s="1240">
        <f>+N82</f>
        <v>0</v>
      </c>
      <c r="O81" s="1240">
        <f>+O82</f>
        <v>0</v>
      </c>
      <c r="P81" s="1240">
        <f t="shared" si="59"/>
        <v>0</v>
      </c>
      <c r="Q81" s="1240">
        <f t="shared" si="59"/>
        <v>0</v>
      </c>
      <c r="R81" s="1240">
        <f t="shared" si="59"/>
        <v>0</v>
      </c>
      <c r="S81" s="1240">
        <f t="shared" si="59"/>
        <v>0</v>
      </c>
      <c r="T81" s="1240">
        <f t="shared" si="59"/>
        <v>0</v>
      </c>
      <c r="U81" s="1240"/>
      <c r="V81" s="1240"/>
      <c r="W81" s="1240"/>
      <c r="X81" s="3914"/>
      <c r="Y81" s="3977"/>
    </row>
    <row r="82" spans="1:25" ht="12.75" hidden="1" customHeight="1" thickBot="1">
      <c r="A82" s="1934"/>
      <c r="B82" s="205" t="s">
        <v>25</v>
      </c>
      <c r="C82" s="3980"/>
      <c r="D82" s="1244">
        <f>+D97</f>
        <v>0</v>
      </c>
      <c r="E82" s="1244">
        <f>+E97</f>
        <v>0</v>
      </c>
      <c r="F82" s="1245">
        <f t="shared" ref="F82:T82" si="60">+F97</f>
        <v>0</v>
      </c>
      <c r="G82" s="1245">
        <f t="shared" si="60"/>
        <v>0</v>
      </c>
      <c r="H82" s="1245">
        <f t="shared" si="60"/>
        <v>0</v>
      </c>
      <c r="I82" s="1246">
        <f t="shared" si="60"/>
        <v>0</v>
      </c>
      <c r="J82" s="1246">
        <f t="shared" si="60"/>
        <v>0</v>
      </c>
      <c r="K82" s="1246">
        <f t="shared" si="60"/>
        <v>0</v>
      </c>
      <c r="L82" s="1246">
        <f t="shared" si="60"/>
        <v>0</v>
      </c>
      <c r="M82" s="1244">
        <f t="shared" si="60"/>
        <v>0</v>
      </c>
      <c r="N82" s="1244">
        <f t="shared" si="60"/>
        <v>0</v>
      </c>
      <c r="O82" s="1244">
        <f t="shared" si="60"/>
        <v>0</v>
      </c>
      <c r="P82" s="1244">
        <f>+P97</f>
        <v>0</v>
      </c>
      <c r="Q82" s="1244">
        <f t="shared" si="60"/>
        <v>0</v>
      </c>
      <c r="R82" s="1244">
        <f t="shared" si="60"/>
        <v>0</v>
      </c>
      <c r="S82" s="1244">
        <f t="shared" si="60"/>
        <v>0</v>
      </c>
      <c r="T82" s="1244">
        <f t="shared" si="60"/>
        <v>0</v>
      </c>
      <c r="U82" s="581"/>
      <c r="V82" s="581"/>
      <c r="W82" s="581"/>
      <c r="X82" s="3915"/>
      <c r="Y82" s="3978"/>
    </row>
    <row r="83" spans="1:25" ht="18" customHeight="1">
      <c r="A83" s="3929" t="s">
        <v>77</v>
      </c>
      <c r="B83" s="582" t="s">
        <v>378</v>
      </c>
      <c r="C83" s="1221" t="s">
        <v>125</v>
      </c>
      <c r="D83" s="2001"/>
      <c r="E83" s="2002"/>
      <c r="F83" s="2003"/>
      <c r="G83" s="2003"/>
      <c r="H83" s="2003"/>
      <c r="I83" s="2004"/>
      <c r="J83" s="2004"/>
      <c r="K83" s="2004"/>
      <c r="L83" s="2004"/>
      <c r="M83" s="2005"/>
      <c r="N83" s="2005"/>
      <c r="O83" s="2005"/>
      <c r="P83" s="2005"/>
      <c r="Q83" s="2005"/>
      <c r="R83" s="2005"/>
      <c r="S83" s="2005"/>
      <c r="T83" s="2005"/>
      <c r="U83" s="2005"/>
      <c r="V83" s="2005"/>
      <c r="W83" s="2005"/>
      <c r="X83" s="501"/>
      <c r="Y83" s="4181" t="s">
        <v>439</v>
      </c>
    </row>
    <row r="84" spans="1:25" ht="17.25" customHeight="1">
      <c r="A84" s="3930"/>
      <c r="B84" s="103" t="s">
        <v>21</v>
      </c>
      <c r="C84" s="2006"/>
      <c r="D84" s="1057">
        <f>+D85</f>
        <v>107083</v>
      </c>
      <c r="E84" s="1057">
        <f t="shared" ref="E84:X85" si="61">+E85</f>
        <v>0</v>
      </c>
      <c r="F84" s="1247">
        <f t="shared" si="61"/>
        <v>0</v>
      </c>
      <c r="G84" s="1247">
        <f t="shared" si="61"/>
        <v>0</v>
      </c>
      <c r="H84" s="1247">
        <f t="shared" si="61"/>
        <v>0</v>
      </c>
      <c r="I84" s="1248">
        <f t="shared" si="61"/>
        <v>0</v>
      </c>
      <c r="J84" s="1248">
        <f t="shared" si="61"/>
        <v>0</v>
      </c>
      <c r="K84" s="1248">
        <f t="shared" si="61"/>
        <v>0</v>
      </c>
      <c r="L84" s="1248">
        <f t="shared" si="61"/>
        <v>0</v>
      </c>
      <c r="M84" s="1057">
        <f t="shared" si="61"/>
        <v>0</v>
      </c>
      <c r="N84" s="1057">
        <f t="shared" si="61"/>
        <v>0</v>
      </c>
      <c r="O84" s="1057">
        <f t="shared" si="61"/>
        <v>0</v>
      </c>
      <c r="P84" s="1057">
        <f t="shared" si="61"/>
        <v>27805</v>
      </c>
      <c r="Q84" s="1057">
        <f t="shared" si="61"/>
        <v>26855</v>
      </c>
      <c r="R84" s="1057">
        <f t="shared" si="61"/>
        <v>26856</v>
      </c>
      <c r="S84" s="1057">
        <f t="shared" si="61"/>
        <v>25567</v>
      </c>
      <c r="T84" s="1249">
        <v>0</v>
      </c>
      <c r="U84" s="1249">
        <v>0</v>
      </c>
      <c r="V84" s="1249">
        <v>0</v>
      </c>
      <c r="W84" s="1249">
        <v>0</v>
      </c>
      <c r="X84" s="1250">
        <f t="shared" si="61"/>
        <v>79278</v>
      </c>
      <c r="Y84" s="4182"/>
    </row>
    <row r="85" spans="1:25" ht="15.75" customHeight="1">
      <c r="A85" s="3930"/>
      <c r="B85" s="1251" t="s">
        <v>35</v>
      </c>
      <c r="C85" s="3992" t="s">
        <v>344</v>
      </c>
      <c r="D85" s="1252">
        <f>+D86</f>
        <v>107083</v>
      </c>
      <c r="E85" s="1252">
        <f t="shared" si="61"/>
        <v>0</v>
      </c>
      <c r="F85" s="1253">
        <f t="shared" si="61"/>
        <v>0</v>
      </c>
      <c r="G85" s="1253">
        <f t="shared" si="61"/>
        <v>0</v>
      </c>
      <c r="H85" s="1253">
        <f t="shared" si="61"/>
        <v>0</v>
      </c>
      <c r="I85" s="1254">
        <f t="shared" si="61"/>
        <v>0</v>
      </c>
      <c r="J85" s="1254">
        <f t="shared" si="61"/>
        <v>0</v>
      </c>
      <c r="K85" s="1254">
        <f t="shared" si="61"/>
        <v>0</v>
      </c>
      <c r="L85" s="1254">
        <f t="shared" si="61"/>
        <v>0</v>
      </c>
      <c r="M85" s="1252">
        <f t="shared" si="61"/>
        <v>0</v>
      </c>
      <c r="N85" s="1252">
        <f t="shared" si="61"/>
        <v>0</v>
      </c>
      <c r="O85" s="1252">
        <f t="shared" si="61"/>
        <v>0</v>
      </c>
      <c r="P85" s="1252">
        <f t="shared" si="61"/>
        <v>27805</v>
      </c>
      <c r="Q85" s="1252">
        <f t="shared" si="61"/>
        <v>26855</v>
      </c>
      <c r="R85" s="1252">
        <f t="shared" si="61"/>
        <v>26856</v>
      </c>
      <c r="S85" s="1252">
        <f t="shared" si="61"/>
        <v>25567</v>
      </c>
      <c r="T85" s="1255">
        <v>0</v>
      </c>
      <c r="U85" s="1255">
        <v>0</v>
      </c>
      <c r="V85" s="1255">
        <v>0</v>
      </c>
      <c r="W85" s="1255">
        <v>0</v>
      </c>
      <c r="X85" s="1256">
        <f t="shared" si="61"/>
        <v>79278</v>
      </c>
      <c r="Y85" s="4182"/>
    </row>
    <row r="86" spans="1:25" ht="15" customHeight="1" thickBot="1">
      <c r="A86" s="3973"/>
      <c r="B86" s="1257" t="s">
        <v>23</v>
      </c>
      <c r="C86" s="3905"/>
      <c r="D86" s="2214">
        <f>M86+P86+Q86+R86+S86+T86+U86+V86+W86</f>
        <v>107083</v>
      </c>
      <c r="E86" s="1140">
        <v>0</v>
      </c>
      <c r="F86" s="1259">
        <v>0</v>
      </c>
      <c r="G86" s="1259">
        <v>0</v>
      </c>
      <c r="H86" s="1259">
        <v>0</v>
      </c>
      <c r="I86" s="1260">
        <v>0</v>
      </c>
      <c r="J86" s="1260">
        <v>0</v>
      </c>
      <c r="K86" s="1260">
        <v>0</v>
      </c>
      <c r="L86" s="1260">
        <v>0</v>
      </c>
      <c r="M86" s="2215">
        <f>+E86+I86+J86+K86+L86+N86+O86</f>
        <v>0</v>
      </c>
      <c r="N86" s="1140">
        <v>0</v>
      </c>
      <c r="O86" s="1140">
        <f>2500+17649-20149</f>
        <v>0</v>
      </c>
      <c r="P86" s="1140">
        <v>27805</v>
      </c>
      <c r="Q86" s="1140">
        <v>26855</v>
      </c>
      <c r="R86" s="1140">
        <v>26856</v>
      </c>
      <c r="S86" s="1140">
        <v>25567</v>
      </c>
      <c r="T86" s="1261">
        <v>0</v>
      </c>
      <c r="U86" s="1261">
        <v>0</v>
      </c>
      <c r="V86" s="1261">
        <v>0</v>
      </c>
      <c r="W86" s="1261">
        <v>0</v>
      </c>
      <c r="X86" s="1179">
        <f>SUM(Q86:W86)</f>
        <v>79278</v>
      </c>
      <c r="Y86" s="4183"/>
    </row>
    <row r="87" spans="1:25">
      <c r="P87" s="1214"/>
    </row>
    <row r="88" spans="1:25">
      <c r="P88" s="1214"/>
    </row>
    <row r="89" spans="1:25">
      <c r="P89" s="1214"/>
    </row>
    <row r="90" spans="1:25">
      <c r="P90" s="1214"/>
    </row>
    <row r="91" spans="1:25">
      <c r="P91" s="1214"/>
    </row>
    <row r="92" spans="1:25">
      <c r="P92" s="1214"/>
    </row>
    <row r="93" spans="1:25">
      <c r="P93" s="1214"/>
    </row>
    <row r="94" spans="1:25">
      <c r="P94" s="1214"/>
    </row>
    <row r="95" spans="1:25">
      <c r="P95" s="1214"/>
    </row>
    <row r="96" spans="1:25">
      <c r="P96" s="1214"/>
    </row>
    <row r="97" spans="16:16">
      <c r="P97" s="1214"/>
    </row>
    <row r="98" spans="16:16">
      <c r="P98" s="1214"/>
    </row>
    <row r="99" spans="16:16">
      <c r="P99" s="1214"/>
    </row>
    <row r="100" spans="16:16">
      <c r="P100" s="1214"/>
    </row>
    <row r="101" spans="16:16">
      <c r="P101" s="1214"/>
    </row>
    <row r="102" spans="16:16">
      <c r="P102" s="1214"/>
    </row>
    <row r="103" spans="16:16">
      <c r="P103" s="1214"/>
    </row>
    <row r="104" spans="16:16">
      <c r="P104" s="1214"/>
    </row>
    <row r="105" spans="16:16">
      <c r="P105" s="1214"/>
    </row>
    <row r="106" spans="16:16">
      <c r="P106" s="1214"/>
    </row>
    <row r="107" spans="16:16">
      <c r="P107" s="1214"/>
    </row>
    <row r="108" spans="16:16">
      <c r="P108" s="1214"/>
    </row>
    <row r="109" spans="16:16">
      <c r="P109" s="1214"/>
    </row>
    <row r="110" spans="16:16">
      <c r="P110" s="1214"/>
    </row>
    <row r="111" spans="16:16">
      <c r="P111" s="1214"/>
    </row>
    <row r="112" spans="16:16">
      <c r="P112" s="1214"/>
    </row>
    <row r="113" spans="8:16">
      <c r="H113" s="1214">
        <f>H119+H123</f>
        <v>0</v>
      </c>
      <c r="P113" s="1214"/>
    </row>
    <row r="114" spans="8:16">
      <c r="P114" s="1214"/>
    </row>
    <row r="115" spans="8:16">
      <c r="P115" s="1214"/>
    </row>
    <row r="116" spans="8:16">
      <c r="P116" s="1214"/>
    </row>
    <row r="117" spans="8:16">
      <c r="P117" s="1214"/>
    </row>
    <row r="118" spans="8:16">
      <c r="P118" s="1214"/>
    </row>
    <row r="119" spans="8:16">
      <c r="P119" s="1214"/>
    </row>
    <row r="120" spans="8:16">
      <c r="P120" s="1214"/>
    </row>
    <row r="121" spans="8:16">
      <c r="P121" s="1214"/>
    </row>
    <row r="122" spans="8:16">
      <c r="P122" s="1214"/>
    </row>
    <row r="123" spans="8:16">
      <c r="P123" s="1214"/>
    </row>
    <row r="124" spans="8:16">
      <c r="P124" s="1214"/>
    </row>
    <row r="125" spans="8:16">
      <c r="P125" s="1214"/>
    </row>
    <row r="126" spans="8:16">
      <c r="P126" s="1214"/>
    </row>
    <row r="127" spans="8:16">
      <c r="P127" s="1214"/>
    </row>
    <row r="128" spans="8:16">
      <c r="P128" s="1214"/>
    </row>
    <row r="129" spans="16:16">
      <c r="P129" s="1214"/>
    </row>
    <row r="130" spans="16:16">
      <c r="P130" s="1214"/>
    </row>
    <row r="131" spans="16:16">
      <c r="P131" s="1214"/>
    </row>
    <row r="132" spans="16:16">
      <c r="P132" s="1214"/>
    </row>
    <row r="133" spans="16:16">
      <c r="P133" s="1214"/>
    </row>
    <row r="134" spans="16:16">
      <c r="P134" s="1214"/>
    </row>
    <row r="135" spans="16:16">
      <c r="P135" s="1214"/>
    </row>
    <row r="136" spans="16:16">
      <c r="P136" s="1214"/>
    </row>
    <row r="137" spans="16:16">
      <c r="P137" s="1214"/>
    </row>
    <row r="138" spans="16:16">
      <c r="P138" s="1214"/>
    </row>
    <row r="139" spans="16:16">
      <c r="P139" s="1214"/>
    </row>
    <row r="140" spans="16:16">
      <c r="P140" s="1214"/>
    </row>
    <row r="141" spans="16:16">
      <c r="P141" s="1214"/>
    </row>
    <row r="142" spans="16:16">
      <c r="P142" s="1214"/>
    </row>
    <row r="143" spans="16:16">
      <c r="P143" s="1214"/>
    </row>
    <row r="144" spans="16:16">
      <c r="P144" s="1214"/>
    </row>
    <row r="145" spans="16:16">
      <c r="P145" s="1214"/>
    </row>
    <row r="146" spans="16:16">
      <c r="P146" s="1214"/>
    </row>
    <row r="147" spans="16:16">
      <c r="P147" s="1214"/>
    </row>
    <row r="148" spans="16:16">
      <c r="P148" s="1214"/>
    </row>
    <row r="149" spans="16:16">
      <c r="P149" s="1214"/>
    </row>
    <row r="150" spans="16:16">
      <c r="P150" s="1214"/>
    </row>
    <row r="151" spans="16:16">
      <c r="P151" s="1214"/>
    </row>
    <row r="152" spans="16:16">
      <c r="P152" s="1214"/>
    </row>
    <row r="153" spans="16:16">
      <c r="P153" s="1214"/>
    </row>
    <row r="154" spans="16:16">
      <c r="P154" s="1214"/>
    </row>
    <row r="155" spans="16:16">
      <c r="P155" s="1214"/>
    </row>
    <row r="156" spans="16:16">
      <c r="P156" s="1214"/>
    </row>
    <row r="157" spans="16:16">
      <c r="P157" s="1214"/>
    </row>
    <row r="158" spans="16:16">
      <c r="P158" s="1214"/>
    </row>
    <row r="159" spans="16:16">
      <c r="P159" s="1214"/>
    </row>
    <row r="160" spans="16:16">
      <c r="P160" s="1214"/>
    </row>
    <row r="161" spans="16:16">
      <c r="P161" s="1214"/>
    </row>
    <row r="162" spans="16:16">
      <c r="P162" s="1214"/>
    </row>
    <row r="163" spans="16:16">
      <c r="P163" s="1214"/>
    </row>
    <row r="164" spans="16:16">
      <c r="P164" s="1214"/>
    </row>
    <row r="165" spans="16:16">
      <c r="P165" s="1214"/>
    </row>
    <row r="166" spans="16:16">
      <c r="P166" s="1214"/>
    </row>
    <row r="167" spans="16:16">
      <c r="P167" s="1214"/>
    </row>
    <row r="168" spans="16:16">
      <c r="P168" s="1214"/>
    </row>
    <row r="169" spans="16:16">
      <c r="P169" s="1214"/>
    </row>
    <row r="170" spans="16:16">
      <c r="P170" s="1214"/>
    </row>
    <row r="171" spans="16:16">
      <c r="P171" s="1214"/>
    </row>
    <row r="172" spans="16:16">
      <c r="P172" s="1214"/>
    </row>
    <row r="173" spans="16:16">
      <c r="P173" s="1214"/>
    </row>
    <row r="174" spans="16:16">
      <c r="P174" s="1214"/>
    </row>
    <row r="175" spans="16:16">
      <c r="P175" s="1214"/>
    </row>
    <row r="176" spans="16:16">
      <c r="P176" s="1214"/>
    </row>
    <row r="177" spans="16:16">
      <c r="P177" s="1214"/>
    </row>
    <row r="178" spans="16:16">
      <c r="P178" s="1214"/>
    </row>
    <row r="179" spans="16:16">
      <c r="P179" s="1214"/>
    </row>
    <row r="180" spans="16:16">
      <c r="P180" s="1214"/>
    </row>
    <row r="181" spans="16:16">
      <c r="P181" s="1214"/>
    </row>
    <row r="182" spans="16:16">
      <c r="P182" s="1214"/>
    </row>
    <row r="183" spans="16:16">
      <c r="P183" s="1214"/>
    </row>
    <row r="184" spans="16:16">
      <c r="P184" s="1214"/>
    </row>
    <row r="185" spans="16:16">
      <c r="P185" s="1214"/>
    </row>
    <row r="186" spans="16:16">
      <c r="P186" s="1214"/>
    </row>
    <row r="187" spans="16:16">
      <c r="P187" s="1214"/>
    </row>
    <row r="188" spans="16:16">
      <c r="P188" s="1214"/>
    </row>
    <row r="189" spans="16:16">
      <c r="P189" s="1214"/>
    </row>
    <row r="190" spans="16:16">
      <c r="P190" s="1214"/>
    </row>
    <row r="191" spans="16:16">
      <c r="P191" s="1214"/>
    </row>
    <row r="192" spans="16:16">
      <c r="P192" s="1214"/>
    </row>
    <row r="193" spans="16:16">
      <c r="P193" s="1214"/>
    </row>
    <row r="194" spans="16:16">
      <c r="P194" s="1214"/>
    </row>
    <row r="195" spans="16:16">
      <c r="P195" s="1214"/>
    </row>
    <row r="196" spans="16:16">
      <c r="P196" s="1214"/>
    </row>
    <row r="197" spans="16:16">
      <c r="P197" s="1214"/>
    </row>
    <row r="198" spans="16:16">
      <c r="P198" s="1214"/>
    </row>
    <row r="199" spans="16:16">
      <c r="P199" s="1214"/>
    </row>
    <row r="200" spans="16:16">
      <c r="P200" s="1214"/>
    </row>
    <row r="201" spans="16:16">
      <c r="P201" s="1214"/>
    </row>
    <row r="202" spans="16:16">
      <c r="P202" s="1214"/>
    </row>
    <row r="203" spans="16:16">
      <c r="P203" s="1214"/>
    </row>
    <row r="204" spans="16:16">
      <c r="P204" s="1214"/>
    </row>
    <row r="205" spans="16:16">
      <c r="P205" s="1214"/>
    </row>
    <row r="206" spans="16:16">
      <c r="P206" s="1214"/>
    </row>
    <row r="207" spans="16:16">
      <c r="P207" s="1214"/>
    </row>
    <row r="208" spans="16:16">
      <c r="P208" s="1214"/>
    </row>
    <row r="209" spans="16:16">
      <c r="P209" s="1214"/>
    </row>
    <row r="210" spans="16:16">
      <c r="P210" s="1214"/>
    </row>
    <row r="211" spans="16:16">
      <c r="P211" s="1214"/>
    </row>
    <row r="212" spans="16:16">
      <c r="P212" s="1214"/>
    </row>
    <row r="213" spans="16:16">
      <c r="P213" s="1214"/>
    </row>
    <row r="214" spans="16:16">
      <c r="P214" s="1214"/>
    </row>
    <row r="215" spans="16:16">
      <c r="P215" s="1214"/>
    </row>
    <row r="216" spans="16:16">
      <c r="P216" s="1214"/>
    </row>
    <row r="217" spans="16:16">
      <c r="P217" s="1214"/>
    </row>
    <row r="218" spans="16:16">
      <c r="P218" s="1214"/>
    </row>
    <row r="219" spans="16:16">
      <c r="P219" s="1214"/>
    </row>
    <row r="220" spans="16:16">
      <c r="P220" s="1214"/>
    </row>
    <row r="221" spans="16:16">
      <c r="P221" s="1214"/>
    </row>
    <row r="222" spans="16:16">
      <c r="P222" s="1214"/>
    </row>
    <row r="223" spans="16:16">
      <c r="P223" s="1214"/>
    </row>
    <row r="224" spans="16:16">
      <c r="P224" s="1214"/>
    </row>
    <row r="225" spans="16:16">
      <c r="P225" s="1214"/>
    </row>
    <row r="226" spans="16:16">
      <c r="P226" s="1214"/>
    </row>
    <row r="227" spans="16:16">
      <c r="P227" s="1214"/>
    </row>
    <row r="228" spans="16:16">
      <c r="P228" s="1214"/>
    </row>
    <row r="229" spans="16:16">
      <c r="P229" s="1214"/>
    </row>
    <row r="230" spans="16:16">
      <c r="P230" s="1214"/>
    </row>
    <row r="231" spans="16:16">
      <c r="P231" s="1214"/>
    </row>
    <row r="232" spans="16:16">
      <c r="P232" s="1214"/>
    </row>
    <row r="233" spans="16:16">
      <c r="P233" s="1214"/>
    </row>
    <row r="234" spans="16:16">
      <c r="P234" s="1214"/>
    </row>
    <row r="235" spans="16:16">
      <c r="P235" s="1214"/>
    </row>
    <row r="236" spans="16:16">
      <c r="P236" s="1214"/>
    </row>
    <row r="237" spans="16:16">
      <c r="P237" s="1214"/>
    </row>
    <row r="238" spans="16:16">
      <c r="P238" s="1214"/>
    </row>
    <row r="239" spans="16:16">
      <c r="P239" s="1214"/>
    </row>
    <row r="240" spans="16:16">
      <c r="P240" s="1214"/>
    </row>
    <row r="241" spans="16:16">
      <c r="P241" s="1214"/>
    </row>
    <row r="242" spans="16:16">
      <c r="P242" s="1214"/>
    </row>
    <row r="243" spans="16:16">
      <c r="P243" s="1214"/>
    </row>
    <row r="244" spans="16:16">
      <c r="P244" s="1214"/>
    </row>
    <row r="245" spans="16:16">
      <c r="P245" s="1214"/>
    </row>
    <row r="246" spans="16:16">
      <c r="P246" s="1214"/>
    </row>
    <row r="247" spans="16:16">
      <c r="P247" s="1214"/>
    </row>
    <row r="248" spans="16:16">
      <c r="P248" s="1214"/>
    </row>
    <row r="249" spans="16:16">
      <c r="P249" s="1214"/>
    </row>
    <row r="250" spans="16:16">
      <c r="P250" s="1214"/>
    </row>
    <row r="251" spans="16:16">
      <c r="P251" s="1214"/>
    </row>
    <row r="252" spans="16:16">
      <c r="P252" s="1214"/>
    </row>
    <row r="253" spans="16:16">
      <c r="P253" s="1214"/>
    </row>
    <row r="254" spans="16:16">
      <c r="P254" s="1214"/>
    </row>
    <row r="255" spans="16:16">
      <c r="P255" s="1214"/>
    </row>
    <row r="256" spans="16:16">
      <c r="P256" s="1214"/>
    </row>
    <row r="257" spans="16:16">
      <c r="P257" s="1214"/>
    </row>
    <row r="258" spans="16:16">
      <c r="P258" s="1214"/>
    </row>
    <row r="259" spans="16:16">
      <c r="P259" s="1214"/>
    </row>
    <row r="260" spans="16:16">
      <c r="P260" s="1214"/>
    </row>
    <row r="261" spans="16:16">
      <c r="P261" s="1214"/>
    </row>
    <row r="262" spans="16:16">
      <c r="P262" s="1214"/>
    </row>
    <row r="263" spans="16:16">
      <c r="P263" s="1214"/>
    </row>
    <row r="264" spans="16:16">
      <c r="P264" s="1214"/>
    </row>
    <row r="265" spans="16:16">
      <c r="P265" s="1214"/>
    </row>
    <row r="266" spans="16:16">
      <c r="P266" s="1214"/>
    </row>
    <row r="267" spans="16:16">
      <c r="P267" s="1214"/>
    </row>
    <row r="268" spans="16:16">
      <c r="P268" s="1214"/>
    </row>
    <row r="269" spans="16:16">
      <c r="P269" s="1214"/>
    </row>
    <row r="270" spans="16:16">
      <c r="P270" s="1214"/>
    </row>
    <row r="271" spans="16:16">
      <c r="P271" s="1214"/>
    </row>
    <row r="272" spans="16:16">
      <c r="P272" s="1214"/>
    </row>
    <row r="273" spans="16:16">
      <c r="P273" s="1214"/>
    </row>
    <row r="274" spans="16:16">
      <c r="P274" s="1214"/>
    </row>
    <row r="275" spans="16:16">
      <c r="P275" s="1214"/>
    </row>
    <row r="276" spans="16:16">
      <c r="P276" s="1214"/>
    </row>
    <row r="277" spans="16:16">
      <c r="P277" s="1214"/>
    </row>
    <row r="278" spans="16:16">
      <c r="P278" s="1214"/>
    </row>
    <row r="279" spans="16:16">
      <c r="P279" s="1214"/>
    </row>
    <row r="280" spans="16:16">
      <c r="P280" s="1214"/>
    </row>
    <row r="281" spans="16:16">
      <c r="P281" s="1214"/>
    </row>
    <row r="282" spans="16:16">
      <c r="P282" s="1214"/>
    </row>
    <row r="283" spans="16:16">
      <c r="P283" s="1214"/>
    </row>
    <row r="284" spans="16:16">
      <c r="P284" s="1214"/>
    </row>
    <row r="285" spans="16:16">
      <c r="P285" s="1214"/>
    </row>
    <row r="286" spans="16:16">
      <c r="P286" s="1214"/>
    </row>
    <row r="287" spans="16:16">
      <c r="P287" s="1214"/>
    </row>
    <row r="288" spans="16:16">
      <c r="P288" s="1214"/>
    </row>
    <row r="289" spans="16:16">
      <c r="P289" s="1214"/>
    </row>
    <row r="290" spans="16:16">
      <c r="P290" s="1214"/>
    </row>
    <row r="291" spans="16:16">
      <c r="P291" s="1214"/>
    </row>
    <row r="292" spans="16:16">
      <c r="P292" s="1214"/>
    </row>
    <row r="293" spans="16:16">
      <c r="P293" s="1214"/>
    </row>
    <row r="294" spans="16:16">
      <c r="P294" s="1214"/>
    </row>
    <row r="295" spans="16:16">
      <c r="P295" s="1214"/>
    </row>
    <row r="296" spans="16:16">
      <c r="P296" s="1214"/>
    </row>
    <row r="297" spans="16:16">
      <c r="P297" s="1214"/>
    </row>
    <row r="298" spans="16:16">
      <c r="P298" s="1214"/>
    </row>
    <row r="299" spans="16:16">
      <c r="P299" s="1214"/>
    </row>
    <row r="300" spans="16:16">
      <c r="P300" s="1214"/>
    </row>
    <row r="301" spans="16:16">
      <c r="P301" s="1214"/>
    </row>
    <row r="302" spans="16:16">
      <c r="P302" s="1214"/>
    </row>
    <row r="303" spans="16:16">
      <c r="P303" s="1214"/>
    </row>
    <row r="304" spans="16:16">
      <c r="P304" s="1214"/>
    </row>
    <row r="305" spans="16:16">
      <c r="P305" s="1214"/>
    </row>
    <row r="306" spans="16:16">
      <c r="P306" s="1214"/>
    </row>
    <row r="307" spans="16:16">
      <c r="P307" s="1214"/>
    </row>
    <row r="308" spans="16:16">
      <c r="P308" s="1214"/>
    </row>
    <row r="309" spans="16:16">
      <c r="P309" s="1214"/>
    </row>
    <row r="310" spans="16:16">
      <c r="P310" s="1214"/>
    </row>
    <row r="311" spans="16:16">
      <c r="P311" s="1214"/>
    </row>
    <row r="312" spans="16:16">
      <c r="P312" s="1214"/>
    </row>
    <row r="313" spans="16:16">
      <c r="P313" s="1214"/>
    </row>
    <row r="314" spans="16:16">
      <c r="P314" s="1214"/>
    </row>
    <row r="315" spans="16:16">
      <c r="P315" s="1214"/>
    </row>
    <row r="316" spans="16:16">
      <c r="P316" s="1214"/>
    </row>
    <row r="317" spans="16:16">
      <c r="P317" s="1214"/>
    </row>
    <row r="318" spans="16:16">
      <c r="P318" s="1214"/>
    </row>
    <row r="319" spans="16:16">
      <c r="P319" s="1214"/>
    </row>
    <row r="320" spans="16:16">
      <c r="P320" s="1214"/>
    </row>
    <row r="321" spans="16:16">
      <c r="P321" s="1214"/>
    </row>
    <row r="322" spans="16:16">
      <c r="P322" s="1214"/>
    </row>
    <row r="323" spans="16:16">
      <c r="P323" s="1214"/>
    </row>
    <row r="324" spans="16:16">
      <c r="P324" s="1214"/>
    </row>
    <row r="325" spans="16:16">
      <c r="P325" s="1214"/>
    </row>
    <row r="326" spans="16:16">
      <c r="P326" s="1214"/>
    </row>
    <row r="327" spans="16:16">
      <c r="P327" s="1214"/>
    </row>
    <row r="328" spans="16:16">
      <c r="P328" s="1214"/>
    </row>
    <row r="329" spans="16:16">
      <c r="P329" s="1214"/>
    </row>
    <row r="330" spans="16:16">
      <c r="P330" s="1214"/>
    </row>
    <row r="331" spans="16:16">
      <c r="P331" s="1214"/>
    </row>
    <row r="332" spans="16:16">
      <c r="P332" s="1214"/>
    </row>
    <row r="333" spans="16:16">
      <c r="P333" s="1214"/>
    </row>
    <row r="334" spans="16:16">
      <c r="P334" s="1214"/>
    </row>
    <row r="335" spans="16:16">
      <c r="P335" s="1214"/>
    </row>
    <row r="336" spans="16:16">
      <c r="P336" s="1214"/>
    </row>
    <row r="337" spans="16:16">
      <c r="P337" s="1214"/>
    </row>
    <row r="338" spans="16:16">
      <c r="P338" s="1214"/>
    </row>
    <row r="339" spans="16:16">
      <c r="P339" s="1214"/>
    </row>
    <row r="340" spans="16:16">
      <c r="P340" s="1214"/>
    </row>
    <row r="341" spans="16:16">
      <c r="P341" s="1214"/>
    </row>
    <row r="342" spans="16:16">
      <c r="P342" s="1214"/>
    </row>
    <row r="343" spans="16:16">
      <c r="P343" s="1214"/>
    </row>
    <row r="344" spans="16:16">
      <c r="P344" s="1214"/>
    </row>
    <row r="345" spans="16:16">
      <c r="P345" s="1214"/>
    </row>
    <row r="346" spans="16:16">
      <c r="P346" s="1214"/>
    </row>
    <row r="347" spans="16:16">
      <c r="P347" s="1214"/>
    </row>
    <row r="348" spans="16:16">
      <c r="P348" s="1214"/>
    </row>
    <row r="349" spans="16:16">
      <c r="P349" s="1214"/>
    </row>
    <row r="350" spans="16:16">
      <c r="P350" s="1214"/>
    </row>
    <row r="351" spans="16:16">
      <c r="P351" s="1214"/>
    </row>
    <row r="352" spans="16:16">
      <c r="P352" s="1214"/>
    </row>
    <row r="353" spans="16:16">
      <c r="P353" s="1214"/>
    </row>
    <row r="354" spans="16:16">
      <c r="P354" s="1214"/>
    </row>
    <row r="355" spans="16:16">
      <c r="P355" s="1214"/>
    </row>
    <row r="356" spans="16:16">
      <c r="P356" s="1214"/>
    </row>
    <row r="357" spans="16:16">
      <c r="P357" s="1214"/>
    </row>
    <row r="358" spans="16:16">
      <c r="P358" s="1214"/>
    </row>
    <row r="359" spans="16:16">
      <c r="P359" s="1214"/>
    </row>
    <row r="360" spans="16:16">
      <c r="P360" s="1214"/>
    </row>
    <row r="361" spans="16:16">
      <c r="P361" s="1214"/>
    </row>
    <row r="362" spans="16:16">
      <c r="P362" s="1214"/>
    </row>
    <row r="363" spans="16:16">
      <c r="P363" s="1214"/>
    </row>
    <row r="364" spans="16:16">
      <c r="P364" s="1214"/>
    </row>
    <row r="365" spans="16:16">
      <c r="P365" s="1214"/>
    </row>
    <row r="366" spans="16:16">
      <c r="P366" s="1214"/>
    </row>
    <row r="367" spans="16:16">
      <c r="P367" s="1214"/>
    </row>
    <row r="368" spans="16:16">
      <c r="P368" s="1214"/>
    </row>
    <row r="369" spans="16:16">
      <c r="P369" s="1214"/>
    </row>
    <row r="370" spans="16:16">
      <c r="P370" s="1214"/>
    </row>
    <row r="371" spans="16:16">
      <c r="P371" s="1214"/>
    </row>
    <row r="372" spans="16:16">
      <c r="P372" s="1214"/>
    </row>
    <row r="373" spans="16:16">
      <c r="P373" s="1214"/>
    </row>
    <row r="374" spans="16:16">
      <c r="P374" s="1214"/>
    </row>
    <row r="375" spans="16:16">
      <c r="P375" s="1214"/>
    </row>
    <row r="376" spans="16:16">
      <c r="P376" s="1214"/>
    </row>
    <row r="377" spans="16:16">
      <c r="P377" s="1214"/>
    </row>
    <row r="378" spans="16:16">
      <c r="P378" s="1214"/>
    </row>
    <row r="379" spans="16:16">
      <c r="P379" s="1214"/>
    </row>
    <row r="380" spans="16:16">
      <c r="P380" s="1214"/>
    </row>
    <row r="381" spans="16:16">
      <c r="P381" s="1214"/>
    </row>
    <row r="382" spans="16:16">
      <c r="P382" s="1214"/>
    </row>
    <row r="383" spans="16:16">
      <c r="P383" s="1214"/>
    </row>
    <row r="384" spans="16:16">
      <c r="P384" s="1214"/>
    </row>
    <row r="385" spans="16:16">
      <c r="P385" s="1214"/>
    </row>
    <row r="386" spans="16:16">
      <c r="P386" s="1214"/>
    </row>
    <row r="387" spans="16:16">
      <c r="P387" s="1214"/>
    </row>
    <row r="388" spans="16:16">
      <c r="P388" s="1214"/>
    </row>
    <row r="389" spans="16:16">
      <c r="P389" s="1214"/>
    </row>
    <row r="390" spans="16:16">
      <c r="P390" s="1214"/>
    </row>
    <row r="391" spans="16:16">
      <c r="P391" s="1214"/>
    </row>
    <row r="392" spans="16:16">
      <c r="P392" s="1214"/>
    </row>
    <row r="393" spans="16:16">
      <c r="P393" s="1214"/>
    </row>
    <row r="394" spans="16:16">
      <c r="P394" s="1214"/>
    </row>
    <row r="395" spans="16:16">
      <c r="P395" s="1214"/>
    </row>
    <row r="396" spans="16:16">
      <c r="P396" s="1214"/>
    </row>
    <row r="397" spans="16:16">
      <c r="P397" s="1214"/>
    </row>
    <row r="398" spans="16:16">
      <c r="P398" s="1214"/>
    </row>
    <row r="399" spans="16:16">
      <c r="P399" s="1214"/>
    </row>
    <row r="400" spans="16:16">
      <c r="P400" s="1214"/>
    </row>
    <row r="401" spans="16:16">
      <c r="P401" s="1214"/>
    </row>
    <row r="402" spans="16:16">
      <c r="P402" s="1214"/>
    </row>
    <row r="403" spans="16:16">
      <c r="P403" s="1214"/>
    </row>
    <row r="404" spans="16:16">
      <c r="P404" s="1214"/>
    </row>
    <row r="405" spans="16:16">
      <c r="P405" s="1214"/>
    </row>
    <row r="406" spans="16:16">
      <c r="P406" s="1214"/>
    </row>
    <row r="407" spans="16:16">
      <c r="P407" s="1214"/>
    </row>
    <row r="408" spans="16:16">
      <c r="P408" s="1214"/>
    </row>
    <row r="409" spans="16:16">
      <c r="P409" s="1214"/>
    </row>
    <row r="410" spans="16:16">
      <c r="P410" s="1214"/>
    </row>
    <row r="411" spans="16:16">
      <c r="P411" s="1214"/>
    </row>
    <row r="412" spans="16:16">
      <c r="P412" s="1214"/>
    </row>
    <row r="413" spans="16:16">
      <c r="P413" s="1214"/>
    </row>
    <row r="414" spans="16:16">
      <c r="P414" s="1214"/>
    </row>
    <row r="415" spans="16:16">
      <c r="P415" s="1214"/>
    </row>
    <row r="416" spans="16:16">
      <c r="P416" s="1214"/>
    </row>
    <row r="417" spans="16:16">
      <c r="P417" s="1214"/>
    </row>
    <row r="418" spans="16:16">
      <c r="P418" s="1214"/>
    </row>
    <row r="419" spans="16:16">
      <c r="P419" s="1214"/>
    </row>
    <row r="420" spans="16:16">
      <c r="P420" s="1214"/>
    </row>
    <row r="421" spans="16:16">
      <c r="P421" s="1214"/>
    </row>
    <row r="422" spans="16:16">
      <c r="P422" s="1214"/>
    </row>
    <row r="423" spans="16:16">
      <c r="P423" s="1214"/>
    </row>
    <row r="424" spans="16:16">
      <c r="P424" s="1214"/>
    </row>
    <row r="425" spans="16:16">
      <c r="P425" s="1214"/>
    </row>
    <row r="426" spans="16:16">
      <c r="P426" s="1214"/>
    </row>
    <row r="427" spans="16:16">
      <c r="P427" s="1214"/>
    </row>
    <row r="428" spans="16:16">
      <c r="P428" s="1214"/>
    </row>
    <row r="429" spans="16:16">
      <c r="P429" s="1214"/>
    </row>
    <row r="430" spans="16:16">
      <c r="P430" s="1214"/>
    </row>
    <row r="431" spans="16:16">
      <c r="P431" s="1214"/>
    </row>
    <row r="432" spans="16:16">
      <c r="P432" s="1214"/>
    </row>
    <row r="433" spans="16:16">
      <c r="P433" s="1214"/>
    </row>
    <row r="434" spans="16:16">
      <c r="P434" s="1214"/>
    </row>
    <row r="435" spans="16:16">
      <c r="P435" s="1214"/>
    </row>
    <row r="436" spans="16:16">
      <c r="P436" s="1214"/>
    </row>
    <row r="437" spans="16:16">
      <c r="P437" s="1214"/>
    </row>
    <row r="438" spans="16:16">
      <c r="P438" s="1214"/>
    </row>
    <row r="439" spans="16:16">
      <c r="P439" s="1214"/>
    </row>
    <row r="440" spans="16:16">
      <c r="P440" s="1214"/>
    </row>
    <row r="441" spans="16:16">
      <c r="P441" s="1214"/>
    </row>
    <row r="442" spans="16:16">
      <c r="P442" s="1214"/>
    </row>
    <row r="443" spans="16:16">
      <c r="P443" s="1214"/>
    </row>
    <row r="444" spans="16:16">
      <c r="P444" s="1214"/>
    </row>
    <row r="445" spans="16:16">
      <c r="P445" s="1214"/>
    </row>
    <row r="446" spans="16:16">
      <c r="P446" s="1214"/>
    </row>
    <row r="447" spans="16:16">
      <c r="P447" s="1214"/>
    </row>
    <row r="448" spans="16:16">
      <c r="P448" s="1214"/>
    </row>
    <row r="449" spans="16:16">
      <c r="P449" s="1214"/>
    </row>
    <row r="450" spans="16:16">
      <c r="P450" s="1214"/>
    </row>
    <row r="451" spans="16:16">
      <c r="P451" s="1214"/>
    </row>
    <row r="452" spans="16:16">
      <c r="P452" s="1214"/>
    </row>
    <row r="453" spans="16:16">
      <c r="P453" s="1214"/>
    </row>
    <row r="454" spans="16:16">
      <c r="P454" s="1214"/>
    </row>
    <row r="455" spans="16:16">
      <c r="P455" s="1214"/>
    </row>
    <row r="456" spans="16:16">
      <c r="P456" s="1214"/>
    </row>
    <row r="457" spans="16:16">
      <c r="P457" s="1214"/>
    </row>
    <row r="458" spans="16:16">
      <c r="P458" s="1214"/>
    </row>
    <row r="459" spans="16:16">
      <c r="P459" s="1214"/>
    </row>
    <row r="460" spans="16:16">
      <c r="P460" s="1214"/>
    </row>
    <row r="461" spans="16:16">
      <c r="P461" s="1214"/>
    </row>
    <row r="462" spans="16:16">
      <c r="P462" s="1214"/>
    </row>
    <row r="463" spans="16:16">
      <c r="P463" s="1214"/>
    </row>
    <row r="464" spans="16:16">
      <c r="P464" s="1214"/>
    </row>
    <row r="465" spans="16:16">
      <c r="P465" s="1214"/>
    </row>
    <row r="466" spans="16:16">
      <c r="P466" s="1214"/>
    </row>
    <row r="467" spans="16:16">
      <c r="P467" s="1214"/>
    </row>
    <row r="468" spans="16:16">
      <c r="P468" s="1214"/>
    </row>
    <row r="469" spans="16:16">
      <c r="P469" s="1214"/>
    </row>
    <row r="470" spans="16:16">
      <c r="P470" s="1214"/>
    </row>
    <row r="471" spans="16:16">
      <c r="P471" s="1214"/>
    </row>
    <row r="472" spans="16:16">
      <c r="P472" s="1214"/>
    </row>
    <row r="473" spans="16:16">
      <c r="P473" s="1214"/>
    </row>
  </sheetData>
  <mergeCells count="39">
    <mergeCell ref="A4:Y4"/>
    <mergeCell ref="B5:B7"/>
    <mergeCell ref="C5:C7"/>
    <mergeCell ref="D5:D7"/>
    <mergeCell ref="E5:L6"/>
    <mergeCell ref="Y5:Y7"/>
    <mergeCell ref="X5:X7"/>
    <mergeCell ref="M5:M6"/>
    <mergeCell ref="O5:O6"/>
    <mergeCell ref="P5:P6"/>
    <mergeCell ref="Q5:W6"/>
    <mergeCell ref="A25:A33"/>
    <mergeCell ref="Y25:Y33"/>
    <mergeCell ref="C27:C30"/>
    <mergeCell ref="C32:C33"/>
    <mergeCell ref="X31:X33"/>
    <mergeCell ref="A83:A86"/>
    <mergeCell ref="Y83:Y86"/>
    <mergeCell ref="C85:C86"/>
    <mergeCell ref="Y73:Y82"/>
    <mergeCell ref="C77:C79"/>
    <mergeCell ref="X80:X82"/>
    <mergeCell ref="C81:C82"/>
    <mergeCell ref="X19:X24"/>
    <mergeCell ref="A54:A71"/>
    <mergeCell ref="A43:A53"/>
    <mergeCell ref="Y43:Y53"/>
    <mergeCell ref="C45:C48"/>
    <mergeCell ref="C52:C53"/>
    <mergeCell ref="X49:X53"/>
    <mergeCell ref="X67:X71"/>
    <mergeCell ref="C56:C63"/>
    <mergeCell ref="C68:C71"/>
    <mergeCell ref="Y54:Y71"/>
    <mergeCell ref="A34:A42"/>
    <mergeCell ref="Y34:Y42"/>
    <mergeCell ref="C36:C39"/>
    <mergeCell ref="C41:C42"/>
    <mergeCell ref="X40:X42"/>
  </mergeCells>
  <printOptions horizontalCentered="1"/>
  <pageMargins left="0.31496062992125984" right="0.31496062992125984" top="0.59055118110236227" bottom="0.35433070866141736" header="0.31496062992125984" footer="0.11811023622047245"/>
  <pageSetup paperSize="9" scale="69" firstPageNumber="46" orientation="landscape" useFirstPageNumber="1" r:id="rId1"/>
  <headerFooter>
    <oddHeader>&amp;C&amp;"Arial,Kursywa"Wieloletnia prognoza finansowa Województwa Zachodniopomorskiego na lata 2017-2038&amp;"Arial,Normalny"
____________________________________________________________________________________________________________________</oddHeader>
    <oddFooter>&amp;C&amp;9&amp;P</oddFooter>
  </headerFooter>
  <rowBreaks count="1" manualBreakCount="1">
    <brk id="86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5"/>
  </sheetPr>
  <dimension ref="A1:AA1010"/>
  <sheetViews>
    <sheetView topLeftCell="A4" zoomScaleNormal="100" zoomScaleSheetLayoutView="90" workbookViewId="0">
      <pane xSplit="10" ySplit="3" topLeftCell="K7" activePane="bottomRight" state="frozen"/>
      <selection activeCell="A4" sqref="A4"/>
      <selection pane="topRight" activeCell="K4" sqref="K4"/>
      <selection pane="bottomLeft" activeCell="A7" sqref="A7"/>
      <selection pane="bottomRight" activeCell="A38" sqref="A38:B38"/>
    </sheetView>
  </sheetViews>
  <sheetFormatPr defaultColWidth="9.140625" defaultRowHeight="12.75" outlineLevelCol="1"/>
  <cols>
    <col min="1" max="1" width="13.28515625" style="1021" customWidth="1"/>
    <col min="2" max="2" width="35.85546875" style="981" customWidth="1"/>
    <col min="3" max="3" width="11.28515625" style="981" hidden="1" customWidth="1"/>
    <col min="4" max="4" width="11.5703125" style="1046" hidden="1" customWidth="1"/>
    <col min="5" max="5" width="11.5703125" style="1047" hidden="1" customWidth="1"/>
    <col min="6" max="6" width="12.85546875" style="1047" hidden="1" customWidth="1"/>
    <col min="7" max="7" width="12.42578125" style="1048" hidden="1" customWidth="1"/>
    <col min="8" max="10" width="12.140625" style="1022" hidden="1" customWidth="1"/>
    <col min="11" max="11" width="12.7109375" style="1022" customWidth="1"/>
    <col min="12" max="12" width="12" style="1023" customWidth="1"/>
    <col min="13" max="13" width="12.85546875" style="1022" customWidth="1"/>
    <col min="14" max="21" width="12.7109375" style="1022" customWidth="1"/>
    <col min="22" max="22" width="14" style="981" customWidth="1"/>
    <col min="23" max="23" width="14.42578125" style="981" customWidth="1"/>
    <col min="24" max="24" width="14.85546875" style="979" bestFit="1" customWidth="1"/>
    <col min="25" max="25" width="11.85546875" style="980" hidden="1" customWidth="1" outlineLevel="1"/>
    <col min="26" max="26" width="13.28515625" style="980" hidden="1" customWidth="1" outlineLevel="1"/>
    <col min="27" max="27" width="20.140625" style="981" customWidth="1" collapsed="1"/>
    <col min="28" max="29" width="9.140625" style="981"/>
    <col min="30" max="30" width="9.7109375" style="981" bestFit="1" customWidth="1"/>
    <col min="31" max="16384" width="9.140625" style="981"/>
  </cols>
  <sheetData>
    <row r="1" spans="1:27" ht="68.25" customHeight="1">
      <c r="A1" s="4203" t="s">
        <v>222</v>
      </c>
      <c r="B1" s="4203"/>
      <c r="C1" s="4203"/>
      <c r="D1" s="4203"/>
      <c r="E1" s="4203"/>
      <c r="F1" s="4203"/>
      <c r="G1" s="4203"/>
      <c r="H1" s="4203"/>
      <c r="I1" s="4203"/>
      <c r="J1" s="4203"/>
      <c r="K1" s="4203"/>
      <c r="L1" s="4203"/>
      <c r="M1" s="4203"/>
      <c r="N1" s="4203"/>
      <c r="O1" s="4203"/>
      <c r="P1" s="4203"/>
      <c r="Q1" s="4203"/>
      <c r="R1" s="4203"/>
      <c r="S1" s="4203"/>
      <c r="T1" s="4203"/>
      <c r="U1" s="4203"/>
      <c r="V1" s="4203"/>
      <c r="W1" s="4204"/>
    </row>
    <row r="2" spans="1:27" ht="15.75" customHeight="1" thickBot="1">
      <c r="A2" s="982"/>
      <c r="B2" s="982"/>
      <c r="C2" s="982"/>
      <c r="D2" s="982"/>
      <c r="E2" s="982"/>
      <c r="F2" s="982"/>
      <c r="G2" s="982"/>
      <c r="H2" s="982"/>
      <c r="I2" s="982"/>
      <c r="J2" s="982"/>
      <c r="K2" s="982"/>
      <c r="L2" s="982"/>
      <c r="M2" s="982"/>
      <c r="N2" s="982"/>
      <c r="O2" s="982"/>
      <c r="P2" s="982"/>
      <c r="Q2" s="982"/>
      <c r="R2" s="982"/>
      <c r="S2" s="982"/>
      <c r="T2" s="982"/>
      <c r="U2" s="982"/>
      <c r="V2" s="982"/>
      <c r="W2" s="983"/>
    </row>
    <row r="3" spans="1:27" ht="24" customHeight="1">
      <c r="A3" s="4205" t="s">
        <v>4</v>
      </c>
      <c r="B3" s="4206"/>
      <c r="C3" s="4221" t="s">
        <v>2</v>
      </c>
      <c r="D3" s="4221"/>
      <c r="E3" s="4221"/>
      <c r="F3" s="4221"/>
      <c r="G3" s="4221"/>
      <c r="H3" s="4221"/>
      <c r="I3" s="4221"/>
      <c r="J3" s="4222"/>
      <c r="K3" s="4217" t="s">
        <v>2</v>
      </c>
      <c r="L3" s="4218"/>
      <c r="M3" s="4218"/>
      <c r="N3" s="4225" t="s">
        <v>333</v>
      </c>
      <c r="O3" s="4226"/>
      <c r="P3" s="4226"/>
      <c r="Q3" s="4226"/>
      <c r="R3" s="4226"/>
      <c r="S3" s="4226"/>
      <c r="T3" s="4226"/>
      <c r="U3" s="4227"/>
      <c r="V3" s="4211" t="s">
        <v>3</v>
      </c>
      <c r="W3" s="4213" t="s">
        <v>491</v>
      </c>
    </row>
    <row r="4" spans="1:27" ht="15.75" customHeight="1">
      <c r="A4" s="4207"/>
      <c r="B4" s="4208"/>
      <c r="C4" s="4223"/>
      <c r="D4" s="4223"/>
      <c r="E4" s="4223"/>
      <c r="F4" s="4223"/>
      <c r="G4" s="4223"/>
      <c r="H4" s="4223"/>
      <c r="I4" s="4223"/>
      <c r="J4" s="4224"/>
      <c r="K4" s="4219"/>
      <c r="L4" s="4220"/>
      <c r="M4" s="4220"/>
      <c r="N4" s="4228"/>
      <c r="O4" s="4229"/>
      <c r="P4" s="4229"/>
      <c r="Q4" s="4229"/>
      <c r="R4" s="4229"/>
      <c r="S4" s="4229"/>
      <c r="T4" s="4229"/>
      <c r="U4" s="4230"/>
      <c r="V4" s="4212"/>
      <c r="W4" s="4214"/>
    </row>
    <row r="5" spans="1:27" ht="18.75" customHeight="1" thickBot="1">
      <c r="A5" s="4209"/>
      <c r="B5" s="4210"/>
      <c r="C5" s="984" t="s">
        <v>5</v>
      </c>
      <c r="D5" s="985" t="s">
        <v>6</v>
      </c>
      <c r="E5" s="985" t="s">
        <v>7</v>
      </c>
      <c r="F5" s="985" t="s">
        <v>8</v>
      </c>
      <c r="G5" s="986" t="s">
        <v>9</v>
      </c>
      <c r="H5" s="986" t="s">
        <v>10</v>
      </c>
      <c r="I5" s="986" t="s">
        <v>11</v>
      </c>
      <c r="J5" s="987" t="s">
        <v>12</v>
      </c>
      <c r="K5" s="988" t="s">
        <v>497</v>
      </c>
      <c r="L5" s="989" t="s">
        <v>13</v>
      </c>
      <c r="M5" s="988" t="s">
        <v>14</v>
      </c>
      <c r="N5" s="988" t="s">
        <v>15</v>
      </c>
      <c r="O5" s="990" t="s">
        <v>16</v>
      </c>
      <c r="P5" s="990" t="s">
        <v>17</v>
      </c>
      <c r="Q5" s="990" t="s">
        <v>259</v>
      </c>
      <c r="R5" s="990" t="s">
        <v>263</v>
      </c>
      <c r="S5" s="990" t="s">
        <v>324</v>
      </c>
      <c r="T5" s="990" t="s">
        <v>325</v>
      </c>
      <c r="U5" s="990" t="s">
        <v>323</v>
      </c>
      <c r="V5" s="4212"/>
      <c r="W5" s="4214"/>
    </row>
    <row r="6" spans="1:27" s="1000" customFormat="1" ht="14.25" customHeight="1" thickBot="1">
      <c r="A6" s="4215">
        <v>1</v>
      </c>
      <c r="B6" s="4216"/>
      <c r="C6" s="991" t="s">
        <v>137</v>
      </c>
      <c r="D6" s="992">
        <v>3</v>
      </c>
      <c r="E6" s="993">
        <v>4</v>
      </c>
      <c r="F6" s="993">
        <v>5</v>
      </c>
      <c r="G6" s="994" t="s">
        <v>138</v>
      </c>
      <c r="H6" s="994" t="s">
        <v>139</v>
      </c>
      <c r="I6" s="994" t="s">
        <v>140</v>
      </c>
      <c r="J6" s="994" t="s">
        <v>141</v>
      </c>
      <c r="K6" s="995">
        <v>2</v>
      </c>
      <c r="L6" s="996" t="s">
        <v>326</v>
      </c>
      <c r="M6" s="996" t="s">
        <v>326</v>
      </c>
      <c r="N6" s="994">
        <v>3</v>
      </c>
      <c r="O6" s="997">
        <v>4</v>
      </c>
      <c r="P6" s="997">
        <v>5</v>
      </c>
      <c r="Q6" s="997">
        <v>6</v>
      </c>
      <c r="R6" s="997">
        <v>7</v>
      </c>
      <c r="S6" s="997">
        <v>8</v>
      </c>
      <c r="T6" s="997">
        <v>9</v>
      </c>
      <c r="U6" s="997">
        <v>10</v>
      </c>
      <c r="V6" s="997">
        <v>11</v>
      </c>
      <c r="W6" s="417">
        <v>12</v>
      </c>
      <c r="X6" s="998"/>
      <c r="Y6" s="999"/>
      <c r="Z6" s="999"/>
    </row>
    <row r="7" spans="1:27" s="1005" customFormat="1" ht="24.75" customHeight="1" thickBot="1">
      <c r="A7" s="4199" t="s">
        <v>223</v>
      </c>
      <c r="B7" s="4200"/>
      <c r="C7" s="1001" t="e">
        <f>+'Tab. 6A -Drogi'!E36+'Tab. 6B Polit społ i rozwój prz'!E188+'Tab. 6B Polit społ i rozwój prz'!E200+'Tab. 6E - Administracja'!#REF!+'Tab. 6E - Administracja'!#REF!+'Tab. 6E - Administracja'!E81+'Tab. 6H - Kultura fiz. i turyst'!E56+'Tab. 6H - Kultura fiz. i turyst'!E49+'Tab. 6H - Kultura fiz. i turyst'!E65+'Tab. 6H - Kultura fiz. i turyst'!E72+'Tab. 6B Polit społ i rozwój prz'!E212+'Tab. 6H - Kultura fiz. i turyst'!E79+'Tab. 6H - Kultura fiz. i turyst'!E97</f>
        <v>#REF!</v>
      </c>
      <c r="D7" s="1001" t="e">
        <f>+'Tab. 6A -Drogi'!F36+'Tab. 6B Polit społ i rozwój prz'!F188+'Tab. 6B Polit społ i rozwój prz'!F200+'Tab. 6E - Administracja'!#REF!+'Tab. 6E - Administracja'!#REF!+'Tab. 6E - Administracja'!F81+'Tab. 6H - Kultura fiz. i turyst'!F56+'Tab. 6H - Kultura fiz. i turyst'!F49+'Tab. 6H - Kultura fiz. i turyst'!F65+'Tab. 6H - Kultura fiz. i turyst'!F72+'Tab. 6B Polit społ i rozwój prz'!F212+'Tab. 6H - Kultura fiz. i turyst'!F79+'Tab. 6H - Kultura fiz. i turyst'!F97</f>
        <v>#REF!</v>
      </c>
      <c r="E7" s="1001" t="e">
        <f>+'Tab. 6A -Drogi'!G36+'Tab. 6B Polit społ i rozwój prz'!G188+'Tab. 6B Polit społ i rozwój prz'!G200+'Tab. 6E - Administracja'!#REF!+'Tab. 6E - Administracja'!#REF!+'Tab. 6E - Administracja'!G81+'Tab. 6H - Kultura fiz. i turyst'!G56+'Tab. 6H - Kultura fiz. i turyst'!G49+'Tab. 6H - Kultura fiz. i turyst'!G65+'Tab. 6H - Kultura fiz. i turyst'!G72+'Tab. 6B Polit społ i rozwój prz'!G212+'Tab. 6H - Kultura fiz. i turyst'!G79+'Tab. 6H - Kultura fiz. i turyst'!G97</f>
        <v>#REF!</v>
      </c>
      <c r="F7" s="1001" t="e">
        <f>+'Tab. 6A -Drogi'!H36+'Tab. 6B Polit społ i rozwój prz'!H188+'Tab. 6B Polit społ i rozwój prz'!H200+'Tab. 6E - Administracja'!#REF!+'Tab. 6E - Administracja'!#REF!+'Tab. 6E - Administracja'!H81+'Tab. 6H - Kultura fiz. i turyst'!H56+'Tab. 6H - Kultura fiz. i turyst'!H49+'Tab. 6H - Kultura fiz. i turyst'!H65+'Tab. 6H - Kultura fiz. i turyst'!H72+'Tab. 6B Polit społ i rozwój prz'!H212+'Tab. 6H - Kultura fiz. i turyst'!H79+'Tab. 6H - Kultura fiz. i turyst'!H97</f>
        <v>#REF!</v>
      </c>
      <c r="G7" s="1001" t="e">
        <f>+'Tab. 6A -Drogi'!I36+'Tab. 6B Polit społ i rozwój prz'!I188+'Tab. 6B Polit społ i rozwój prz'!I200+'Tab. 6E - Administracja'!#REF!+'Tab. 6E - Administracja'!#REF!+'Tab. 6E - Administracja'!I81+'Tab. 6H - Kultura fiz. i turyst'!I56+'Tab. 6H - Kultura fiz. i turyst'!I49+'Tab. 6H - Kultura fiz. i turyst'!I65+'Tab. 6H - Kultura fiz. i turyst'!I72+'Tab. 6B Polit społ i rozwój prz'!I212+'Tab. 6H - Kultura fiz. i turyst'!I79+'Tab. 6H - Kultura fiz. i turyst'!I97</f>
        <v>#REF!</v>
      </c>
      <c r="H7" s="1001" t="e">
        <f>+'Tab. 6A -Drogi'!J36+'Tab. 6B Polit społ i rozwój prz'!J188+'Tab. 6B Polit społ i rozwój prz'!J200+'Tab. 6E - Administracja'!#REF!+'Tab. 6E - Administracja'!#REF!+'Tab. 6E - Administracja'!J81+'Tab. 6H - Kultura fiz. i turyst'!J56+'Tab. 6H - Kultura fiz. i turyst'!J49+'Tab. 6H - Kultura fiz. i turyst'!J65+'Tab. 6H - Kultura fiz. i turyst'!J72+'Tab. 6B Polit społ i rozwój prz'!J212+'Tab. 6H - Kultura fiz. i turyst'!J79+'Tab. 6H - Kultura fiz. i turyst'!J97</f>
        <v>#REF!</v>
      </c>
      <c r="I7" s="1001" t="e">
        <f>+'Tab. 6A -Drogi'!K36+'Tab. 6B Polit społ i rozwój prz'!K188+'Tab. 6B Polit społ i rozwój prz'!K200+'Tab. 6E - Administracja'!#REF!+'Tab. 6E - Administracja'!#REF!+'Tab. 6E - Administracja'!K81+'Tab. 6H - Kultura fiz. i turyst'!K56+'Tab. 6H - Kultura fiz. i turyst'!K49+'Tab. 6H - Kultura fiz. i turyst'!K65+'Tab. 6H - Kultura fiz. i turyst'!K72+'Tab. 6B Polit społ i rozwój prz'!K212+'Tab. 6H - Kultura fiz. i turyst'!K79+'Tab. 6H - Kultura fiz. i turyst'!K97</f>
        <v>#REF!</v>
      </c>
      <c r="J7" s="1001" t="e">
        <f>+'Tab. 6A -Drogi'!L36+'Tab. 6B Polit społ i rozwój prz'!L188+'Tab. 6B Polit społ i rozwój prz'!L200+'Tab. 6E - Administracja'!#REF!+'Tab. 6E - Administracja'!#REF!+'Tab. 6E - Administracja'!L81+'Tab. 6H - Kultura fiz. i turyst'!L56+'Tab. 6H - Kultura fiz. i turyst'!L49+'Tab. 6H - Kultura fiz. i turyst'!L65+'Tab. 6H - Kultura fiz. i turyst'!L72+'Tab. 6B Polit społ i rozwój prz'!L212+'Tab. 6H - Kultura fiz. i turyst'!L79+'Tab. 6H - Kultura fiz. i turyst'!L97</f>
        <v>#REF!</v>
      </c>
      <c r="K7" s="1001">
        <f>'Tab. 6A -Drogi'!M36+'Tab. 6B Polit społ i rozwój prz'!M52+'Tab. 6B Polit społ i rozwój prz'!M212+'Tab. 6B Polit społ i rozwój prz'!M224+'Tab. 6E - Administracja'!M90-'Tab. 6E - Administracja'!M98+'Tab. 6E - Administracja'!M115-'Tab. 6E - Administracja'!M117+'Tab. 6E - Administracja'!M134++'Tab. 6H - Kultura fiz. i turyst'!M97+'Tab. 6H - Kultura fiz. i turyst'!M106+'Tab. 6H - Kultura fiz. i turyst'!M115+'Tab. 6H - Kultura fiz. i turyst'!M124+'Tab. 6H - Kultura fiz. i turyst'!M133+'Tab. 6H - Kultura fiz. i turyst'!M142+'Tab. 6H - Kultura fiz. i turyst'!M186+'Tab. 6H - Kultura fiz. i turyst'!M195</f>
        <v>174832844</v>
      </c>
      <c r="L7" s="1001">
        <f>'Tab. 6A -Drogi'!N36+'Tab. 6B Polit społ i rozwój prz'!N52+'Tab. 6B Polit społ i rozwój prz'!N212+'Tab. 6B Polit społ i rozwój prz'!N224+'Tab. 6E - Administracja'!N90-'Tab. 6E - Administracja'!N98+'Tab. 6E - Administracja'!N115-'Tab. 6E - Administracja'!N117+'Tab. 6E - Administracja'!N134++'Tab. 6H - Kultura fiz. i turyst'!N97+'Tab. 6H - Kultura fiz. i turyst'!N106+'Tab. 6H - Kultura fiz. i turyst'!N115+'Tab. 6H - Kultura fiz. i turyst'!N124+'Tab. 6H - Kultura fiz. i turyst'!N133+'Tab. 6H - Kultura fiz. i turyst'!N142+'Tab. 6H - Kultura fiz. i turyst'!N186+'Tab. 6H - Kultura fiz. i turyst'!N195</f>
        <v>53845119</v>
      </c>
      <c r="M7" s="1001">
        <f>'Tab. 6A -Drogi'!O36+'Tab. 6B Polit społ i rozwój prz'!O52+'Tab. 6B Polit społ i rozwój prz'!O212+'Tab. 6B Polit społ i rozwój prz'!O224+'Tab. 6E - Administracja'!O90-'Tab. 6E - Administracja'!O98+'Tab. 6E - Administracja'!O115-'Tab. 6E - Administracja'!O117+'Tab. 6E - Administracja'!O134++'Tab. 6H - Kultura fiz. i turyst'!O97+'Tab. 6H - Kultura fiz. i turyst'!O106+'Tab. 6H - Kultura fiz. i turyst'!O115+'Tab. 6H - Kultura fiz. i turyst'!O124+'Tab. 6H - Kultura fiz. i turyst'!O133+'Tab. 6H - Kultura fiz. i turyst'!O142+'Tab. 6H - Kultura fiz. i turyst'!O186+'Tab. 6H - Kultura fiz. i turyst'!O195</f>
        <v>39443836</v>
      </c>
      <c r="N7" s="1001">
        <f>'Tab. 6A -Drogi'!P36+'Tab. 6B Polit społ i rozwój prz'!P52+'Tab. 6B Polit społ i rozwój prz'!P212+'Tab. 6B Polit społ i rozwój prz'!P224+'Tab. 6E - Administracja'!P90-'Tab. 6E - Administracja'!P98+'Tab. 6E - Administracja'!P115-'Tab. 6E - Administracja'!P117+'Tab. 6E - Administracja'!P134++'Tab. 6H - Kultura fiz. i turyst'!P97+'Tab. 6H - Kultura fiz. i turyst'!P106+'Tab. 6H - Kultura fiz. i turyst'!P115+'Tab. 6H - Kultura fiz. i turyst'!P124+'Tab. 6H - Kultura fiz. i turyst'!P133+'Tab. 6H - Kultura fiz. i turyst'!P142+'Tab. 6H - Kultura fiz. i turyst'!P186+'Tab. 6H - Kultura fiz. i turyst'!P195</f>
        <v>65807295</v>
      </c>
      <c r="O7" s="1001">
        <f>'Tab. 6A -Drogi'!Q36+'Tab. 6B Polit społ i rozwój prz'!Q52+'Tab. 6B Polit społ i rozwój prz'!Q212+'Tab. 6B Polit społ i rozwój prz'!Q224+'Tab. 6E - Administracja'!Q90-'Tab. 6E - Administracja'!Q98+'Tab. 6E - Administracja'!Q115-'Tab. 6E - Administracja'!Q117+'Tab. 6E - Administracja'!Q134++'Tab. 6H - Kultura fiz. i turyst'!Q97+'Tab. 6H - Kultura fiz. i turyst'!Q106+'Tab. 6H - Kultura fiz. i turyst'!Q115+'Tab. 6H - Kultura fiz. i turyst'!Q124+'Tab. 6H - Kultura fiz. i turyst'!Q133+'Tab. 6H - Kultura fiz. i turyst'!Q142+'Tab. 6H - Kultura fiz. i turyst'!Q186+'Tab. 6H - Kultura fiz. i turyst'!Q195</f>
        <v>359400946</v>
      </c>
      <c r="P7" s="1001">
        <f>'Tab. 6A -Drogi'!R36+'Tab. 6B Polit społ i rozwój prz'!R52+'Tab. 6B Polit społ i rozwój prz'!R212+'Tab. 6B Polit społ i rozwój prz'!R224+'Tab. 6E - Administracja'!R90-'Tab. 6E - Administracja'!R98+'Tab. 6E - Administracja'!R115-'Tab. 6E - Administracja'!R117+'Tab. 6E - Administracja'!R134++'Tab. 6H - Kultura fiz. i turyst'!R97+'Tab. 6H - Kultura fiz. i turyst'!R106+'Tab. 6H - Kultura fiz. i turyst'!R115+'Tab. 6H - Kultura fiz. i turyst'!R124+'Tab. 6H - Kultura fiz. i turyst'!R133+'Tab. 6H - Kultura fiz. i turyst'!R142+'Tab. 6H - Kultura fiz. i turyst'!R186+'Tab. 6H - Kultura fiz. i turyst'!R195</f>
        <v>349110675</v>
      </c>
      <c r="Q7" s="1001">
        <f>'Tab. 6A -Drogi'!S36+'Tab. 6B Polit społ i rozwój prz'!S52+'Tab. 6B Polit społ i rozwój prz'!S212+'Tab. 6B Polit społ i rozwój prz'!S224+'Tab. 6E - Administracja'!S90-'Tab. 6E - Administracja'!S98+'Tab. 6E - Administracja'!S115-'Tab. 6E - Administracja'!S117+'Tab. 6E - Administracja'!S134++'Tab. 6H - Kultura fiz. i turyst'!S97+'Tab. 6H - Kultura fiz. i turyst'!S106+'Tab. 6H - Kultura fiz. i turyst'!S115+'Tab. 6H - Kultura fiz. i turyst'!S124+'Tab. 6H - Kultura fiz. i turyst'!S133+'Tab. 6H - Kultura fiz. i turyst'!S142+'Tab. 6H - Kultura fiz. i turyst'!S186+'Tab. 6H - Kultura fiz. i turyst'!S195</f>
        <v>76197093</v>
      </c>
      <c r="R7" s="1001">
        <f>'Tab. 6A -Drogi'!T36+'Tab. 6B Polit społ i rozwój prz'!T52+'Tab. 6B Polit społ i rozwój prz'!T212+'Tab. 6B Polit społ i rozwój prz'!T224+'Tab. 6E - Administracja'!T90-'Tab. 6E - Administracja'!T98+'Tab. 6E - Administracja'!T115-'Tab. 6E - Administracja'!T117+'Tab. 6E - Administracja'!T134++'Tab. 6H - Kultura fiz. i turyst'!T97+'Tab. 6H - Kultura fiz. i turyst'!T106+'Tab. 6H - Kultura fiz. i turyst'!T115+'Tab. 6H - Kultura fiz. i turyst'!T124+'Tab. 6H - Kultura fiz. i turyst'!T133+'Tab. 6H - Kultura fiz. i turyst'!T142+'Tab. 6H - Kultura fiz. i turyst'!T186+'Tab. 6H - Kultura fiz. i turyst'!T195</f>
        <v>73787113</v>
      </c>
      <c r="S7" s="1001">
        <f>'Tab. 6A -Drogi'!U36+'Tab. 6B Polit społ i rozwój prz'!U52+'Tab. 6B Polit społ i rozwój prz'!U212+'Tab. 6B Polit społ i rozwój prz'!U224+'Tab. 6E - Administracja'!U90-'Tab. 6E - Administracja'!U98+'Tab. 6E - Administracja'!U115-'Tab. 6E - Administracja'!U117+'Tab. 6E - Administracja'!U134++'Tab. 6H - Kultura fiz. i turyst'!U97+'Tab. 6H - Kultura fiz. i turyst'!U106+'Tab. 6H - Kultura fiz. i turyst'!U115+'Tab. 6H - Kultura fiz. i turyst'!U124+'Tab. 6H - Kultura fiz. i turyst'!U133+'Tab. 6H - Kultura fiz. i turyst'!U142+'Tab. 6H - Kultura fiz. i turyst'!U186+'Tab. 6H - Kultura fiz. i turyst'!U195</f>
        <v>36746034</v>
      </c>
      <c r="T7" s="1001">
        <f>'Tab. 6A -Drogi'!V36+'Tab. 6B Polit społ i rozwój prz'!V52+'Tab. 6B Polit społ i rozwój prz'!V212+'Tab. 6B Polit społ i rozwój prz'!V224+'Tab. 6E - Administracja'!V90-'Tab. 6E - Administracja'!V98+'Tab. 6E - Administracja'!V115-'Tab. 6E - Administracja'!V117+'Tab. 6E - Administracja'!V134++'Tab. 6H - Kultura fiz. i turyst'!V97+'Tab. 6H - Kultura fiz. i turyst'!V106+'Tab. 6H - Kultura fiz. i turyst'!V115+'Tab. 6H - Kultura fiz. i turyst'!V124+'Tab. 6H - Kultura fiz. i turyst'!V133+'Tab. 6H - Kultura fiz. i turyst'!V142+'Tab. 6H - Kultura fiz. i turyst'!V186+'Tab. 6H - Kultura fiz. i turyst'!V195</f>
        <v>34533471</v>
      </c>
      <c r="U7" s="1001">
        <f>'Tab. 6A -Drogi'!W36+'Tab. 6B Polit społ i rozwój prz'!W52+'Tab. 6B Polit społ i rozwój prz'!W212+'Tab. 6B Polit społ i rozwój prz'!W224+'Tab. 6E - Administracja'!W90-'Tab. 6E - Administracja'!W98+'Tab. 6E - Administracja'!W115-'Tab. 6E - Administracja'!W117+'Tab. 6E - Administracja'!W134++'Tab. 6H - Kultura fiz. i turyst'!W97+'Tab. 6H - Kultura fiz. i turyst'!W106+'Tab. 6H - Kultura fiz. i turyst'!W115+'Tab. 6H - Kultura fiz. i turyst'!W124+'Tab. 6H - Kultura fiz. i turyst'!W133+'Tab. 6H - Kultura fiz. i turyst'!W142+'Tab. 6H - Kultura fiz. i turyst'!W186+'Tab. 6H - Kultura fiz. i turyst'!W195</f>
        <v>34299368</v>
      </c>
      <c r="V7" s="1001">
        <f>K7+N7+O7+P7+Q7+R7+S7+T7+U7</f>
        <v>1204714839</v>
      </c>
      <c r="W7" s="1002">
        <f>+O7+P7+Q7+R7+S7+T7+U7</f>
        <v>964074700</v>
      </c>
      <c r="X7" s="1003"/>
      <c r="Y7" s="1004"/>
      <c r="Z7" s="1004"/>
    </row>
    <row r="8" spans="1:27" s="1005" customFormat="1" ht="24.75" customHeight="1" thickBot="1">
      <c r="A8" s="4201" t="s">
        <v>224</v>
      </c>
      <c r="B8" s="4202"/>
      <c r="C8" s="1006" t="e">
        <f>+'Tab. 6A -Drogi'!E44+'Tab. 6B Polit społ i rozwój prz'!E194+'Tab. 6B Polit społ i rozwój prz'!E206+'Tab. 6E - Administracja'!#REF!+'Tab. 6E - Administracja'!#REF!+'Tab. 6E - Administracja'!E86+'Tab. 6H - Kultura fiz. i turyst'!E52+'Tab. 6H - Kultura fiz. i turyst'!E61+'Tab. 6H - Kultura fiz. i turyst'!E75+'Tab. 6B Polit społ i rozwój prz'!E218+'Tab. 6H - Kultura fiz. i turyst'!E84+'Tab. 6H - Kultura fiz. i turyst'!E102</f>
        <v>#REF!</v>
      </c>
      <c r="D8" s="1006" t="e">
        <f>+'Tab. 6A -Drogi'!F44+'Tab. 6B Polit społ i rozwój prz'!F194+'Tab. 6B Polit społ i rozwój prz'!F206+'Tab. 6E - Administracja'!#REF!+'Tab. 6E - Administracja'!#REF!+'Tab. 6E - Administracja'!F86+'Tab. 6H - Kultura fiz. i turyst'!F52+'Tab. 6H - Kultura fiz. i turyst'!F61+'Tab. 6H - Kultura fiz. i turyst'!F75+'Tab. 6B Polit społ i rozwój prz'!F218+'Tab. 6H - Kultura fiz. i turyst'!F84+'Tab. 6H - Kultura fiz. i turyst'!F102</f>
        <v>#REF!</v>
      </c>
      <c r="E8" s="1006" t="e">
        <f>+'Tab. 6A -Drogi'!G44+'Tab. 6B Polit społ i rozwój prz'!G194+'Tab. 6B Polit społ i rozwój prz'!G206+'Tab. 6E - Administracja'!#REF!+'Tab. 6E - Administracja'!#REF!+'Tab. 6E - Administracja'!G86+'Tab. 6H - Kultura fiz. i turyst'!G52+'Tab. 6H - Kultura fiz. i turyst'!G61+'Tab. 6H - Kultura fiz. i turyst'!G75+'Tab. 6B Polit społ i rozwój prz'!G218+'Tab. 6H - Kultura fiz. i turyst'!G84+'Tab. 6H - Kultura fiz. i turyst'!G102</f>
        <v>#REF!</v>
      </c>
      <c r="F8" s="1006" t="e">
        <f>+'Tab. 6A -Drogi'!H44+'Tab. 6B Polit społ i rozwój prz'!H194+'Tab. 6B Polit społ i rozwój prz'!H206+'Tab. 6E - Administracja'!#REF!+'Tab. 6E - Administracja'!#REF!+'Tab. 6E - Administracja'!H86+'Tab. 6H - Kultura fiz. i turyst'!H52+'Tab. 6H - Kultura fiz. i turyst'!H61+'Tab. 6H - Kultura fiz. i turyst'!H75+'Tab. 6B Polit społ i rozwój prz'!H218+'Tab. 6H - Kultura fiz. i turyst'!H84+'Tab. 6H - Kultura fiz. i turyst'!H102-'Tab. 6A -Drogi'!H232</f>
        <v>#REF!</v>
      </c>
      <c r="G8" s="1006" t="e">
        <f>+'Tab. 6A -Drogi'!I44+'Tab. 6B Polit społ i rozwój prz'!I194+'Tab. 6B Polit społ i rozwój prz'!I206+'Tab. 6E - Administracja'!#REF!+'Tab. 6E - Administracja'!#REF!+'Tab. 6E - Administracja'!I86+'Tab. 6H - Kultura fiz. i turyst'!I52+'Tab. 6H - Kultura fiz. i turyst'!I61+'Tab. 6H - Kultura fiz. i turyst'!I75+'Tab. 6B Polit społ i rozwój prz'!I218+'Tab. 6H - Kultura fiz. i turyst'!I84+'Tab. 6H - Kultura fiz. i turyst'!I102-'Tab. 6A -Drogi'!I232</f>
        <v>#REF!</v>
      </c>
      <c r="H8" s="1006" t="e">
        <f>+'Tab. 6A -Drogi'!J44+'Tab. 6B Polit społ i rozwój prz'!J194+'Tab. 6B Polit społ i rozwój prz'!J206+'Tab. 6E - Administracja'!#REF!+'Tab. 6E - Administracja'!#REF!+'Tab. 6E - Administracja'!J86+'Tab. 6H - Kultura fiz. i turyst'!J52+'Tab. 6H - Kultura fiz. i turyst'!J61+'Tab. 6H - Kultura fiz. i turyst'!J75+'Tab. 6B Polit społ i rozwój prz'!J218+'Tab. 6H - Kultura fiz. i turyst'!J84+'Tab. 6H - Kultura fiz. i turyst'!J102-'Tab. 6A -Drogi'!J232</f>
        <v>#REF!</v>
      </c>
      <c r="I8" s="1006" t="e">
        <f>+'Tab. 6A -Drogi'!K44+'Tab. 6B Polit społ i rozwój prz'!K194+'Tab. 6B Polit społ i rozwój prz'!K206+'Tab. 6E - Administracja'!#REF!+'Tab. 6E - Administracja'!#REF!+'Tab. 6E - Administracja'!K86+'Tab. 6H - Kultura fiz. i turyst'!K52+'Tab. 6H - Kultura fiz. i turyst'!K61+'Tab. 6H - Kultura fiz. i turyst'!K75+'Tab. 6B Polit społ i rozwój prz'!K218+'Tab. 6H - Kultura fiz. i turyst'!K84+'Tab. 6H - Kultura fiz. i turyst'!K102-'Tab. 6A -Drogi'!K232</f>
        <v>#REF!</v>
      </c>
      <c r="J8" s="1006" t="e">
        <f>+'Tab. 6A -Drogi'!L44+'Tab. 6B Polit społ i rozwój prz'!L194+'Tab. 6B Polit społ i rozwój prz'!L206+'Tab. 6E - Administracja'!#REF!+'Tab. 6E - Administracja'!#REF!+'Tab. 6E - Administracja'!L86+'Tab. 6H - Kultura fiz. i turyst'!L52+'Tab. 6H - Kultura fiz. i turyst'!L61+'Tab. 6H - Kultura fiz. i turyst'!L75+'Tab. 6B Polit społ i rozwój prz'!L218+'Tab. 6H - Kultura fiz. i turyst'!L84+'Tab. 6H - Kultura fiz. i turyst'!L102-'Tab. 6A -Drogi'!L232</f>
        <v>#REF!</v>
      </c>
      <c r="K8" s="1006">
        <f>'Tab. 6A -Drogi'!M44+'Tab. 6B Polit społ i rozwój prz'!M62+'Tab. 6B Polit społ i rozwój prz'!M218+'Tab. 6B Polit społ i rozwój prz'!M230+'Tab. 6E - Administracja'!M111+'Tab. 6E - Administracja'!M130+'Tab. 6E - Administracja'!M143+'Tab. 6H - Kultura fiz. i turyst'!M102+'Tab. 6H - Kultura fiz. i turyst'!M111+'Tab. 6H - Kultura fiz. i turyst'!M120+'Tab. 6H - Kultura fiz. i turyst'!M129+'Tab. 6H - Kultura fiz. i turyst'!M138+'Tab. 6H - Kultura fiz. i turyst'!M147+'Tab. 6H - Kultura fiz. i turyst'!M191+'Tab. 6H - Kultura fiz. i turyst'!M200</f>
        <v>166405835</v>
      </c>
      <c r="L8" s="1006">
        <f>'Tab. 6A -Drogi'!N44+'Tab. 6B Polit społ i rozwój prz'!N62+'Tab. 6B Polit społ i rozwój prz'!N218+'Tab. 6B Polit społ i rozwój prz'!N230+'Tab. 6E - Administracja'!N111+'Tab. 6E - Administracja'!N130+'Tab. 6E - Administracja'!N143+'Tab. 6H - Kultura fiz. i turyst'!N102+'Tab. 6H - Kultura fiz. i turyst'!N111+'Tab. 6H - Kultura fiz. i turyst'!N120+'Tab. 6H - Kultura fiz. i turyst'!N129+'Tab. 6H - Kultura fiz. i turyst'!N138+'Tab. 6H - Kultura fiz. i turyst'!N147+'Tab. 6H - Kultura fiz. i turyst'!N191+'Tab. 6H - Kultura fiz. i turyst'!N200</f>
        <v>70009839</v>
      </c>
      <c r="M8" s="1006">
        <f>'Tab. 6A -Drogi'!O44+'Tab. 6B Polit społ i rozwój prz'!O62+'Tab. 6B Polit społ i rozwój prz'!O218+'Tab. 6B Polit społ i rozwój prz'!O230+'Tab. 6E - Administracja'!O111+'Tab. 6E - Administracja'!O130+'Tab. 6E - Administracja'!O143+'Tab. 6H - Kultura fiz. i turyst'!O102+'Tab. 6H - Kultura fiz. i turyst'!O111+'Tab. 6H - Kultura fiz. i turyst'!O120+'Tab. 6H - Kultura fiz. i turyst'!O129+'Tab. 6H - Kultura fiz. i turyst'!O138+'Tab. 6H - Kultura fiz. i turyst'!O147+'Tab. 6H - Kultura fiz. i turyst'!O191+'Tab. 6H - Kultura fiz. i turyst'!O200</f>
        <v>52409382</v>
      </c>
      <c r="N8" s="1006">
        <f>'Tab. 6A -Drogi'!P44+'Tab. 6B Polit społ i rozwój prz'!P62+'Tab. 6B Polit społ i rozwój prz'!P218+'Tab. 6B Polit społ i rozwój prz'!P230+'Tab. 6E - Administracja'!P111+'Tab. 6E - Administracja'!P130+'Tab. 6E - Administracja'!P143+'Tab. 6H - Kultura fiz. i turyst'!P102+'Tab. 6H - Kultura fiz. i turyst'!P111+'Tab. 6H - Kultura fiz. i turyst'!P120+'Tab. 6H - Kultura fiz. i turyst'!P129+'Tab. 6H - Kultura fiz. i turyst'!P138+'Tab. 6H - Kultura fiz. i turyst'!P147+'Tab. 6H - Kultura fiz. i turyst'!P191+'Tab. 6H - Kultura fiz. i turyst'!P200</f>
        <v>58155134</v>
      </c>
      <c r="O8" s="1006">
        <f>'Tab. 6A -Drogi'!Q44+'Tab. 6B Polit społ i rozwój prz'!Q62+'Tab. 6B Polit społ i rozwój prz'!Q218+'Tab. 6B Polit społ i rozwój prz'!Q230+'Tab. 6E - Administracja'!Q111+'Tab. 6E - Administracja'!Q130+'Tab. 6E - Administracja'!Q143+'Tab. 6H - Kultura fiz. i turyst'!Q102+'Tab. 6H - Kultura fiz. i turyst'!Q111+'Tab. 6H - Kultura fiz. i turyst'!Q120+'Tab. 6H - Kultura fiz. i turyst'!Q129+'Tab. 6H - Kultura fiz. i turyst'!Q138+'Tab. 6H - Kultura fiz. i turyst'!Q147+'Tab. 6H - Kultura fiz. i turyst'!Q191+'Tab. 6H - Kultura fiz. i turyst'!Q200</f>
        <v>323451966</v>
      </c>
      <c r="P8" s="1006">
        <f>'Tab. 6A -Drogi'!R44+'Tab. 6B Polit społ i rozwój prz'!R62+'Tab. 6B Polit społ i rozwój prz'!R218+'Tab. 6B Polit społ i rozwój prz'!R230+'Tab. 6E - Administracja'!R111+'Tab. 6E - Administracja'!R130+'Tab. 6E - Administracja'!R143+'Tab. 6H - Kultura fiz. i turyst'!R102+'Tab. 6H - Kultura fiz. i turyst'!R111+'Tab. 6H - Kultura fiz. i turyst'!R120+'Tab. 6H - Kultura fiz. i turyst'!R129+'Tab. 6H - Kultura fiz. i turyst'!R138+'Tab. 6H - Kultura fiz. i turyst'!R147+'Tab. 6H - Kultura fiz. i turyst'!R191+'Tab. 6H - Kultura fiz. i turyst'!R200</f>
        <v>293419761</v>
      </c>
      <c r="Q8" s="1006">
        <f>'Tab. 6A -Drogi'!S44+'Tab. 6B Polit społ i rozwój prz'!S62+'Tab. 6B Polit społ i rozwój prz'!S218+'Tab. 6B Polit społ i rozwój prz'!S230+'Tab. 6E - Administracja'!S111+'Tab. 6E - Administracja'!S130+'Tab. 6E - Administracja'!S143+'Tab. 6H - Kultura fiz. i turyst'!S102+'Tab. 6H - Kultura fiz. i turyst'!S111+'Tab. 6H - Kultura fiz. i turyst'!S120+'Tab. 6H - Kultura fiz. i turyst'!S129+'Tab. 6H - Kultura fiz. i turyst'!S138+'Tab. 6H - Kultura fiz. i turyst'!S147+'Tab. 6H - Kultura fiz. i turyst'!S191+'Tab. 6H - Kultura fiz. i turyst'!S200</f>
        <v>75793963</v>
      </c>
      <c r="R8" s="1006">
        <f>'Tab. 6A -Drogi'!T44+'Tab. 6B Polit społ i rozwój prz'!T62+'Tab. 6B Polit społ i rozwój prz'!T218+'Tab. 6B Polit społ i rozwój prz'!T230+'Tab. 6E - Administracja'!T111+'Tab. 6E - Administracja'!T130+'Tab. 6E - Administracja'!T143+'Tab. 6H - Kultura fiz. i turyst'!T102+'Tab. 6H - Kultura fiz. i turyst'!T111+'Tab. 6H - Kultura fiz. i turyst'!T120+'Tab. 6H - Kultura fiz. i turyst'!T129+'Tab. 6H - Kultura fiz. i turyst'!T138+'Tab. 6H - Kultura fiz. i turyst'!T147+'Tab. 6H - Kultura fiz. i turyst'!T191+'Tab. 6H - Kultura fiz. i turyst'!T200</f>
        <v>63479035</v>
      </c>
      <c r="S8" s="1006">
        <f>'Tab. 6A -Drogi'!U44+'Tab. 6B Polit społ i rozwój prz'!U62+'Tab. 6B Polit społ i rozwój prz'!U218+'Tab. 6B Polit społ i rozwój prz'!U230+'Tab. 6E - Administracja'!U111+'Tab. 6E - Administracja'!U130+'Tab. 6E - Administracja'!U143+'Tab. 6H - Kultura fiz. i turyst'!U102+'Tab. 6H - Kultura fiz. i turyst'!U111+'Tab. 6H - Kultura fiz. i turyst'!U120+'Tab. 6H - Kultura fiz. i turyst'!U129+'Tab. 6H - Kultura fiz. i turyst'!U138+'Tab. 6H - Kultura fiz. i turyst'!U147+'Tab. 6H - Kultura fiz. i turyst'!U191+'Tab. 6H - Kultura fiz. i turyst'!U200</f>
        <v>30471862</v>
      </c>
      <c r="T8" s="1006">
        <f>'Tab. 6A -Drogi'!V44+'Tab. 6B Polit społ i rozwój prz'!V62+'Tab. 6B Polit społ i rozwój prz'!V218+'Tab. 6B Polit społ i rozwój prz'!V230+'Tab. 6E - Administracja'!V111+'Tab. 6E - Administracja'!V130+'Tab. 6E - Administracja'!V143+'Tab. 6H - Kultura fiz. i turyst'!V102+'Tab. 6H - Kultura fiz. i turyst'!V111+'Tab. 6H - Kultura fiz. i turyst'!V120+'Tab. 6H - Kultura fiz. i turyst'!V129+'Tab. 6H - Kultura fiz. i turyst'!V138+'Tab. 6H - Kultura fiz. i turyst'!V147+'Tab. 6H - Kultura fiz. i turyst'!V191+'Tab. 6H - Kultura fiz. i turyst'!V200</f>
        <v>30200542</v>
      </c>
      <c r="U8" s="1006">
        <f>'Tab. 6A -Drogi'!W44+'Tab. 6B Polit społ i rozwój prz'!W62+'Tab. 6B Polit społ i rozwój prz'!W218+'Tab. 6B Polit społ i rozwój prz'!W230+'Tab. 6E - Administracja'!W111+'Tab. 6E - Administracja'!W130+'Tab. 6E - Administracja'!W143+'Tab. 6H - Kultura fiz. i turyst'!W102+'Tab. 6H - Kultura fiz. i turyst'!W111+'Tab. 6H - Kultura fiz. i turyst'!W120+'Tab. 6H - Kultura fiz. i turyst'!W129+'Tab. 6H - Kultura fiz. i turyst'!W138+'Tab. 6H - Kultura fiz. i turyst'!W147+'Tab. 6H - Kultura fiz. i turyst'!W191+'Tab. 6H - Kultura fiz. i turyst'!W200</f>
        <v>29937015</v>
      </c>
      <c r="V8" s="1006">
        <f>K8+N8+O8+P8+Q8+R8+S8+T8+U8</f>
        <v>1071315113</v>
      </c>
      <c r="W8" s="1007" t="s">
        <v>75</v>
      </c>
      <c r="X8" s="1003"/>
      <c r="Y8" s="1004"/>
      <c r="Z8" s="1004"/>
    </row>
    <row r="9" spans="1:27" s="1005" customFormat="1" ht="24.75" hidden="1" customHeight="1" thickBot="1">
      <c r="A9" s="1008" t="s">
        <v>225</v>
      </c>
      <c r="B9" s="1009"/>
      <c r="C9" s="1001">
        <f>+'Tab. 6B Polit społ i rozwój prz'!E11-'Tab. 6B Polit społ i rozwój prz'!E176-'Tab. 6B Polit społ i rozwój prz'!E188-'Tab. 6B Polit społ i rozwój prz'!E200-'Tab. 6B Polit społ i rozwój prz'!E212+'Tab.6I - Planow. przestrz.'!E35+'Tab.6I - Planow. przestrz.'!E44</f>
        <v>0</v>
      </c>
      <c r="D9" s="1001">
        <f>+'Tab. 6B Polit społ i rozwój prz'!F11-'Tab. 6B Polit społ i rozwój prz'!F176-'Tab. 6B Polit społ i rozwój prz'!F188-'Tab. 6B Polit społ i rozwój prz'!F200-'Tab. 6B Polit społ i rozwój prz'!F212+'Tab.6I - Planow. przestrz.'!F35+'Tab.6I - Planow. przestrz.'!F44</f>
        <v>0</v>
      </c>
      <c r="E9" s="1001">
        <f>+'Tab. 6B Polit społ i rozwój prz'!G11-'Tab. 6B Polit społ i rozwój prz'!G176-'Tab. 6B Polit społ i rozwój prz'!G188-'Tab. 6B Polit społ i rozwój prz'!G200-'Tab. 6B Polit społ i rozwój prz'!G212+'Tab.6I - Planow. przestrz.'!G35+'Tab.6I - Planow. przestrz.'!G44</f>
        <v>0</v>
      </c>
      <c r="F9" s="1001">
        <f>+'Tab. 6B Polit społ i rozwój prz'!H11-'Tab. 6B Polit społ i rozwój prz'!H176-'Tab. 6B Polit społ i rozwój prz'!H188-'Tab. 6B Polit społ i rozwój prz'!H200-'Tab. 6B Polit społ i rozwój prz'!H212+'Tab.6I - Planow. przestrz.'!H35+'Tab.6I - Planow. przestrz.'!H44</f>
        <v>0</v>
      </c>
      <c r="G9" s="1001">
        <f>+'Tab. 6B Polit społ i rozwój prz'!I11-'Tab. 6B Polit społ i rozwój prz'!I176-'Tab. 6B Polit społ i rozwój prz'!I188-'Tab. 6B Polit społ i rozwój prz'!I200-'Tab. 6B Polit społ i rozwój prz'!I212+'Tab.6I - Planow. przestrz.'!I35+'Tab.6I - Planow. przestrz.'!I44</f>
        <v>0</v>
      </c>
      <c r="H9" s="1001">
        <f>+'Tab. 6B Polit społ i rozwój prz'!J11-'Tab. 6B Polit społ i rozwój prz'!J176-'Tab. 6B Polit społ i rozwój prz'!J188-'Tab. 6B Polit społ i rozwój prz'!J200-'Tab. 6B Polit społ i rozwój prz'!J212+'Tab.6I - Planow. przestrz.'!J35+'Tab.6I - Planow. przestrz.'!J44</f>
        <v>0</v>
      </c>
      <c r="I9" s="1001">
        <f>+'Tab. 6B Polit społ i rozwój prz'!K11-'Tab. 6B Polit społ i rozwój prz'!K176-'Tab. 6B Polit społ i rozwój prz'!K188-'Tab. 6B Polit społ i rozwój prz'!K200-'Tab. 6B Polit społ i rozwój prz'!K212+'Tab.6I - Planow. przestrz.'!K35+'Tab.6I - Planow. przestrz.'!K44</f>
        <v>0</v>
      </c>
      <c r="J9" s="1001">
        <f>+'Tab. 6B Polit społ i rozwój prz'!L11-'Tab. 6B Polit społ i rozwój prz'!L176-'Tab. 6B Polit społ i rozwój prz'!L188-'Tab. 6B Polit społ i rozwój prz'!L200-'Tab. 6B Polit społ i rozwój prz'!L212+'Tab.6I - Planow. przestrz.'!L35+'Tab.6I - Planow. przestrz.'!L44</f>
        <v>0</v>
      </c>
      <c r="K9" s="1001"/>
      <c r="L9" s="1001"/>
      <c r="M9" s="1001"/>
      <c r="N9" s="1001"/>
      <c r="O9" s="1001"/>
      <c r="P9" s="1001"/>
      <c r="Q9" s="1001"/>
      <c r="R9" s="1001"/>
      <c r="S9" s="1001"/>
      <c r="T9" s="1001"/>
      <c r="U9" s="1001"/>
      <c r="V9" s="1001"/>
      <c r="W9" s="1002">
        <f>N9+O9+P9+Q9+R9+S9+T9+U9</f>
        <v>0</v>
      </c>
      <c r="X9" s="1003"/>
      <c r="Y9" s="1004"/>
      <c r="Z9" s="1004"/>
      <c r="AA9" s="1003"/>
    </row>
    <row r="10" spans="1:27" s="1005" customFormat="1" ht="24.75" hidden="1" customHeight="1" thickBot="1">
      <c r="A10" s="4201" t="s">
        <v>226</v>
      </c>
      <c r="B10" s="4202"/>
      <c r="C10" s="1006">
        <f>+'Tab. 6B Polit społ i rozwój prz'!E18-'Tab. 6B Polit społ i rozwój prz'!E182-'Tab. 6B Polit społ i rozwój prz'!E194-'Tab. 6B Polit społ i rozwój prz'!E206+'Tab. 6H - Kultura fiz. i turyst'!E68-'Tab. 6B Polit społ i rozwój prz'!E218+'Tab.6I - Planow. przestrz.'!E40+'Tab.6I - Planow. przestrz.'!E49</f>
        <v>0</v>
      </c>
      <c r="D10" s="1006">
        <f>+'Tab. 6B Polit społ i rozwój prz'!F18-'Tab. 6B Polit społ i rozwój prz'!F182-'Tab. 6B Polit społ i rozwój prz'!F194-'Tab. 6B Polit społ i rozwój prz'!F206+'Tab. 6H - Kultura fiz. i turyst'!F68-'Tab. 6B Polit społ i rozwój prz'!F218+'Tab.6I - Planow. przestrz.'!F40+'Tab.6I - Planow. przestrz.'!F49</f>
        <v>0</v>
      </c>
      <c r="E10" s="1006">
        <f>+'Tab. 6B Polit społ i rozwój prz'!G18-'Tab. 6B Polit społ i rozwój prz'!G182-'Tab. 6B Polit społ i rozwój prz'!G194-'Tab. 6B Polit społ i rozwój prz'!G206+'Tab. 6H - Kultura fiz. i turyst'!G68-'Tab. 6B Polit społ i rozwój prz'!G218+'Tab.6I - Planow. przestrz.'!G40+'Tab.6I - Planow. przestrz.'!G49</f>
        <v>0</v>
      </c>
      <c r="F10" s="1006">
        <f>+'Tab. 6B Polit społ i rozwój prz'!H18-'Tab. 6B Polit społ i rozwój prz'!H182-'Tab. 6B Polit społ i rozwój prz'!H194-'Tab. 6B Polit społ i rozwój prz'!H206+'Tab. 6H - Kultura fiz. i turyst'!H68-'Tab. 6B Polit społ i rozwój prz'!H218+'Tab.6I - Planow. przestrz.'!H40+'Tab.6I - Planow. przestrz.'!H49</f>
        <v>0</v>
      </c>
      <c r="G10" s="1006">
        <f>+'Tab. 6B Polit społ i rozwój prz'!I18-'Tab. 6B Polit społ i rozwój prz'!I182-'Tab. 6B Polit społ i rozwój prz'!I194-'Tab. 6B Polit społ i rozwój prz'!I206+'Tab. 6H - Kultura fiz. i turyst'!I68-'Tab. 6B Polit społ i rozwój prz'!I218+'Tab.6I - Planow. przestrz.'!I40+'Tab.6I - Planow. przestrz.'!I49</f>
        <v>0</v>
      </c>
      <c r="H10" s="1006">
        <f>+'Tab. 6B Polit społ i rozwój prz'!J18-'Tab. 6B Polit społ i rozwój prz'!J182-'Tab. 6B Polit społ i rozwój prz'!J194-'Tab. 6B Polit społ i rozwój prz'!J206+'Tab. 6H - Kultura fiz. i turyst'!J68-'Tab. 6B Polit społ i rozwój prz'!J218+'Tab.6I - Planow. przestrz.'!J40+'Tab.6I - Planow. przestrz.'!J49</f>
        <v>0</v>
      </c>
      <c r="I10" s="1006">
        <f>+'Tab. 6B Polit społ i rozwój prz'!K18-'Tab. 6B Polit społ i rozwój prz'!K182-'Tab. 6B Polit społ i rozwój prz'!K194-'Tab. 6B Polit społ i rozwój prz'!K206+'Tab. 6H - Kultura fiz. i turyst'!K68-'Tab. 6B Polit społ i rozwój prz'!K218+'Tab.6I - Planow. przestrz.'!K40+'Tab.6I - Planow. przestrz.'!K49</f>
        <v>0</v>
      </c>
      <c r="J10" s="1006">
        <f>+'Tab. 6B Polit społ i rozwój prz'!L18-'Tab. 6B Polit społ i rozwój prz'!L182-'Tab. 6B Polit społ i rozwój prz'!L194-'Tab. 6B Polit społ i rozwój prz'!L206+'Tab. 6H - Kultura fiz. i turyst'!L68-'Tab. 6B Polit społ i rozwój prz'!L218+'Tab.6I - Planow. przestrz.'!L40+'Tab.6I - Planow. przestrz.'!L49</f>
        <v>0</v>
      </c>
      <c r="K10" s="1006"/>
      <c r="L10" s="1006"/>
      <c r="M10" s="1006"/>
      <c r="N10" s="1006"/>
      <c r="O10" s="1006"/>
      <c r="P10" s="1006"/>
      <c r="Q10" s="1006"/>
      <c r="R10" s="1006"/>
      <c r="S10" s="1006"/>
      <c r="T10" s="1006"/>
      <c r="U10" s="1006"/>
      <c r="V10" s="1006"/>
      <c r="W10" s="1007" t="s">
        <v>75</v>
      </c>
      <c r="X10" s="1003"/>
      <c r="Y10" s="1004"/>
      <c r="Z10" s="1004"/>
    </row>
    <row r="11" spans="1:27" s="1005" customFormat="1" ht="24.75" hidden="1" customHeight="1" thickBot="1">
      <c r="A11" s="4199" t="s">
        <v>227</v>
      </c>
      <c r="B11" s="4200"/>
      <c r="C11" s="1001">
        <f>+'Tab. 6A -Drogi'!E520+'Tab. 6G - Roln i ochrona środ.'!E138+'Tab. 6G - Roln i ochrona środ.'!E165</f>
        <v>0</v>
      </c>
      <c r="D11" s="1001">
        <f>+'Tab. 6A -Drogi'!F520+'Tab. 6G - Roln i ochrona środ.'!F138+'Tab. 6G - Roln i ochrona środ.'!F165</f>
        <v>0</v>
      </c>
      <c r="E11" s="1001">
        <f>+'Tab. 6A -Drogi'!G520+'Tab. 6G - Roln i ochrona środ.'!G138+'Tab. 6G - Roln i ochrona środ.'!G165</f>
        <v>0</v>
      </c>
      <c r="F11" s="1001">
        <f>+'Tab. 6A -Drogi'!H520+'Tab. 6G - Roln i ochrona środ.'!H138+'Tab. 6G - Roln i ochrona środ.'!H165</f>
        <v>0</v>
      </c>
      <c r="G11" s="1001">
        <f>+'Tab. 6A -Drogi'!I520+'Tab. 6G - Roln i ochrona środ.'!I138+'Tab. 6G - Roln i ochrona środ.'!I165</f>
        <v>0</v>
      </c>
      <c r="H11" s="1001">
        <f>+'Tab. 6A -Drogi'!J520+'Tab. 6G - Roln i ochrona środ.'!J138+'Tab. 6G - Roln i ochrona środ.'!J165</f>
        <v>0</v>
      </c>
      <c r="I11" s="1001">
        <f>+'Tab. 6A -Drogi'!K520+'Tab. 6G - Roln i ochrona środ.'!K138+'Tab. 6G - Roln i ochrona środ.'!K165</f>
        <v>0</v>
      </c>
      <c r="J11" s="1001">
        <f>+'Tab. 6A -Drogi'!L520+'Tab. 6G - Roln i ochrona środ.'!L138+'Tab. 6G - Roln i ochrona środ.'!L165</f>
        <v>0</v>
      </c>
      <c r="K11" s="1001"/>
      <c r="L11" s="1001"/>
      <c r="M11" s="1001"/>
      <c r="N11" s="1001"/>
      <c r="O11" s="1001"/>
      <c r="P11" s="1001"/>
      <c r="Q11" s="1001"/>
      <c r="R11" s="1001"/>
      <c r="S11" s="1001"/>
      <c r="T11" s="1001"/>
      <c r="U11" s="1001"/>
      <c r="V11" s="1001"/>
      <c r="W11" s="1002">
        <f>+O11+P11+Q11+R11+S11+T11+U11</f>
        <v>0</v>
      </c>
      <c r="X11" s="1003"/>
      <c r="Y11" s="1004"/>
      <c r="Z11" s="1004"/>
    </row>
    <row r="12" spans="1:27" s="1005" customFormat="1" ht="24.75" hidden="1" customHeight="1" thickBot="1">
      <c r="A12" s="4201" t="s">
        <v>228</v>
      </c>
      <c r="B12" s="4202"/>
      <c r="C12" s="1006">
        <f>+'Tab. 6A -Drogi'!E528+'Tab. 6G - Roln i ochrona środ.'!E144+'Tab. 6G - Roln i ochrona środ.'!E171</f>
        <v>0</v>
      </c>
      <c r="D12" s="1006">
        <f>+'Tab. 6A -Drogi'!F528+'Tab. 6G - Roln i ochrona środ.'!F144+'Tab. 6G - Roln i ochrona środ.'!F171</f>
        <v>0</v>
      </c>
      <c r="E12" s="1006">
        <f>+'Tab. 6A -Drogi'!G528+'Tab. 6G - Roln i ochrona środ.'!G144+'Tab. 6G - Roln i ochrona środ.'!G171</f>
        <v>0</v>
      </c>
      <c r="F12" s="1006">
        <f>+'Tab. 6A -Drogi'!H528+'Tab. 6G - Roln i ochrona środ.'!H144+'Tab. 6G - Roln i ochrona środ.'!H171</f>
        <v>0</v>
      </c>
      <c r="G12" s="1006">
        <f>+'Tab. 6A -Drogi'!I528+'Tab. 6G - Roln i ochrona środ.'!I144+'Tab. 6G - Roln i ochrona środ.'!I171</f>
        <v>0</v>
      </c>
      <c r="H12" s="1006">
        <f>+'Tab. 6A -Drogi'!J528+'Tab. 6G - Roln i ochrona środ.'!J144+'Tab. 6G - Roln i ochrona środ.'!J171</f>
        <v>0</v>
      </c>
      <c r="I12" s="1006">
        <f>+'Tab. 6A -Drogi'!K528+'Tab. 6G - Roln i ochrona środ.'!K144+'Tab. 6G - Roln i ochrona środ.'!K171</f>
        <v>0</v>
      </c>
      <c r="J12" s="1006">
        <f>+'Tab. 6A -Drogi'!L528+'Tab. 6G - Roln i ochrona środ.'!L144+'Tab. 6G - Roln i ochrona środ.'!L171</f>
        <v>0</v>
      </c>
      <c r="K12" s="1006"/>
      <c r="L12" s="1006"/>
      <c r="M12" s="1006"/>
      <c r="N12" s="1006"/>
      <c r="O12" s="1006"/>
      <c r="P12" s="1006"/>
      <c r="Q12" s="1006"/>
      <c r="R12" s="1006"/>
      <c r="S12" s="1006"/>
      <c r="T12" s="1006"/>
      <c r="U12" s="1006"/>
      <c r="V12" s="1006"/>
      <c r="W12" s="1007" t="s">
        <v>75</v>
      </c>
      <c r="X12" s="1003"/>
      <c r="Y12" s="1004"/>
      <c r="Z12" s="1004"/>
    </row>
    <row r="13" spans="1:27" s="1005" customFormat="1" ht="24.75" customHeight="1" thickBot="1">
      <c r="A13" s="4199" t="s">
        <v>229</v>
      </c>
      <c r="B13" s="4200"/>
      <c r="C13" s="1001">
        <f>+'Tab. 6G - Roln i ochrona środ.'!E91+'Tab. 6G - Roln i ochrona środ.'!E104+'Tab. 6G - Roln i ochrona środ.'!E119</f>
        <v>0</v>
      </c>
      <c r="D13" s="1001">
        <f>+'Tab. 6G - Roln i ochrona środ.'!F91+'Tab. 6G - Roln i ochrona środ.'!F104+'Tab. 6G - Roln i ochrona środ.'!F119</f>
        <v>0</v>
      </c>
      <c r="E13" s="1001">
        <f>+'Tab. 6G - Roln i ochrona środ.'!G91+'Tab. 6G - Roln i ochrona środ.'!G104+'Tab. 6G - Roln i ochrona środ.'!G119</f>
        <v>0</v>
      </c>
      <c r="F13" s="1001">
        <f>+'Tab. 6G - Roln i ochrona środ.'!H91+'Tab. 6G - Roln i ochrona środ.'!H104+'Tab. 6G - Roln i ochrona środ.'!H119</f>
        <v>0</v>
      </c>
      <c r="G13" s="1001">
        <f>+'Tab. 6G - Roln i ochrona środ.'!I91+'Tab. 6G - Roln i ochrona środ.'!I104+'Tab. 6G - Roln i ochrona środ.'!I119</f>
        <v>0</v>
      </c>
      <c r="H13" s="1001">
        <f>+'Tab. 6G - Roln i ochrona środ.'!J91+'Tab. 6G - Roln i ochrona środ.'!J104+'Tab. 6G - Roln i ochrona środ.'!J119</f>
        <v>0</v>
      </c>
      <c r="I13" s="1001">
        <f>+'Tab. 6G - Roln i ochrona środ.'!K91+'Tab. 6G - Roln i ochrona środ.'!K104+'Tab. 6G - Roln i ochrona środ.'!K119</f>
        <v>0</v>
      </c>
      <c r="J13" s="1001">
        <f>+'Tab. 6G - Roln i ochrona środ.'!L91+'Tab. 6G - Roln i ochrona środ.'!L104+'Tab. 6G - Roln i ochrona środ.'!L119</f>
        <v>0</v>
      </c>
      <c r="K13" s="1001">
        <f>'Tab. 6G - Roln i ochrona środ.'!M91+'Tab. 6G - Roln i ochrona środ.'!M104+'Tab. 6G - Roln i ochrona środ.'!M119+'Tab. 6G - Roln i ochrona środ.'!M138</f>
        <v>2071007</v>
      </c>
      <c r="L13" s="1001">
        <f>'Tab. 6G - Roln i ochrona środ.'!N91+'Tab. 6G - Roln i ochrona środ.'!N104+'Tab. 6G - Roln i ochrona środ.'!N119+'Tab. 6G - Roln i ochrona środ.'!N138</f>
        <v>0</v>
      </c>
      <c r="M13" s="1001">
        <f>'Tab. 6G - Roln i ochrona środ.'!O91+'Tab. 6G - Roln i ochrona środ.'!O104+'Tab. 6G - Roln i ochrona środ.'!O119+'Tab. 6G - Roln i ochrona środ.'!O138</f>
        <v>2071007</v>
      </c>
      <c r="N13" s="1001">
        <f>'Tab. 6G - Roln i ochrona środ.'!P91+'Tab. 6G - Roln i ochrona środ.'!P104+'Tab. 6G - Roln i ochrona środ.'!P119+'Tab. 6G - Roln i ochrona środ.'!P138</f>
        <v>3889275</v>
      </c>
      <c r="O13" s="1001">
        <f>'Tab. 6G - Roln i ochrona środ.'!Q91+'Tab. 6G - Roln i ochrona środ.'!Q104+'Tab. 6G - Roln i ochrona środ.'!Q119+'Tab. 6G - Roln i ochrona środ.'!Q138</f>
        <v>3900000</v>
      </c>
      <c r="P13" s="1001">
        <f>'Tab. 6G - Roln i ochrona środ.'!R91+'Tab. 6G - Roln i ochrona środ.'!R104+'Tab. 6G - Roln i ochrona środ.'!R119+'Tab. 6G - Roln i ochrona środ.'!R138</f>
        <v>3274335</v>
      </c>
      <c r="Q13" s="1001">
        <f>'Tab. 6G - Roln i ochrona środ.'!S91+'Tab. 6G - Roln i ochrona środ.'!S104+'Tab. 6G - Roln i ochrona środ.'!S119+'Tab. 6G - Roln i ochrona środ.'!S138</f>
        <v>2500000</v>
      </c>
      <c r="R13" s="1001">
        <f>'Tab. 6G - Roln i ochrona środ.'!T91+'Tab. 6G - Roln i ochrona środ.'!T104+'Tab. 6G - Roln i ochrona środ.'!T119+'Tab. 6G - Roln i ochrona środ.'!T138</f>
        <v>2720411</v>
      </c>
      <c r="S13" s="1001">
        <f>'Tab. 6G - Roln i ochrona środ.'!U91+'Tab. 6G - Roln i ochrona środ.'!U104+'Tab. 6G - Roln i ochrona środ.'!U119+'Tab. 6G - Roln i ochrona środ.'!U138</f>
        <v>2720411</v>
      </c>
      <c r="T13" s="1001">
        <f>'Tab. 6G - Roln i ochrona środ.'!V91+'Tab. 6G - Roln i ochrona środ.'!V104+'Tab. 6G - Roln i ochrona środ.'!V119+'Tab. 6G - Roln i ochrona środ.'!V138</f>
        <v>2720411</v>
      </c>
      <c r="U13" s="1001">
        <f>'Tab. 6G - Roln i ochrona środ.'!W91+'Tab. 6G - Roln i ochrona środ.'!W104+'Tab. 6G - Roln i ochrona środ.'!W119+'Tab. 6G - Roln i ochrona środ.'!W138</f>
        <v>1360206</v>
      </c>
      <c r="V13" s="1001">
        <f>K13+N13+O13+P13+Q13+R13+S13+T13+U13</f>
        <v>25156056</v>
      </c>
      <c r="W13" s="1002">
        <f>+O13+P13+Q13+R13+S13+T13+U13</f>
        <v>19195774</v>
      </c>
      <c r="X13" s="1003"/>
      <c r="Y13" s="1004"/>
      <c r="Z13" s="1004"/>
    </row>
    <row r="14" spans="1:27" s="1005" customFormat="1" ht="24.75" customHeight="1" thickBot="1">
      <c r="A14" s="4201" t="s">
        <v>230</v>
      </c>
      <c r="B14" s="4202"/>
      <c r="C14" s="1006">
        <f>+'Tab. 6G - Roln i ochrona środ.'!E97+'Tab. 6G - Roln i ochrona środ.'!E111+'Tab. 6G - Roln i ochrona środ.'!E125</f>
        <v>0</v>
      </c>
      <c r="D14" s="1006">
        <f>+'Tab. 6G - Roln i ochrona środ.'!F97+'Tab. 6G - Roln i ochrona środ.'!F111+'Tab. 6G - Roln i ochrona środ.'!F125</f>
        <v>0</v>
      </c>
      <c r="E14" s="1006">
        <f>+'Tab. 6G - Roln i ochrona środ.'!G97+'Tab. 6G - Roln i ochrona środ.'!G111+'Tab. 6G - Roln i ochrona środ.'!G125</f>
        <v>0</v>
      </c>
      <c r="F14" s="1006">
        <f>+'Tab. 6G - Roln i ochrona środ.'!H97+'Tab. 6G - Roln i ochrona środ.'!H111+'Tab. 6G - Roln i ochrona środ.'!H125</f>
        <v>0</v>
      </c>
      <c r="G14" s="1006">
        <f>+'Tab. 6G - Roln i ochrona środ.'!I97+'Tab. 6G - Roln i ochrona środ.'!I111+'Tab. 6G - Roln i ochrona środ.'!I125</f>
        <v>0</v>
      </c>
      <c r="H14" s="1006">
        <f>+'Tab. 6G - Roln i ochrona środ.'!J97+'Tab. 6G - Roln i ochrona środ.'!J111+'Tab. 6G - Roln i ochrona środ.'!J125</f>
        <v>0</v>
      </c>
      <c r="I14" s="1006">
        <f>+'Tab. 6G - Roln i ochrona środ.'!K97+'Tab. 6G - Roln i ochrona środ.'!K111+'Tab. 6G - Roln i ochrona środ.'!K125</f>
        <v>0</v>
      </c>
      <c r="J14" s="1006">
        <f>+'Tab. 6G - Roln i ochrona środ.'!L97+'Tab. 6G - Roln i ochrona środ.'!L111+'Tab. 6G - Roln i ochrona środ.'!L125</f>
        <v>0</v>
      </c>
      <c r="K14" s="1006">
        <f>+'Tab. 6G - Roln i ochrona środ.'!M97+'Tab. 6G - Roln i ochrona środ.'!M111+'Tab. 6G - Roln i ochrona środ.'!M125+'Tab. 6G - Roln i ochrona środ.'!M144</f>
        <v>2071007</v>
      </c>
      <c r="L14" s="1006">
        <f>+'Tab. 6G - Roln i ochrona środ.'!N97+'Tab. 6G - Roln i ochrona środ.'!N111+'Tab. 6G - Roln i ochrona środ.'!N125+'Tab. 6G - Roln i ochrona środ.'!N144</f>
        <v>0</v>
      </c>
      <c r="M14" s="1006">
        <f>+'Tab. 6G - Roln i ochrona środ.'!O97+'Tab. 6G - Roln i ochrona środ.'!O111+'Tab. 6G - Roln i ochrona środ.'!O125+'Tab. 6G - Roln i ochrona środ.'!O144</f>
        <v>2071007</v>
      </c>
      <c r="N14" s="1006">
        <f>+'Tab. 6G - Roln i ochrona środ.'!P97+'Tab. 6G - Roln i ochrona środ.'!P111+'Tab. 6G - Roln i ochrona środ.'!P125+'Tab. 6G - Roln i ochrona środ.'!P144</f>
        <v>3889275</v>
      </c>
      <c r="O14" s="1006">
        <f>+'Tab. 6G - Roln i ochrona środ.'!Q97+'Tab. 6G - Roln i ochrona środ.'!Q111+'Tab. 6G - Roln i ochrona środ.'!Q125+'Tab. 6G - Roln i ochrona środ.'!Q144</f>
        <v>3900000</v>
      </c>
      <c r="P14" s="1006">
        <f>+'Tab. 6G - Roln i ochrona środ.'!R97+'Tab. 6G - Roln i ochrona środ.'!R111+'Tab. 6G - Roln i ochrona środ.'!R125+'Tab. 6G - Roln i ochrona środ.'!R144</f>
        <v>3274335</v>
      </c>
      <c r="Q14" s="1006">
        <f>+'Tab. 6G - Roln i ochrona środ.'!S97+'Tab. 6G - Roln i ochrona środ.'!S111+'Tab. 6G - Roln i ochrona środ.'!S125+'Tab. 6G - Roln i ochrona środ.'!S144</f>
        <v>2500000</v>
      </c>
      <c r="R14" s="1006">
        <f>+'Tab. 6G - Roln i ochrona środ.'!T97+'Tab. 6G - Roln i ochrona środ.'!T111+'Tab. 6G - Roln i ochrona środ.'!T125+'Tab. 6G - Roln i ochrona środ.'!T144</f>
        <v>2720411</v>
      </c>
      <c r="S14" s="1006">
        <f>+'Tab. 6G - Roln i ochrona środ.'!U97+'Tab. 6G - Roln i ochrona środ.'!U111+'Tab. 6G - Roln i ochrona środ.'!U125+'Tab. 6G - Roln i ochrona środ.'!U144</f>
        <v>2720411</v>
      </c>
      <c r="T14" s="1006">
        <f>+'Tab. 6G - Roln i ochrona środ.'!V97+'Tab. 6G - Roln i ochrona środ.'!V111+'Tab. 6G - Roln i ochrona środ.'!V125+'Tab. 6G - Roln i ochrona środ.'!V144</f>
        <v>2720411</v>
      </c>
      <c r="U14" s="1006">
        <f>+'Tab. 6G - Roln i ochrona środ.'!W97+'Tab. 6G - Roln i ochrona środ.'!W111+'Tab. 6G - Roln i ochrona środ.'!W125+'Tab. 6G - Roln i ochrona środ.'!W144</f>
        <v>1360206</v>
      </c>
      <c r="V14" s="1006">
        <f>K14+N14+O14+P14+Q14+R14+S14+T14+U14</f>
        <v>25156056</v>
      </c>
      <c r="W14" s="1007" t="s">
        <v>75</v>
      </c>
      <c r="X14" s="1003"/>
      <c r="Y14" s="1004"/>
      <c r="Z14" s="1004"/>
    </row>
    <row r="15" spans="1:27" s="1005" customFormat="1" ht="24.75" hidden="1" customHeight="1" thickBot="1">
      <c r="A15" s="1008" t="s">
        <v>231</v>
      </c>
      <c r="B15" s="1009"/>
      <c r="C15" s="1001">
        <f>+'Tab. 6G - Roln i ochrona środ.'!E35+'Tab. 6G - Roln i ochrona środ.'!E54</f>
        <v>0</v>
      </c>
      <c r="D15" s="1001">
        <f>+'Tab. 6G - Roln i ochrona środ.'!F35+'Tab. 6G - Roln i ochrona środ.'!F54</f>
        <v>0</v>
      </c>
      <c r="E15" s="1001">
        <f>+'Tab. 6G - Roln i ochrona środ.'!G35+'Tab. 6G - Roln i ochrona środ.'!G54</f>
        <v>0</v>
      </c>
      <c r="F15" s="1001">
        <f>+'Tab. 6G - Roln i ochrona środ.'!H35+'Tab. 6G - Roln i ochrona środ.'!H54</f>
        <v>0</v>
      </c>
      <c r="G15" s="1001">
        <f>+'Tab. 6G - Roln i ochrona środ.'!I35+'Tab. 6G - Roln i ochrona środ.'!I54</f>
        <v>0</v>
      </c>
      <c r="H15" s="1001">
        <f>+'Tab. 6G - Roln i ochrona środ.'!J35+'Tab. 6G - Roln i ochrona środ.'!J54</f>
        <v>0</v>
      </c>
      <c r="I15" s="1001">
        <f>+'Tab. 6G - Roln i ochrona środ.'!K35+'Tab. 6G - Roln i ochrona środ.'!K54</f>
        <v>0</v>
      </c>
      <c r="J15" s="1001">
        <f>+'Tab. 6G - Roln i ochrona środ.'!L35+'Tab. 6G - Roln i ochrona środ.'!L54</f>
        <v>0</v>
      </c>
      <c r="K15" s="1001"/>
      <c r="L15" s="1001"/>
      <c r="M15" s="1001"/>
      <c r="N15" s="1001"/>
      <c r="O15" s="1001"/>
      <c r="P15" s="1001"/>
      <c r="Q15" s="1001"/>
      <c r="R15" s="1001"/>
      <c r="S15" s="1001"/>
      <c r="T15" s="1001"/>
      <c r="U15" s="1001"/>
      <c r="V15" s="1001"/>
      <c r="W15" s="1002">
        <f>N15+O15+P15+Q15+R15+S15+T15+U15</f>
        <v>0</v>
      </c>
      <c r="X15" s="1003"/>
      <c r="Y15" s="1004"/>
      <c r="Z15" s="1004"/>
    </row>
    <row r="16" spans="1:27" s="1005" customFormat="1" ht="24.75" hidden="1" customHeight="1" thickBot="1">
      <c r="A16" s="4201" t="s">
        <v>232</v>
      </c>
      <c r="B16" s="4202"/>
      <c r="C16" s="1006">
        <f>+'Tab. 6G - Roln i ochrona środ.'!E44+'Tab. 6G - Roln i ochrona środ.'!E61</f>
        <v>0</v>
      </c>
      <c r="D16" s="1006">
        <f>+'Tab. 6G - Roln i ochrona środ.'!F44+'Tab. 6G - Roln i ochrona środ.'!F61</f>
        <v>0</v>
      </c>
      <c r="E16" s="1006">
        <f>+'Tab. 6G - Roln i ochrona środ.'!G44+'Tab. 6G - Roln i ochrona środ.'!G61</f>
        <v>0</v>
      </c>
      <c r="F16" s="1006">
        <f>+'Tab. 6G - Roln i ochrona środ.'!H44+'Tab. 6G - Roln i ochrona środ.'!H61</f>
        <v>0</v>
      </c>
      <c r="G16" s="1006">
        <f>+'Tab. 6G - Roln i ochrona środ.'!I44+'Tab. 6G - Roln i ochrona środ.'!I61</f>
        <v>0</v>
      </c>
      <c r="H16" s="1006">
        <f>+'Tab. 6G - Roln i ochrona środ.'!J44+'Tab. 6G - Roln i ochrona środ.'!J61</f>
        <v>0</v>
      </c>
      <c r="I16" s="1006">
        <f>+'Tab. 6G - Roln i ochrona środ.'!K44+'Tab. 6G - Roln i ochrona środ.'!K61</f>
        <v>0</v>
      </c>
      <c r="J16" s="1006">
        <f>+'Tab. 6G - Roln i ochrona środ.'!L44+'Tab. 6G - Roln i ochrona środ.'!L61</f>
        <v>0</v>
      </c>
      <c r="K16" s="1006"/>
      <c r="L16" s="1006"/>
      <c r="M16" s="1006"/>
      <c r="N16" s="1006"/>
      <c r="O16" s="1006"/>
      <c r="P16" s="1006"/>
      <c r="Q16" s="1006"/>
      <c r="R16" s="1006"/>
      <c r="S16" s="1006"/>
      <c r="T16" s="1006"/>
      <c r="U16" s="1006"/>
      <c r="V16" s="1006"/>
      <c r="W16" s="1007" t="s">
        <v>75</v>
      </c>
      <c r="X16" s="1003"/>
      <c r="Y16" s="1004"/>
      <c r="Z16" s="1004"/>
    </row>
    <row r="17" spans="1:26" s="1005" customFormat="1" ht="24.75" customHeight="1" thickBot="1">
      <c r="A17" s="4249" t="s">
        <v>233</v>
      </c>
      <c r="B17" s="4250"/>
      <c r="C17" s="1001">
        <f>+'Tab. 6G - Roln i ochrona środ.'!E69+'Tab. 6G - Roln i ochrona środ.'!E80</f>
        <v>0</v>
      </c>
      <c r="D17" s="1001">
        <f>+'Tab. 6G - Roln i ochrona środ.'!F69+'Tab. 6G - Roln i ochrona środ.'!F80</f>
        <v>0</v>
      </c>
      <c r="E17" s="1001">
        <f>+'Tab. 6G - Roln i ochrona środ.'!G69+'Tab. 6G - Roln i ochrona środ.'!G80</f>
        <v>0</v>
      </c>
      <c r="F17" s="1001">
        <f>+'Tab. 6G - Roln i ochrona środ.'!H69+'Tab. 6G - Roln i ochrona środ.'!H80</f>
        <v>0</v>
      </c>
      <c r="G17" s="1001">
        <f>+'Tab. 6G - Roln i ochrona środ.'!I69+'Tab. 6G - Roln i ochrona środ.'!I80</f>
        <v>0</v>
      </c>
      <c r="H17" s="1001">
        <f>+'Tab. 6G - Roln i ochrona środ.'!J69+'Tab. 6G - Roln i ochrona środ.'!J80</f>
        <v>629249</v>
      </c>
      <c r="I17" s="1001">
        <f>+'Tab. 6G - Roln i ochrona środ.'!K69+'Tab. 6G - Roln i ochrona środ.'!K80</f>
        <v>5990094</v>
      </c>
      <c r="J17" s="1001">
        <f>+'Tab. 6G - Roln i ochrona środ.'!L69+'Tab. 6G - Roln i ochrona środ.'!L80</f>
        <v>4311439</v>
      </c>
      <c r="K17" s="1001">
        <f>'Tab. 6G - Roln i ochrona środ.'!M69+'Tab. 6G - Roln i ochrona środ.'!M80</f>
        <v>18993780</v>
      </c>
      <c r="L17" s="1001">
        <f>'Tab. 6G - Roln i ochrona środ.'!N69+'Tab. 6G - Roln i ochrona środ.'!N80</f>
        <v>3104767</v>
      </c>
      <c r="M17" s="1001">
        <f>'Tab. 6G - Roln i ochrona środ.'!O69+'Tab. 6G - Roln i ochrona środ.'!O80</f>
        <v>4958231</v>
      </c>
      <c r="N17" s="1001">
        <f>'Tab. 6G - Roln i ochrona środ.'!P69+'Tab. 6G - Roln i ochrona środ.'!P80</f>
        <v>5209221</v>
      </c>
      <c r="O17" s="1001">
        <f>'Tab. 6G - Roln i ochrona środ.'!Q69+'Tab. 6G - Roln i ochrona środ.'!Q80</f>
        <v>6133675</v>
      </c>
      <c r="P17" s="1001">
        <f>'Tab. 6G - Roln i ochrona środ.'!R69+'Tab. 6G - Roln i ochrona środ.'!R80</f>
        <v>3377928</v>
      </c>
      <c r="Q17" s="1001">
        <f>'Tab. 6G - Roln i ochrona środ.'!S69+'Tab. 6G - Roln i ochrona środ.'!S80</f>
        <v>1229040</v>
      </c>
      <c r="R17" s="1001">
        <f>'Tab. 6G - Roln i ochrona środ.'!T69+'Tab. 6G - Roln i ochrona środ.'!T80</f>
        <v>0</v>
      </c>
      <c r="S17" s="1001">
        <f>'Tab. 6G - Roln i ochrona środ.'!U69+'Tab. 6G - Roln i ochrona środ.'!U80</f>
        <v>0</v>
      </c>
      <c r="T17" s="1001">
        <f>'Tab. 6G - Roln i ochrona środ.'!V69+'Tab. 6G - Roln i ochrona środ.'!V80</f>
        <v>0</v>
      </c>
      <c r="U17" s="1001">
        <f>'Tab. 6G - Roln i ochrona środ.'!W69+'Tab. 6G - Roln i ochrona środ.'!W80</f>
        <v>0</v>
      </c>
      <c r="V17" s="1001">
        <f>K17+N17+O17+P17+Q17+R17+S17+T17+U17</f>
        <v>34943644</v>
      </c>
      <c r="W17" s="1002">
        <f>+O17+P17+Q17+R17+S17+T17+U17</f>
        <v>10740643</v>
      </c>
      <c r="X17" s="1003"/>
      <c r="Y17" s="1004"/>
      <c r="Z17" s="1004"/>
    </row>
    <row r="18" spans="1:26" s="1005" customFormat="1" ht="24.75" customHeight="1" thickBot="1">
      <c r="A18" s="4201" t="s">
        <v>234</v>
      </c>
      <c r="B18" s="4202"/>
      <c r="C18" s="1006">
        <f>+'Tab. 6G - Roln i ochrona środ.'!E74+'Tab. 6G - Roln i ochrona środ.'!E85</f>
        <v>0</v>
      </c>
      <c r="D18" s="1006">
        <f>+'Tab. 6G - Roln i ochrona środ.'!F74+'Tab. 6G - Roln i ochrona środ.'!F85</f>
        <v>0</v>
      </c>
      <c r="E18" s="1006">
        <f>+'Tab. 6G - Roln i ochrona środ.'!G74+'Tab. 6G - Roln i ochrona środ.'!G85</f>
        <v>0</v>
      </c>
      <c r="F18" s="1006">
        <f>+'Tab. 6G - Roln i ochrona środ.'!H74+'Tab. 6G - Roln i ochrona środ.'!H85</f>
        <v>0</v>
      </c>
      <c r="G18" s="1006">
        <f>+'Tab. 6G - Roln i ochrona środ.'!I74+'Tab. 6G - Roln i ochrona środ.'!I85</f>
        <v>0</v>
      </c>
      <c r="H18" s="1006">
        <f>+'Tab. 6G - Roln i ochrona środ.'!J74+'Tab. 6G - Roln i ochrona środ.'!J85</f>
        <v>3544011</v>
      </c>
      <c r="I18" s="1006">
        <f>+'Tab. 6G - Roln i ochrona środ.'!K74+'Tab. 6G - Roln i ochrona środ.'!K85</f>
        <v>8207133</v>
      </c>
      <c r="J18" s="1006">
        <f>+'Tab. 6G - Roln i ochrona środ.'!L74+'Tab. 6G - Roln i ochrona środ.'!L85</f>
        <v>6670133</v>
      </c>
      <c r="K18" s="1006">
        <f>'Tab. 6G - Roln i ochrona środ.'!M74+'Tab. 6G - Roln i ochrona środ.'!M85</f>
        <v>18724527</v>
      </c>
      <c r="L18" s="1006">
        <f>'Tab. 6G - Roln i ochrona środ.'!N74+'Tab. 6G - Roln i ochrona środ.'!N85</f>
        <v>0</v>
      </c>
      <c r="M18" s="1006">
        <f>'Tab. 6G - Roln i ochrona środ.'!O74+'Tab. 6G - Roln i ochrona środ.'!O85</f>
        <v>303250</v>
      </c>
      <c r="N18" s="1006">
        <f>'Tab. 6G - Roln i ochrona środ.'!P74+'Tab. 6G - Roln i ochrona środ.'!P85</f>
        <v>6735102</v>
      </c>
      <c r="O18" s="1006">
        <f>'Tab. 6G - Roln i ochrona środ.'!Q74+'Tab. 6G - Roln i ochrona środ.'!Q85</f>
        <v>4500484</v>
      </c>
      <c r="P18" s="1006">
        <f>'Tab. 6G - Roln i ochrona środ.'!R74+'Tab. 6G - Roln i ochrona środ.'!R85</f>
        <v>0</v>
      </c>
      <c r="Q18" s="1006">
        <f>'Tab. 6G - Roln i ochrona środ.'!S74+'Tab. 6G - Roln i ochrona środ.'!S85</f>
        <v>4983531</v>
      </c>
      <c r="R18" s="1006">
        <f>'Tab. 6G - Roln i ochrona środ.'!T74+'Tab. 6G - Roln i ochrona środ.'!T85</f>
        <v>0</v>
      </c>
      <c r="S18" s="1006">
        <f>'Tab. 6G - Roln i ochrona środ.'!U74+'Tab. 6G - Roln i ochrona środ.'!U85</f>
        <v>0</v>
      </c>
      <c r="T18" s="1006">
        <f>'Tab. 6G - Roln i ochrona środ.'!V74+'Tab. 6G - Roln i ochrona środ.'!V85</f>
        <v>0</v>
      </c>
      <c r="U18" s="1006">
        <f>'Tab. 6G - Roln i ochrona środ.'!W74+'Tab. 6G - Roln i ochrona środ.'!W85</f>
        <v>0</v>
      </c>
      <c r="V18" s="1006">
        <f>K18+N18+O18+P18+Q18+R18+S18+T18+U18</f>
        <v>34943644</v>
      </c>
      <c r="W18" s="1007" t="s">
        <v>75</v>
      </c>
      <c r="X18" s="1003"/>
      <c r="Y18" s="1004"/>
      <c r="Z18" s="1004"/>
    </row>
    <row r="19" spans="1:26" s="1005" customFormat="1" ht="24.75" customHeight="1" thickBot="1">
      <c r="A19" s="4245" t="s">
        <v>235</v>
      </c>
      <c r="B19" s="4246"/>
      <c r="C19" s="1001">
        <f>+'Tab. 6E - Administracja'!E28+'Tab. 6E - Administracja'!E37</f>
        <v>0</v>
      </c>
      <c r="D19" s="1001">
        <f>+'Tab. 6E - Administracja'!F28+'Tab. 6E - Administracja'!F37</f>
        <v>0</v>
      </c>
      <c r="E19" s="1001">
        <f>+'Tab. 6E - Administracja'!G28+'Tab. 6E - Administracja'!G37</f>
        <v>0</v>
      </c>
      <c r="F19" s="1001">
        <f>+'Tab. 6E - Administracja'!H28+'Tab. 6E - Administracja'!H37</f>
        <v>0</v>
      </c>
      <c r="G19" s="1001">
        <f>+'Tab. 6E - Administracja'!I28+'Tab. 6E - Administracja'!I37</f>
        <v>0</v>
      </c>
      <c r="H19" s="1001">
        <f>+'Tab. 6E - Administracja'!J28+'Tab. 6E - Administracja'!J37</f>
        <v>0</v>
      </c>
      <c r="I19" s="1001">
        <f>+'Tab. 6E - Administracja'!K28+'Tab. 6E - Administracja'!K37</f>
        <v>0</v>
      </c>
      <c r="J19" s="1001">
        <f>+'Tab. 6E - Administracja'!L28+'Tab. 6E - Administracja'!L37</f>
        <v>0</v>
      </c>
      <c r="K19" s="1001">
        <f>'Tab. 6E - Administracja'!M37+'Tab. 6E - Administracja'!M48+'Tab. 6E - Administracja'!M59+'Tab. 6E - Administracja'!M211+'Tab. 6E - Administracja'!M212+'Tab. 6E - Administracja'!M215</f>
        <v>1230114</v>
      </c>
      <c r="L19" s="1001">
        <f>+'Tab. 6E - Administracja'!N28+'Tab. 6E - Administracja'!N37+'Tab. 6E - Administracja'!N48+'Tab. 6E - Administracja'!N59</f>
        <v>0</v>
      </c>
      <c r="M19" s="1001">
        <f>'Tab. 6E - Administracja'!O37+'Tab. 6E - Administracja'!O48+'Tab. 6E - Administracja'!O59+'Tab. 6E - Administracja'!O211+'Tab. 6E - Administracja'!O212+'Tab. 6E - Administracja'!O215</f>
        <v>1230114</v>
      </c>
      <c r="N19" s="1001">
        <f>'Tab. 6E - Administracja'!P37+'Tab. 6E - Administracja'!P48+'Tab. 6E - Administracja'!P59+'Tab. 6E - Administracja'!P211+'Tab. 6E - Administracja'!P212+'Tab. 6E - Administracja'!P215+'Tab. 6E - Administracja'!P222</f>
        <v>1533867</v>
      </c>
      <c r="O19" s="1001">
        <f>'Tab. 6E - Administracja'!Q37+'Tab. 6E - Administracja'!Q48+'Tab. 6E - Administracja'!Q59+'Tab. 6E - Administracja'!Q211+'Tab. 6E - Administracja'!Q212+'Tab. 6E - Administracja'!Q215</f>
        <v>6336217</v>
      </c>
      <c r="P19" s="1001">
        <f>'Tab. 6E - Administracja'!R37+'Tab. 6E - Administracja'!R48+'Tab. 6E - Administracja'!R59+'Tab. 6E - Administracja'!R211+'Tab. 6E - Administracja'!R212+'Tab. 6E - Administracja'!R215</f>
        <v>2968869</v>
      </c>
      <c r="Q19" s="1001">
        <f>'Tab. 6E - Administracja'!S37+'Tab. 6E - Administracja'!S48+'Tab. 6E - Administracja'!S59+'Tab. 6E - Administracja'!S211+'Tab. 6E - Administracja'!S212+'Tab. 6E - Administracja'!S215</f>
        <v>1500000</v>
      </c>
      <c r="R19" s="1001">
        <f>'Tab. 6E - Administracja'!T37+'Tab. 6E - Administracja'!T48+'Tab. 6E - Administracja'!T59+'Tab. 6E - Administracja'!T211+'Tab. 6E - Administracja'!T212+'Tab. 6E - Administracja'!T215</f>
        <v>1400000</v>
      </c>
      <c r="S19" s="1001">
        <f>'Tab. 6E - Administracja'!U37+'Tab. 6E - Administracja'!U48+'Tab. 6E - Administracja'!U59+'Tab. 6E - Administracja'!U211+'Tab. 6E - Administracja'!U212+'Tab. 6E - Administracja'!U215</f>
        <v>0</v>
      </c>
      <c r="T19" s="1001">
        <f>'Tab. 6E - Administracja'!V37+'Tab. 6E - Administracja'!V48+'Tab. 6E - Administracja'!V59+'Tab. 6E - Administracja'!V211+'Tab. 6E - Administracja'!V212+'Tab. 6E - Administracja'!V215</f>
        <v>0</v>
      </c>
      <c r="U19" s="1001">
        <f>'Tab. 6E - Administracja'!W37+'Tab. 6E - Administracja'!W48+'Tab. 6E - Administracja'!W59+'Tab. 6E - Administracja'!W211+'Tab. 6E - Administracja'!W212+'Tab. 6E - Administracja'!W215</f>
        <v>0</v>
      </c>
      <c r="V19" s="1001">
        <f>K19+N19+O19+P19+Q19+R19+S19+T19+U19</f>
        <v>14969067</v>
      </c>
      <c r="W19" s="1002">
        <f>+O19+P19+Q19+R19+S19+T19+U19</f>
        <v>12205086</v>
      </c>
      <c r="X19" s="1003">
        <f>'Tab. 6E - Administracja'!O28+'Tab. 6E - Administracja'!O37+'Tab. 6E - Administracja'!O48+'Tab. 6E - Administracja'!O59</f>
        <v>1230114</v>
      </c>
      <c r="Y19" s="1004"/>
      <c r="Z19" s="1004"/>
    </row>
    <row r="20" spans="1:26" s="1005" customFormat="1" ht="24.75" customHeight="1" thickBot="1">
      <c r="A20" s="4201" t="s">
        <v>236</v>
      </c>
      <c r="B20" s="4202"/>
      <c r="C20" s="1006">
        <f>+'Tab. 6E - Administracja'!E33+'Tab. 6E - Administracja'!E42</f>
        <v>0</v>
      </c>
      <c r="D20" s="1006">
        <f>+'Tab. 6E - Administracja'!F33+'Tab. 6E - Administracja'!F42</f>
        <v>0</v>
      </c>
      <c r="E20" s="1006">
        <f>+'Tab. 6E - Administracja'!G33+'Tab. 6E - Administracja'!G42</f>
        <v>0</v>
      </c>
      <c r="F20" s="1006">
        <f>+'Tab. 6E - Administracja'!H33+'Tab. 6E - Administracja'!H42</f>
        <v>0</v>
      </c>
      <c r="G20" s="1006">
        <f>+'Tab. 6E - Administracja'!I33+'Tab. 6E - Administracja'!I42</f>
        <v>0</v>
      </c>
      <c r="H20" s="1006">
        <f>+'Tab. 6E - Administracja'!J33+'Tab. 6E - Administracja'!J42</f>
        <v>0</v>
      </c>
      <c r="I20" s="1006">
        <f>+'Tab. 6E - Administracja'!K33+'Tab. 6E - Administracja'!K42</f>
        <v>0</v>
      </c>
      <c r="J20" s="1006">
        <f>+'Tab. 6E - Administracja'!L33+'Tab. 6E - Administracja'!L42</f>
        <v>0</v>
      </c>
      <c r="K20" s="1006">
        <f>+'Tab. 6E - Administracja'!M42+'Tab. 6E - Administracja'!M53+'Tab. 6E - Administracja'!M64+'Tab. 6E - Administracja'!M216</f>
        <v>1230114</v>
      </c>
      <c r="L20" s="1006">
        <f>+'Tab. 6E - Administracja'!N42+'Tab. 6E - Administracja'!N53+'Tab. 6E - Administracja'!N64+'Tab. 6E - Administracja'!N216</f>
        <v>0</v>
      </c>
      <c r="M20" s="1006">
        <f>+'Tab. 6E - Administracja'!O42+'Tab. 6E - Administracja'!O53+'Tab. 6E - Administracja'!O64+'Tab. 6E - Administracja'!O216</f>
        <v>1230114</v>
      </c>
      <c r="N20" s="1006">
        <f>+'Tab. 6E - Administracja'!P42+'Tab. 6E - Administracja'!P53+'Tab. 6E - Administracja'!P64+'Tab. 6E - Administracja'!P216+'Tab. 6E - Administracja'!P227</f>
        <v>1523256</v>
      </c>
      <c r="O20" s="1006">
        <f>+'Tab. 6E - Administracja'!Q42+'Tab. 6E - Administracja'!Q53+'Tab. 6E - Administracja'!Q64+'Tab. 6E - Administracja'!Q216+'Tab. 6E - Administracja'!Q227</f>
        <v>6284315</v>
      </c>
      <c r="P20" s="1006">
        <f>+'Tab. 6E - Administracja'!R42+'Tab. 6E - Administracja'!R53+'Tab. 6E - Administracja'!R64+'Tab. 6E - Administracja'!R216+'Tab. 6E - Administracja'!R227</f>
        <v>2931382</v>
      </c>
      <c r="Q20" s="1006">
        <f>+'Tab. 6E - Administracja'!S42+'Tab. 6E - Administracja'!S53+'Tab. 6E - Administracja'!S64+'Tab. 6E - Administracja'!S216+'Tab. 6E - Administracja'!S227</f>
        <v>1500000</v>
      </c>
      <c r="R20" s="1006">
        <f>+'Tab. 6E - Administracja'!T42+'Tab. 6E - Administracja'!T53+'Tab. 6E - Administracja'!T64+'Tab. 6E - Administracja'!T216+'Tab. 6E - Administracja'!T227</f>
        <v>1400000</v>
      </c>
      <c r="S20" s="1006">
        <f>+'Tab. 6E - Administracja'!U42+'Tab. 6E - Administracja'!U53+'Tab. 6E - Administracja'!U64+'Tab. 6E - Administracja'!U216</f>
        <v>0</v>
      </c>
      <c r="T20" s="1006">
        <f>+'Tab. 6E - Administracja'!V42+'Tab. 6E - Administracja'!V53+'Tab. 6E - Administracja'!V64+'Tab. 6E - Administracja'!V216</f>
        <v>0</v>
      </c>
      <c r="U20" s="1006">
        <f>+'Tab. 6E - Administracja'!W42+'Tab. 6E - Administracja'!W53+'Tab. 6E - Administracja'!W64+'Tab. 6E - Administracja'!W216</f>
        <v>0</v>
      </c>
      <c r="V20" s="1006">
        <f>K20+N20+O20+P20+Q20+R20+S20+T20+U20</f>
        <v>14869067</v>
      </c>
      <c r="W20" s="1007" t="s">
        <v>75</v>
      </c>
      <c r="X20" s="1003"/>
      <c r="Y20" s="1004"/>
      <c r="Z20" s="1004"/>
    </row>
    <row r="21" spans="1:26" s="1005" customFormat="1" ht="24.75" hidden="1" customHeight="1" thickBot="1">
      <c r="A21" s="4245" t="s">
        <v>237</v>
      </c>
      <c r="B21" s="4246"/>
      <c r="C21" s="1001">
        <f>+'Tab. 6B Polit społ i rozwój prz'!E176</f>
        <v>0</v>
      </c>
      <c r="D21" s="1001">
        <f>+'Tab. 6B Polit społ i rozwój prz'!F176</f>
        <v>0</v>
      </c>
      <c r="E21" s="1001">
        <f>+'Tab. 6B Polit społ i rozwój prz'!G176</f>
        <v>0</v>
      </c>
      <c r="F21" s="1001">
        <f>+'Tab. 6B Polit społ i rozwój prz'!H176</f>
        <v>0</v>
      </c>
      <c r="G21" s="1001">
        <f>+'Tab. 6B Polit społ i rozwój prz'!I176</f>
        <v>0</v>
      </c>
      <c r="H21" s="1001">
        <f>+'Tab. 6B Polit społ i rozwój prz'!J176</f>
        <v>0</v>
      </c>
      <c r="I21" s="1001">
        <f>+'Tab. 6B Polit społ i rozwój prz'!K176</f>
        <v>0</v>
      </c>
      <c r="J21" s="1001">
        <f>+'Tab. 6B Polit społ i rozwój prz'!L176</f>
        <v>0</v>
      </c>
      <c r="K21" s="1001"/>
      <c r="L21" s="1001"/>
      <c r="M21" s="1001"/>
      <c r="N21" s="1001"/>
      <c r="O21" s="1001"/>
      <c r="P21" s="1001"/>
      <c r="Q21" s="1001"/>
      <c r="R21" s="1001"/>
      <c r="S21" s="1001"/>
      <c r="T21" s="1001"/>
      <c r="U21" s="1001"/>
      <c r="V21" s="1001"/>
      <c r="W21" s="1002">
        <f>N21+O21+P21+Q21+R21+S21+T21+U21</f>
        <v>0</v>
      </c>
      <c r="X21" s="1003"/>
      <c r="Y21" s="1004"/>
      <c r="Z21" s="1004"/>
    </row>
    <row r="22" spans="1:26" s="1005" customFormat="1" ht="22.5" hidden="1" customHeight="1" thickBot="1">
      <c r="A22" s="4231" t="s">
        <v>238</v>
      </c>
      <c r="B22" s="4232"/>
      <c r="C22" s="1006">
        <f>+'Tab. 6B Polit społ i rozwój prz'!E182</f>
        <v>0</v>
      </c>
      <c r="D22" s="1006">
        <f>+'Tab. 6B Polit społ i rozwój prz'!F182</f>
        <v>0</v>
      </c>
      <c r="E22" s="1006">
        <f>+'Tab. 6B Polit społ i rozwój prz'!G182</f>
        <v>0</v>
      </c>
      <c r="F22" s="1006">
        <f>+'Tab. 6B Polit społ i rozwój prz'!H182</f>
        <v>0</v>
      </c>
      <c r="G22" s="1006">
        <f>+'Tab. 6B Polit społ i rozwój prz'!I182</f>
        <v>0</v>
      </c>
      <c r="H22" s="1006">
        <f>+'Tab. 6B Polit społ i rozwój prz'!J182</f>
        <v>0</v>
      </c>
      <c r="I22" s="1006">
        <f>+'Tab. 6B Polit społ i rozwój prz'!K182</f>
        <v>0</v>
      </c>
      <c r="J22" s="1006">
        <f>+'Tab. 6B Polit społ i rozwój prz'!L182</f>
        <v>0</v>
      </c>
      <c r="K22" s="1006"/>
      <c r="L22" s="1006"/>
      <c r="M22" s="1006"/>
      <c r="N22" s="1006"/>
      <c r="O22" s="1006"/>
      <c r="P22" s="1006"/>
      <c r="Q22" s="1006"/>
      <c r="R22" s="1006"/>
      <c r="S22" s="1006"/>
      <c r="T22" s="1006"/>
      <c r="U22" s="1006"/>
      <c r="V22" s="1006"/>
      <c r="W22" s="1007" t="s">
        <v>75</v>
      </c>
      <c r="X22" s="1003"/>
      <c r="Y22" s="1004"/>
      <c r="Z22" s="1004"/>
    </row>
    <row r="23" spans="1:26" s="1005" customFormat="1" ht="23.25" customHeight="1" thickBot="1">
      <c r="A23" s="4245" t="s">
        <v>271</v>
      </c>
      <c r="B23" s="4246"/>
      <c r="C23" s="1001"/>
      <c r="D23" s="1001"/>
      <c r="E23" s="1001"/>
      <c r="F23" s="1001"/>
      <c r="G23" s="1001"/>
      <c r="H23" s="1001"/>
      <c r="I23" s="1001"/>
      <c r="J23" s="1001"/>
      <c r="K23" s="1001">
        <f>'Tab. 6B Polit społ i rozwój prz'!M152</f>
        <v>448847</v>
      </c>
      <c r="L23" s="1001">
        <f>'Tab. 6B Polit społ i rozwój prz'!N152</f>
        <v>0</v>
      </c>
      <c r="M23" s="1001">
        <f>'Tab. 6B Polit społ i rozwój prz'!O152+'Tab. 6B Polit społ i rozwój prz'!O164</f>
        <v>448847</v>
      </c>
      <c r="N23" s="1001">
        <f>'Tab. 6B Polit społ i rozwój prz'!P152+'Tab. 6B Polit społ i rozwój prz'!P164</f>
        <v>1310999</v>
      </c>
      <c r="O23" s="1001">
        <f>'Tab. 6B Polit społ i rozwój prz'!Q152+'Tab. 6B Polit społ i rozwój prz'!Q164</f>
        <v>1662316</v>
      </c>
      <c r="P23" s="1001">
        <f>'Tab. 6B Polit społ i rozwój prz'!R152+'Tab. 6B Polit społ i rozwój prz'!R164</f>
        <v>1651824</v>
      </c>
      <c r="Q23" s="1001">
        <f>'Tab. 6B Polit społ i rozwój prz'!S152+'Tab. 6B Polit społ i rozwój prz'!S164</f>
        <v>2254390</v>
      </c>
      <c r="R23" s="1001">
        <f>'Tab. 6B Polit społ i rozwój prz'!T152+'Tab. 6B Polit społ i rozwój prz'!T164</f>
        <v>2254390</v>
      </c>
      <c r="S23" s="1001">
        <f>'Tab. 6B Polit społ i rozwój prz'!U152</f>
        <v>0</v>
      </c>
      <c r="T23" s="1001">
        <f>'Tab. 6B Polit społ i rozwój prz'!V152</f>
        <v>0</v>
      </c>
      <c r="U23" s="1001">
        <f>'Tab. 6B Polit społ i rozwój prz'!W152</f>
        <v>0</v>
      </c>
      <c r="V23" s="1001">
        <f>K23+N23+O23+P23+Q23+R23+S23+T23+U23</f>
        <v>9582766</v>
      </c>
      <c r="W23" s="1002">
        <f>+O23+P23+Q23+R23+S23+T23+U23</f>
        <v>7822920</v>
      </c>
      <c r="X23" s="1003"/>
      <c r="Y23" s="1004"/>
      <c r="Z23" s="1004"/>
    </row>
    <row r="24" spans="1:26" s="1005" customFormat="1" ht="25.5" customHeight="1" thickBot="1">
      <c r="A24" s="4201" t="s">
        <v>272</v>
      </c>
      <c r="B24" s="4202"/>
      <c r="C24" s="1006"/>
      <c r="D24" s="1006"/>
      <c r="E24" s="1006"/>
      <c r="F24" s="1006"/>
      <c r="G24" s="1006"/>
      <c r="H24" s="1006"/>
      <c r="I24" s="1006"/>
      <c r="J24" s="1006"/>
      <c r="K24" s="1006">
        <f>'Tab. 6B Polit społ i rozwój prz'!M158</f>
        <v>378288</v>
      </c>
      <c r="L24" s="1006">
        <f>'Tab. 6B Polit społ i rozwój prz'!N158</f>
        <v>0</v>
      </c>
      <c r="M24" s="1006">
        <f>'Tab. 6B Polit społ i rozwój prz'!O158+'Tab. 6B Polit społ i rozwój prz'!O170</f>
        <v>378288</v>
      </c>
      <c r="N24" s="1006">
        <f>'Tab. 6B Polit społ i rozwój prz'!P158+'Tab. 6B Polit społ i rozwój prz'!P170</f>
        <v>1104910</v>
      </c>
      <c r="O24" s="1006">
        <f>'Tab. 6B Polit społ i rozwój prz'!Q158+'Tab. 6B Polit społ i rozwój prz'!Q170</f>
        <v>1401000</v>
      </c>
      <c r="P24" s="1006">
        <f>'Tab. 6B Polit społ i rozwój prz'!R158+'Tab. 6B Polit społ i rozwój prz'!R170</f>
        <v>1392157</v>
      </c>
      <c r="Q24" s="1006">
        <f>'Tab. 6B Polit społ i rozwój prz'!S158</f>
        <v>1900000</v>
      </c>
      <c r="R24" s="1006">
        <f>'Tab. 6B Polit społ i rozwój prz'!T158</f>
        <v>1900000</v>
      </c>
      <c r="S24" s="1006">
        <f>'Tab. 6B Polit społ i rozwój prz'!U158</f>
        <v>0</v>
      </c>
      <c r="T24" s="1006">
        <f>'Tab. 6B Polit społ i rozwój prz'!V158</f>
        <v>0</v>
      </c>
      <c r="U24" s="1006">
        <f>'Tab. 6B Polit społ i rozwój prz'!W158</f>
        <v>0</v>
      </c>
      <c r="V24" s="1006">
        <f>K24+N24+O24+P24+Q24+R24+S24+T24+U24</f>
        <v>8076355</v>
      </c>
      <c r="W24" s="1007" t="s">
        <v>75</v>
      </c>
      <c r="X24" s="1003"/>
      <c r="Y24" s="1004"/>
      <c r="Z24" s="1004"/>
    </row>
    <row r="25" spans="1:26" s="1012" customFormat="1" ht="24" customHeight="1" thickBot="1">
      <c r="A25" s="4245" t="s">
        <v>239</v>
      </c>
      <c r="B25" s="4246"/>
      <c r="C25" s="1001">
        <f>C28+C30+C32+C34</f>
        <v>0</v>
      </c>
      <c r="D25" s="1001" t="e">
        <f t="shared" ref="D25:J25" si="0">D28+D30+D32+D34</f>
        <v>#REF!</v>
      </c>
      <c r="E25" s="1001" t="e">
        <f t="shared" si="0"/>
        <v>#REF!</v>
      </c>
      <c r="F25" s="1001" t="e">
        <f t="shared" si="0"/>
        <v>#REF!</v>
      </c>
      <c r="G25" s="1001">
        <f t="shared" si="0"/>
        <v>228400</v>
      </c>
      <c r="H25" s="1001">
        <f t="shared" si="0"/>
        <v>3000</v>
      </c>
      <c r="I25" s="1001">
        <f t="shared" si="0"/>
        <v>22878</v>
      </c>
      <c r="J25" s="1001">
        <f t="shared" si="0"/>
        <v>137917</v>
      </c>
      <c r="K25" s="1001">
        <f>K28+K30+K32+K34+K36</f>
        <v>438184</v>
      </c>
      <c r="L25" s="1001">
        <f t="shared" ref="L25:T25" si="1">L28+L30+L32+L34+L36</f>
        <v>3465</v>
      </c>
      <c r="M25" s="1001">
        <f t="shared" si="1"/>
        <v>42524</v>
      </c>
      <c r="N25" s="1001">
        <f t="shared" si="1"/>
        <v>1222258</v>
      </c>
      <c r="O25" s="1001">
        <f t="shared" si="1"/>
        <v>33407564</v>
      </c>
      <c r="P25" s="1001">
        <f t="shared" si="1"/>
        <v>6315338</v>
      </c>
      <c r="Q25" s="1001">
        <f t="shared" si="1"/>
        <v>8767984</v>
      </c>
      <c r="R25" s="1001">
        <f t="shared" si="1"/>
        <v>424247</v>
      </c>
      <c r="S25" s="1001">
        <f t="shared" si="1"/>
        <v>280970</v>
      </c>
      <c r="T25" s="1001">
        <f t="shared" si="1"/>
        <v>280340</v>
      </c>
      <c r="U25" s="1001">
        <f t="shared" ref="U25" si="2">U28+U30+U32+U34+U36</f>
        <v>0</v>
      </c>
      <c r="V25" s="1001">
        <f>K25+N25+O25+P25+Q25+R25+S25+T25+U25</f>
        <v>51136885</v>
      </c>
      <c r="W25" s="1002">
        <f>+O25+P25+Q25+R25+S25+T25+U25</f>
        <v>49476443</v>
      </c>
      <c r="X25" s="1010"/>
      <c r="Y25" s="1011"/>
      <c r="Z25" s="1011"/>
    </row>
    <row r="26" spans="1:26" s="1012" customFormat="1" ht="24" customHeight="1" thickBot="1">
      <c r="A26" s="4231" t="s">
        <v>240</v>
      </c>
      <c r="B26" s="4232"/>
      <c r="C26" s="1006">
        <f>C29+C31+C33+C35</f>
        <v>0</v>
      </c>
      <c r="D26" s="1006" t="e">
        <f t="shared" ref="D26:J26" si="3">D29+D31+D33+D35</f>
        <v>#REF!</v>
      </c>
      <c r="E26" s="1006" t="e">
        <f t="shared" si="3"/>
        <v>#REF!</v>
      </c>
      <c r="F26" s="1006" t="e">
        <f t="shared" si="3"/>
        <v>#REF!</v>
      </c>
      <c r="G26" s="1006">
        <f t="shared" si="3"/>
        <v>0</v>
      </c>
      <c r="H26" s="1006">
        <f t="shared" si="3"/>
        <v>0</v>
      </c>
      <c r="I26" s="1006">
        <f t="shared" si="3"/>
        <v>22878</v>
      </c>
      <c r="J26" s="1006">
        <f t="shared" si="3"/>
        <v>34125</v>
      </c>
      <c r="K26" s="1006">
        <f>K29+K31+K33+K35+K37</f>
        <v>57003</v>
      </c>
      <c r="L26" s="1006">
        <f t="shared" ref="L26:T26" si="4">L29+L31+L33+L35+L37</f>
        <v>0</v>
      </c>
      <c r="M26" s="1006">
        <f t="shared" si="4"/>
        <v>0</v>
      </c>
      <c r="N26" s="1006">
        <f t="shared" si="4"/>
        <v>0</v>
      </c>
      <c r="O26" s="1006">
        <f>O29+O31+O33+O35+O37</f>
        <v>14580444</v>
      </c>
      <c r="P26" s="1006">
        <f t="shared" si="4"/>
        <v>11027695</v>
      </c>
      <c r="Q26" s="1006">
        <f t="shared" si="4"/>
        <v>8067594</v>
      </c>
      <c r="R26" s="1006">
        <f t="shared" si="4"/>
        <v>3734190</v>
      </c>
      <c r="S26" s="1006">
        <f t="shared" si="4"/>
        <v>440201</v>
      </c>
      <c r="T26" s="1006">
        <f t="shared" si="4"/>
        <v>280770</v>
      </c>
      <c r="U26" s="1006">
        <f t="shared" ref="U26" si="5">U29+U31+U33+U35+U37</f>
        <v>280140</v>
      </c>
      <c r="V26" s="1006">
        <f>K26+N26+O26+P26+Q26+R26+S26+T26+U26</f>
        <v>38468037</v>
      </c>
      <c r="W26" s="1007" t="s">
        <v>75</v>
      </c>
      <c r="X26" s="1010"/>
      <c r="Y26" s="1011"/>
      <c r="Z26" s="1011"/>
    </row>
    <row r="27" spans="1:26" s="1012" customFormat="1" ht="15">
      <c r="A27" s="4247" t="s">
        <v>181</v>
      </c>
      <c r="B27" s="4248"/>
      <c r="C27" s="1013"/>
      <c r="D27" s="1013"/>
      <c r="E27" s="1013"/>
      <c r="F27" s="1013"/>
      <c r="G27" s="1013"/>
      <c r="H27" s="1013"/>
      <c r="I27" s="1013"/>
      <c r="J27" s="1013"/>
      <c r="K27" s="1013"/>
      <c r="L27" s="1013"/>
      <c r="M27" s="1013"/>
      <c r="N27" s="1013"/>
      <c r="O27" s="1013"/>
      <c r="P27" s="1013"/>
      <c r="Q27" s="1013"/>
      <c r="R27" s="1013"/>
      <c r="S27" s="1013"/>
      <c r="T27" s="1013"/>
      <c r="U27" s="1013"/>
      <c r="V27" s="1013">
        <f t="shared" ref="V27" si="6">K27+M27+N27+O27+P27+Q27+R27+S27+T27+U27</f>
        <v>0</v>
      </c>
      <c r="W27" s="1014"/>
      <c r="X27" s="1010"/>
      <c r="Y27" s="1011"/>
      <c r="Z27" s="1011"/>
    </row>
    <row r="28" spans="1:26" s="1012" customFormat="1" ht="17.25" customHeight="1">
      <c r="A28" s="4233" t="s">
        <v>553</v>
      </c>
      <c r="B28" s="4234"/>
      <c r="C28" s="3187">
        <f>+'Tab. 6A -Drogi'!E426</f>
        <v>0</v>
      </c>
      <c r="D28" s="3187">
        <f>+'Tab. 6A -Drogi'!F426</f>
        <v>0</v>
      </c>
      <c r="E28" s="3187">
        <f>+'Tab. 6A -Drogi'!G426</f>
        <v>0</v>
      </c>
      <c r="F28" s="3187">
        <f>+'Tab. 6A -Drogi'!H426</f>
        <v>0</v>
      </c>
      <c r="G28" s="3187">
        <f>+'Tab. 6A -Drogi'!I426</f>
        <v>228400</v>
      </c>
      <c r="H28" s="3187">
        <f>+'Tab. 6A -Drogi'!J426</f>
        <v>3000</v>
      </c>
      <c r="I28" s="3187">
        <f>+'Tab. 6A -Drogi'!K426</f>
        <v>22878</v>
      </c>
      <c r="J28" s="3187">
        <f>+'Tab. 6A -Drogi'!L426</f>
        <v>137917</v>
      </c>
      <c r="K28" s="3187">
        <f>'Tab. 6A -Drogi'!M426-'Tab. 6A -Drogi'!M505</f>
        <v>395660</v>
      </c>
      <c r="L28" s="3187">
        <f>'Tab. 6A -Drogi'!N426-'Tab. 6A -Drogi'!N505</f>
        <v>3465</v>
      </c>
      <c r="M28" s="3187">
        <f>'Tab. 6A -Drogi'!O426-'Tab. 6A -Drogi'!O505</f>
        <v>0</v>
      </c>
      <c r="N28" s="3187">
        <f>'Tab. 6A -Drogi'!P426-'Tab. 6A -Drogi'!P505</f>
        <v>450270</v>
      </c>
      <c r="O28" s="3187">
        <f>'Tab. 6A -Drogi'!Q426-'Tab. 6A -Drogi'!Q505</f>
        <v>31523788</v>
      </c>
      <c r="P28" s="3187">
        <f>'Tab. 6A -Drogi'!R426-'Tab. 6A -Drogi'!R505</f>
        <v>4522140</v>
      </c>
      <c r="Q28" s="3187">
        <f>'Tab. 6A -Drogi'!S426-'Tab. 6A -Drogi'!S505</f>
        <v>7699860</v>
      </c>
      <c r="R28" s="3187">
        <f>'Tab. 6A -Drogi'!T426-'Tab. 6A -Drogi'!T505</f>
        <v>0</v>
      </c>
      <c r="S28" s="3187">
        <f>'Tab. 6A -Drogi'!U426-'Tab. 6A -Drogi'!U505</f>
        <v>0</v>
      </c>
      <c r="T28" s="3187">
        <f>'Tab. 6A -Drogi'!V426-'Tab. 6A -Drogi'!V505</f>
        <v>0</v>
      </c>
      <c r="U28" s="3187">
        <f>'Tab. 6A -Drogi'!W426-'Tab. 6A -Drogi'!W505</f>
        <v>0</v>
      </c>
      <c r="V28" s="3187">
        <f t="shared" ref="V28:V41" si="7">K28+N28+O28+P28+Q28+R28+S28+T28+U28</f>
        <v>44591718</v>
      </c>
      <c r="W28" s="1016">
        <f>+O28+P28+Q28+R28+S28+T28+U28</f>
        <v>43745788</v>
      </c>
      <c r="X28" s="1010"/>
      <c r="Y28" s="1011"/>
      <c r="Z28" s="1011"/>
    </row>
    <row r="29" spans="1:26" s="1012" customFormat="1" ht="17.25" customHeight="1">
      <c r="A29" s="4235" t="s">
        <v>554</v>
      </c>
      <c r="B29" s="4236"/>
      <c r="C29" s="3188">
        <f>+'Tab. 6A -Drogi'!E432</f>
        <v>0</v>
      </c>
      <c r="D29" s="3188">
        <f>+'Tab. 6A -Drogi'!F432</f>
        <v>0</v>
      </c>
      <c r="E29" s="3188">
        <f>+'Tab. 6A -Drogi'!G432</f>
        <v>0</v>
      </c>
      <c r="F29" s="3188">
        <f>+'Tab. 6A -Drogi'!H432</f>
        <v>0</v>
      </c>
      <c r="G29" s="3188">
        <f>+'Tab. 6A -Drogi'!I432</f>
        <v>0</v>
      </c>
      <c r="H29" s="3188">
        <f>+'Tab. 6A -Drogi'!J432</f>
        <v>0</v>
      </c>
      <c r="I29" s="3188">
        <f>+'Tab. 6A -Drogi'!K432</f>
        <v>22878</v>
      </c>
      <c r="J29" s="3188">
        <f>+'Tab. 6A -Drogi'!L432</f>
        <v>34125</v>
      </c>
      <c r="K29" s="3188">
        <f>'Tab. 6A -Drogi'!M432-'Tab. 6A -Drogi'!M516</f>
        <v>57003</v>
      </c>
      <c r="L29" s="3188">
        <f>'Tab. 6A -Drogi'!N432-'Tab. 6A -Drogi'!N516</f>
        <v>0</v>
      </c>
      <c r="M29" s="3188">
        <f>'Tab. 6A -Drogi'!O432-'Tab. 6A -Drogi'!O516</f>
        <v>0</v>
      </c>
      <c r="N29" s="3188">
        <f>'Tab. 6A -Drogi'!P432-'Tab. 6A -Drogi'!P516</f>
        <v>0</v>
      </c>
      <c r="O29" s="3188">
        <f>'Tab. 6A -Drogi'!Q432-'Tab. 6A -Drogi'!Q516</f>
        <v>13785572</v>
      </c>
      <c r="P29" s="3188">
        <f>'Tab. 6A -Drogi'!R432-'Tab. 6A -Drogi'!R516</f>
        <v>9420423</v>
      </c>
      <c r="Q29" s="3188">
        <f>'Tab. 6A -Drogi'!S432-'Tab. 6A -Drogi'!S516</f>
        <v>6329161</v>
      </c>
      <c r="R29" s="3188">
        <f>'Tab. 6A -Drogi'!T432-'Tab. 6A -Drogi'!T516</f>
        <v>2981558</v>
      </c>
      <c r="S29" s="3188">
        <f>'Tab. 6A -Drogi'!U432-'Tab. 6A -Drogi'!U516</f>
        <v>0</v>
      </c>
      <c r="T29" s="3188">
        <f>'Tab. 6A -Drogi'!V432-'Tab. 6A -Drogi'!V516</f>
        <v>0</v>
      </c>
      <c r="U29" s="3188">
        <f>'Tab. 6A -Drogi'!W432-'Tab. 6A -Drogi'!W516</f>
        <v>0</v>
      </c>
      <c r="V29" s="3188">
        <f t="shared" si="7"/>
        <v>32573717</v>
      </c>
      <c r="W29" s="1018" t="s">
        <v>75</v>
      </c>
      <c r="X29" s="1010"/>
      <c r="Y29" s="1011"/>
      <c r="Z29" s="1011"/>
    </row>
    <row r="30" spans="1:26" s="1012" customFormat="1" ht="17.25" customHeight="1">
      <c r="A30" s="4237" t="s">
        <v>555</v>
      </c>
      <c r="B30" s="4238"/>
      <c r="C30" s="1019">
        <f>'Tab. 6E - Administracja'!E70</f>
        <v>0</v>
      </c>
      <c r="D30" s="1019">
        <f>'Tab. 6E - Administracja'!F70</f>
        <v>0</v>
      </c>
      <c r="E30" s="1019">
        <f>'Tab. 6E - Administracja'!G70</f>
        <v>0</v>
      </c>
      <c r="F30" s="1019">
        <f>'Tab. 6E - Administracja'!H70</f>
        <v>0</v>
      </c>
      <c r="G30" s="1019">
        <f>'Tab. 6E - Administracja'!I70</f>
        <v>0</v>
      </c>
      <c r="H30" s="1019">
        <f>'Tab. 6E - Administracja'!J70</f>
        <v>0</v>
      </c>
      <c r="I30" s="1019">
        <f>'Tab. 6E - Administracja'!K70</f>
        <v>0</v>
      </c>
      <c r="J30" s="1019">
        <f>'Tab. 6E - Administracja'!L70</f>
        <v>0</v>
      </c>
      <c r="K30" s="3189">
        <f>'Tab. 6E - Administracja'!M28+'Tab.6I - Planow. przestrz.'!M55</f>
        <v>42524</v>
      </c>
      <c r="L30" s="3189">
        <f>'Tab. 6E - Administracja'!N28+'Tab.6I - Planow. przestrz.'!N55</f>
        <v>0</v>
      </c>
      <c r="M30" s="3189">
        <f>'Tab. 6E - Administracja'!O28+'Tab.6I - Planow. przestrz.'!O55</f>
        <v>42524</v>
      </c>
      <c r="N30" s="3189">
        <f>'Tab. 6E - Administracja'!P28+'Tab.6I - Planow. przestrz.'!P55</f>
        <v>326833</v>
      </c>
      <c r="O30" s="3189">
        <f>'Tab. 6E - Administracja'!Q28+'Tab.6I - Planow. przestrz.'!Q55</f>
        <v>382841</v>
      </c>
      <c r="P30" s="3189">
        <f>'Tab. 6E - Administracja'!R28+'Tab.6I - Planow. przestrz.'!R55</f>
        <v>350648</v>
      </c>
      <c r="Q30" s="3189">
        <f>'Tab. 6E - Administracja'!S28+'Tab.6I - Planow. przestrz.'!S55</f>
        <v>350648</v>
      </c>
      <c r="R30" s="3189">
        <f>'Tab. 6E - Administracja'!T28+'Tab.6I - Planow. przestrz.'!T55</f>
        <v>350648</v>
      </c>
      <c r="S30" s="3189">
        <f>'Tab. 6E - Administracja'!U28+'Tab.6I - Planow. przestrz.'!U55</f>
        <v>280970</v>
      </c>
      <c r="T30" s="3189">
        <f>'Tab. 6E - Administracja'!V28+'Tab.6I - Planow. przestrz.'!V55</f>
        <v>280340</v>
      </c>
      <c r="U30" s="3189">
        <f>'Tab. 6E - Administracja'!W28+'Tab.6I - Planow. przestrz.'!W55</f>
        <v>0</v>
      </c>
      <c r="V30" s="3187">
        <f t="shared" si="7"/>
        <v>2365452</v>
      </c>
      <c r="W30" s="1016">
        <f>+O30+P30+Q30+R30+S30+T30+U30</f>
        <v>1996095</v>
      </c>
      <c r="X30" s="1010">
        <f>'Tab. 6E - Administracja'!O70</f>
        <v>0</v>
      </c>
      <c r="Y30" s="1011"/>
      <c r="Z30" s="1011"/>
    </row>
    <row r="31" spans="1:26" s="1012" customFormat="1" ht="17.25" customHeight="1">
      <c r="A31" s="4239" t="s">
        <v>556</v>
      </c>
      <c r="B31" s="4240"/>
      <c r="C31" s="1017">
        <f>'Tab. 6E - Administracja'!E75</f>
        <v>0</v>
      </c>
      <c r="D31" s="1017">
        <f>'Tab. 6E - Administracja'!F75</f>
        <v>0</v>
      </c>
      <c r="E31" s="1017">
        <f>'Tab. 6E - Administracja'!G75</f>
        <v>0</v>
      </c>
      <c r="F31" s="1017">
        <f>'Tab. 6E - Administracja'!H75</f>
        <v>0</v>
      </c>
      <c r="G31" s="1017">
        <f>'Tab. 6E - Administracja'!I75</f>
        <v>0</v>
      </c>
      <c r="H31" s="1017">
        <f>'Tab. 6E - Administracja'!J75</f>
        <v>0</v>
      </c>
      <c r="I31" s="1017">
        <f>'Tab. 6E - Administracja'!K75</f>
        <v>0</v>
      </c>
      <c r="J31" s="1017">
        <f>'Tab. 6E - Administracja'!L75</f>
        <v>0</v>
      </c>
      <c r="K31" s="3188">
        <f>'Tab. 6E - Administracja'!M33+'Tab.6I - Planow. przestrz.'!M67</f>
        <v>0</v>
      </c>
      <c r="L31" s="3188">
        <f>'Tab. 6E - Administracja'!N33+'Tab.6I - Planow. przestrz.'!N67</f>
        <v>0</v>
      </c>
      <c r="M31" s="3188">
        <f>'Tab. 6E - Administracja'!O33+'Tab.6I - Planow. przestrz.'!O67</f>
        <v>0</v>
      </c>
      <c r="N31" s="3188">
        <f>'Tab. 6E - Administracja'!P33+'Tab.6I - Planow. przestrz.'!P67</f>
        <v>0</v>
      </c>
      <c r="O31" s="3188">
        <f>'Tab. 6E - Administracja'!Q33+'Tab.6I - Planow. przestrz.'!Q67</f>
        <v>394408</v>
      </c>
      <c r="P31" s="3188">
        <f>'Tab. 6E - Administracja'!R33+'Tab.6I - Planow. przestrz.'!R67</f>
        <v>374208</v>
      </c>
      <c r="Q31" s="3188">
        <f>'Tab. 6E - Administracja'!S33+'Tab.6I - Planow. przestrz.'!S67</f>
        <v>350048</v>
      </c>
      <c r="R31" s="3188">
        <f>'Tab. 6E - Administracja'!T33+'Tab.6I - Planow. przestrz.'!T67</f>
        <v>350048</v>
      </c>
      <c r="S31" s="3188">
        <f>'Tab. 6E - Administracja'!U33+'Tab.6I - Planow. przestrz.'!U67</f>
        <v>332728</v>
      </c>
      <c r="T31" s="3188">
        <f>'Tab. 6E - Administracja'!V33+'Tab.6I - Planow. przestrz.'!V67</f>
        <v>280770</v>
      </c>
      <c r="U31" s="3188">
        <f>'Tab. 6E - Administracja'!W33+'Tab.6I - Planow. przestrz.'!W67</f>
        <v>280140</v>
      </c>
      <c r="V31" s="3188">
        <f t="shared" si="7"/>
        <v>2362350</v>
      </c>
      <c r="W31" s="1018" t="s">
        <v>75</v>
      </c>
      <c r="X31" s="1010"/>
      <c r="Y31" s="1011"/>
      <c r="Z31" s="1011"/>
    </row>
    <row r="32" spans="1:26" s="1012" customFormat="1" ht="17.25" customHeight="1">
      <c r="A32" s="4241" t="s">
        <v>557</v>
      </c>
      <c r="B32" s="4242"/>
      <c r="C32" s="3189">
        <f>'Tab.6I - Planow. przestrz.'!E26</f>
        <v>0</v>
      </c>
      <c r="D32" s="3189">
        <f>'Tab.6I - Planow. przestrz.'!F26</f>
        <v>0</v>
      </c>
      <c r="E32" s="3189">
        <f>'Tab.6I - Planow. przestrz.'!G26</f>
        <v>0</v>
      </c>
      <c r="F32" s="3189">
        <f>'Tab.6I - Planow. przestrz.'!H26</f>
        <v>0</v>
      </c>
      <c r="G32" s="3189">
        <f>'Tab.6I - Planow. przestrz.'!I26</f>
        <v>0</v>
      </c>
      <c r="H32" s="3189">
        <f>'Tab.6I - Planow. przestrz.'!J26</f>
        <v>0</v>
      </c>
      <c r="I32" s="3189">
        <f>'Tab.6I - Planow. przestrz.'!K26</f>
        <v>0</v>
      </c>
      <c r="J32" s="3189">
        <f>'Tab.6I - Planow. przestrz.'!L26</f>
        <v>0</v>
      </c>
      <c r="K32" s="3189">
        <f>'Tab. 6A -Drogi'!M505</f>
        <v>0</v>
      </c>
      <c r="L32" s="3189">
        <f>'Tab. 6A -Drogi'!N505</f>
        <v>0</v>
      </c>
      <c r="M32" s="3189">
        <f>'Tab. 6A -Drogi'!O505</f>
        <v>0</v>
      </c>
      <c r="N32" s="3189">
        <f>'Tab. 6A -Drogi'!P505</f>
        <v>43098</v>
      </c>
      <c r="O32" s="3189">
        <f>'Tab. 6A -Drogi'!Q505</f>
        <v>273498</v>
      </c>
      <c r="P32" s="3189">
        <f>'Tab. 6A -Drogi'!R505</f>
        <v>115985</v>
      </c>
      <c r="Q32" s="3189">
        <f>'Tab. 6A -Drogi'!S505</f>
        <v>22085</v>
      </c>
      <c r="R32" s="3189">
        <f>'Tab. 6A -Drogi'!T505</f>
        <v>0</v>
      </c>
      <c r="S32" s="3189">
        <f>'Tab. 6A -Drogi'!U505</f>
        <v>0</v>
      </c>
      <c r="T32" s="3189">
        <f>'Tab. 6A -Drogi'!V505</f>
        <v>0</v>
      </c>
      <c r="U32" s="3189">
        <f>'Tab. 6A -Drogi'!W505</f>
        <v>0</v>
      </c>
      <c r="V32" s="1015">
        <f t="shared" si="7"/>
        <v>454666</v>
      </c>
      <c r="W32" s="1016">
        <f>+O32+P32+Q32+R32+S32+T32+U32</f>
        <v>411568</v>
      </c>
      <c r="X32" s="1010"/>
      <c r="Y32" s="1011"/>
      <c r="Z32" s="1011"/>
    </row>
    <row r="33" spans="1:26" s="1012" customFormat="1" ht="17.25" customHeight="1">
      <c r="A33" s="4239" t="s">
        <v>558</v>
      </c>
      <c r="B33" s="4240"/>
      <c r="C33" s="3188">
        <f>'Tab.6I - Planow. przestrz.'!E31</f>
        <v>0</v>
      </c>
      <c r="D33" s="3188">
        <v>0</v>
      </c>
      <c r="E33" s="3188">
        <v>0</v>
      </c>
      <c r="F33" s="3188">
        <v>0</v>
      </c>
      <c r="G33" s="3188">
        <f>'Tab.6I - Planow. przestrz.'!I31</f>
        <v>0</v>
      </c>
      <c r="H33" s="3188">
        <f>'Tab.6I - Planow. przestrz.'!J31</f>
        <v>0</v>
      </c>
      <c r="I33" s="3188">
        <f>'Tab.6I - Planow. przestrz.'!K31</f>
        <v>0</v>
      </c>
      <c r="J33" s="3188">
        <f>'Tab.6I - Planow. przestrz.'!L31</f>
        <v>0</v>
      </c>
      <c r="K33" s="3188">
        <f>'Tab. 6A -Drogi'!M516</f>
        <v>0</v>
      </c>
      <c r="L33" s="3188">
        <f>'Tab. 6A -Drogi'!N516</f>
        <v>0</v>
      </c>
      <c r="M33" s="3188">
        <f>'Tab. 6A -Drogi'!O516</f>
        <v>0</v>
      </c>
      <c r="N33" s="3188">
        <f>'Tab. 6A -Drogi'!P516</f>
        <v>0</v>
      </c>
      <c r="O33" s="3188">
        <f>'Tab. 6A -Drogi'!Q516</f>
        <v>28480</v>
      </c>
      <c r="P33" s="3188">
        <f>'Tab. 6A -Drogi'!R516</f>
        <v>200880</v>
      </c>
      <c r="Q33" s="3188">
        <f>'Tab. 6A -Drogi'!S516</f>
        <v>120335</v>
      </c>
      <c r="R33" s="3188">
        <f>'Tab. 6A -Drogi'!T516</f>
        <v>34694</v>
      </c>
      <c r="S33" s="3188">
        <f>'Tab. 6A -Drogi'!U516</f>
        <v>0</v>
      </c>
      <c r="T33" s="3188">
        <f>'Tab. 6A -Drogi'!V516</f>
        <v>0</v>
      </c>
      <c r="U33" s="3188">
        <f>'Tab. 6A -Drogi'!W516</f>
        <v>0</v>
      </c>
      <c r="V33" s="1017">
        <f t="shared" si="7"/>
        <v>384389</v>
      </c>
      <c r="W33" s="1018" t="s">
        <v>75</v>
      </c>
      <c r="X33" s="1010"/>
      <c r="Y33" s="1011"/>
      <c r="Z33" s="1011"/>
    </row>
    <row r="34" spans="1:26" s="1012" customFormat="1" ht="17.25" customHeight="1">
      <c r="A34" s="4237" t="s">
        <v>559</v>
      </c>
      <c r="B34" s="4238"/>
      <c r="C34" s="1019">
        <f>'Tab. 6H - Kultura fiz. i turyst'!E22+'Tab. 6H - Kultura fiz. i turyst'!E40+'Tab. 6H - Kultura fiz. i turyst'!E31</f>
        <v>0</v>
      </c>
      <c r="D34" s="1019" t="e">
        <f>'Tab. 6H - Kultura fiz. i turyst'!F22+'Tab. 6H - Kultura fiz. i turyst'!F40+'Tab. 6G - Roln i ochrona środ.'!#REF!</f>
        <v>#REF!</v>
      </c>
      <c r="E34" s="1019" t="e">
        <f>'Tab. 6H - Kultura fiz. i turyst'!G22+'Tab. 6H - Kultura fiz. i turyst'!G40+'Tab. 6G - Roln i ochrona środ.'!#REF!</f>
        <v>#REF!</v>
      </c>
      <c r="F34" s="1019" t="e">
        <f>'Tab. 6H - Kultura fiz. i turyst'!H22+'Tab. 6H - Kultura fiz. i turyst'!H40+'Tab. 6G - Roln i ochrona środ.'!#REF!</f>
        <v>#REF!</v>
      </c>
      <c r="G34" s="1019">
        <f>'Tab. 6H - Kultura fiz. i turyst'!I22+'Tab. 6H - Kultura fiz. i turyst'!I40+'Tab. 6H - Kultura fiz. i turyst'!I31</f>
        <v>0</v>
      </c>
      <c r="H34" s="1019">
        <f>'Tab. 6H - Kultura fiz. i turyst'!J22+'Tab. 6H - Kultura fiz. i turyst'!J40+'Tab. 6H - Kultura fiz. i turyst'!J31</f>
        <v>0</v>
      </c>
      <c r="I34" s="1019">
        <f>'Tab. 6H - Kultura fiz. i turyst'!K22+'Tab. 6H - Kultura fiz. i turyst'!K40+'Tab. 6H - Kultura fiz. i turyst'!K31</f>
        <v>0</v>
      </c>
      <c r="J34" s="1019">
        <f>'Tab. 6H - Kultura fiz. i turyst'!L22+'Tab. 6H - Kultura fiz. i turyst'!L40+'Tab. 6H - Kultura fiz. i turyst'!L31</f>
        <v>0</v>
      </c>
      <c r="K34" s="1019">
        <f>'Tab. 6B Polit społ i rozwój prz'!M32</f>
        <v>0</v>
      </c>
      <c r="L34" s="1019">
        <f>'Tab. 6B Polit społ i rozwój prz'!N32</f>
        <v>0</v>
      </c>
      <c r="M34" s="1019">
        <f>'Tab. 6B Polit społ i rozwój prz'!O32</f>
        <v>0</v>
      </c>
      <c r="N34" s="1019">
        <f>'Tab. 6B Polit społ i rozwój prz'!P32</f>
        <v>47024</v>
      </c>
      <c r="O34" s="1019">
        <f>'Tab. 6B Polit społ i rozwój prz'!Q32</f>
        <v>241002</v>
      </c>
      <c r="P34" s="1019">
        <f>'Tab. 6B Polit społ i rozwój prz'!R32</f>
        <v>122559</v>
      </c>
      <c r="Q34" s="1019">
        <f>'Tab. 6B Polit społ i rozwój prz'!S32</f>
        <v>72320</v>
      </c>
      <c r="R34" s="1019">
        <f>'Tab. 6B Polit społ i rozwój prz'!T32</f>
        <v>16174</v>
      </c>
      <c r="S34" s="1019">
        <f>'Tab. 6B Polit społ i rozwój prz'!U32</f>
        <v>0</v>
      </c>
      <c r="T34" s="1019">
        <f>'Tab. 6B Polit społ i rozwój prz'!V32</f>
        <v>0</v>
      </c>
      <c r="U34" s="1019">
        <f>'Tab. 6B Polit społ i rozwój prz'!W32</f>
        <v>0</v>
      </c>
      <c r="V34" s="1015">
        <f t="shared" si="7"/>
        <v>499079</v>
      </c>
      <c r="W34" s="1016">
        <f>+O34+P34+Q34+R34+S34+T34+U34</f>
        <v>452055</v>
      </c>
      <c r="X34" s="1010"/>
      <c r="Y34" s="1011"/>
      <c r="Z34" s="1011"/>
    </row>
    <row r="35" spans="1:26" s="1012" customFormat="1" ht="17.25" customHeight="1">
      <c r="A35" s="4239" t="s">
        <v>560</v>
      </c>
      <c r="B35" s="4240"/>
      <c r="C35" s="1017">
        <f>'Tab. 6H - Kultura fiz. i turyst'!E27+'Tab. 6H - Kultura fiz. i turyst'!E45+'Tab. 6H - Kultura fiz. i turyst'!E36</f>
        <v>0</v>
      </c>
      <c r="D35" s="1017" t="e">
        <f>'Tab. 6H - Kultura fiz. i turyst'!F27+'Tab. 6H - Kultura fiz. i turyst'!F45+'Tab. 6G - Roln i ochrona środ.'!#REF!</f>
        <v>#REF!</v>
      </c>
      <c r="E35" s="1017" t="e">
        <f>'Tab. 6H - Kultura fiz. i turyst'!G27+'Tab. 6H - Kultura fiz. i turyst'!G45+'Tab. 6G - Roln i ochrona środ.'!#REF!</f>
        <v>#REF!</v>
      </c>
      <c r="F35" s="1017" t="e">
        <f>'Tab. 6H - Kultura fiz. i turyst'!H27+'Tab. 6H - Kultura fiz. i turyst'!H45+'Tab. 6G - Roln i ochrona środ.'!#REF!</f>
        <v>#REF!</v>
      </c>
      <c r="G35" s="1017">
        <f>'Tab. 6H - Kultura fiz. i turyst'!I27+'Tab. 6H - Kultura fiz. i turyst'!I45+'Tab. 6H - Kultura fiz. i turyst'!I36</f>
        <v>0</v>
      </c>
      <c r="H35" s="1017">
        <f>'Tab. 6H - Kultura fiz. i turyst'!J27+'Tab. 6H - Kultura fiz. i turyst'!J45+'Tab. 6H - Kultura fiz. i turyst'!J36</f>
        <v>0</v>
      </c>
      <c r="I35" s="1017">
        <f>'Tab. 6H - Kultura fiz. i turyst'!K27+'Tab. 6H - Kultura fiz. i turyst'!K45+'Tab. 6H - Kultura fiz. i turyst'!K36</f>
        <v>0</v>
      </c>
      <c r="J35" s="1017">
        <f>'Tab. 6H - Kultura fiz. i turyst'!L27+'Tab. 6H - Kultura fiz. i turyst'!L45+'Tab. 6H - Kultura fiz. i turyst'!L36</f>
        <v>0</v>
      </c>
      <c r="K35" s="1017">
        <f>'Tab. 6B Polit społ i rozwój prz'!M45</f>
        <v>0</v>
      </c>
      <c r="L35" s="1017">
        <f>'Tab. 6B Polit społ i rozwój prz'!N45</f>
        <v>0</v>
      </c>
      <c r="M35" s="1017">
        <f>'Tab. 6B Polit społ i rozwój prz'!O45</f>
        <v>0</v>
      </c>
      <c r="N35" s="1017">
        <f>'Tab. 6B Polit społ i rozwój prz'!P45</f>
        <v>0</v>
      </c>
      <c r="O35" s="1017">
        <f>'Tab. 6B Polit społ i rozwój prz'!Q45</f>
        <v>28480</v>
      </c>
      <c r="P35" s="1017">
        <f>'Tab. 6B Polit społ i rozwój prz'!R45</f>
        <v>164061</v>
      </c>
      <c r="Q35" s="1017">
        <f>'Tab. 6B Polit społ i rozwój prz'!S45</f>
        <v>76795</v>
      </c>
      <c r="R35" s="1017">
        <f>'Tab. 6B Polit społ i rozwój prz'!T45</f>
        <v>92819</v>
      </c>
      <c r="S35" s="1017">
        <f>'Tab. 6B Polit społ i rozwój prz'!U45</f>
        <v>58662</v>
      </c>
      <c r="T35" s="1017">
        <f>'Tab. 6B Polit społ i rozwój prz'!V45</f>
        <v>0</v>
      </c>
      <c r="U35" s="1017">
        <f>'Tab. 6B Polit społ i rozwój prz'!W45</f>
        <v>0</v>
      </c>
      <c r="V35" s="1017">
        <f t="shared" si="7"/>
        <v>420817</v>
      </c>
      <c r="W35" s="1018" t="s">
        <v>75</v>
      </c>
      <c r="X35" s="1010"/>
      <c r="Y35" s="1011"/>
      <c r="Z35" s="1011"/>
    </row>
    <row r="36" spans="1:26" s="1012" customFormat="1" ht="18" customHeight="1">
      <c r="A36" s="4237" t="s">
        <v>241</v>
      </c>
      <c r="B36" s="4238"/>
      <c r="C36" s="1019"/>
      <c r="D36" s="1019"/>
      <c r="E36" s="1019"/>
      <c r="F36" s="1019"/>
      <c r="G36" s="1019"/>
      <c r="H36" s="1019"/>
      <c r="I36" s="1019"/>
      <c r="J36" s="1019"/>
      <c r="K36" s="1019">
        <f>'Tab. 6H - Kultura fiz. i turyst'!M151+'Tab. 6H - Kultura fiz. i turyst'!M164+'Tab. 6H - Kultura fiz. i turyst'!M173+'Tab.6I - Planow. przestrz.'!M26+'Tab.6I - Planow. przestrz.'!M35</f>
        <v>0</v>
      </c>
      <c r="L36" s="1019">
        <f>'Tab. 6H - Kultura fiz. i turyst'!N151+'Tab. 6H - Kultura fiz. i turyst'!N164+'Tab. 6H - Kultura fiz. i turyst'!N173+'Tab.6I - Planow. przestrz.'!N26+'Tab.6I - Planow. przestrz.'!N35</f>
        <v>0</v>
      </c>
      <c r="M36" s="1019">
        <f>'Tab. 6H - Kultura fiz. i turyst'!O151+'Tab. 6H - Kultura fiz. i turyst'!O164+'Tab. 6H - Kultura fiz. i turyst'!O173+'Tab.6I - Planow. przestrz.'!O26+'Tab.6I - Planow. przestrz.'!O35</f>
        <v>0</v>
      </c>
      <c r="N36" s="1019">
        <f>'Tab. 6H - Kultura fiz. i turyst'!P151+'Tab. 6H - Kultura fiz. i turyst'!P164+'Tab. 6H - Kultura fiz. i turyst'!P173+'Tab.6I - Planow. przestrz.'!P26+'Tab.6I - Planow. przestrz.'!P35</f>
        <v>355033</v>
      </c>
      <c r="O36" s="1019">
        <f>'Tab. 6H - Kultura fiz. i turyst'!Q151+'Tab. 6H - Kultura fiz. i turyst'!Q164+'Tab. 6H - Kultura fiz. i turyst'!Q173+'Tab.6I - Planow. przestrz.'!Q26+'Tab.6I - Planow. przestrz.'!Q35</f>
        <v>986435</v>
      </c>
      <c r="P36" s="1019">
        <f>'Tab. 6H - Kultura fiz. i turyst'!R151+'Tab. 6H - Kultura fiz. i turyst'!R164+'Tab. 6H - Kultura fiz. i turyst'!R173+'Tab.6I - Planow. przestrz.'!R26+'Tab.6I - Planow. przestrz.'!R35</f>
        <v>1204006</v>
      </c>
      <c r="Q36" s="1019">
        <f>'Tab. 6H - Kultura fiz. i turyst'!S151+'Tab. 6H - Kultura fiz. i turyst'!S164+'Tab. 6H - Kultura fiz. i turyst'!S173+'Tab.6I - Planow. przestrz.'!S26+'Tab.6I - Planow. przestrz.'!S35</f>
        <v>623071</v>
      </c>
      <c r="R36" s="1019">
        <f>'Tab. 6H - Kultura fiz. i turyst'!T151+'Tab. 6H - Kultura fiz. i turyst'!T164+'Tab. 6H - Kultura fiz. i turyst'!T173+'Tab.6I - Planow. przestrz.'!T26+'Tab.6I - Planow. przestrz.'!T35</f>
        <v>57425</v>
      </c>
      <c r="S36" s="1019">
        <f>'Tab. 6H - Kultura fiz. i turyst'!U151+'Tab. 6H - Kultura fiz. i turyst'!U164+'Tab. 6H - Kultura fiz. i turyst'!U173+'Tab.6I - Planow. przestrz.'!U26+'Tab.6I - Planow. przestrz.'!U35</f>
        <v>0</v>
      </c>
      <c r="T36" s="1019">
        <f>'Tab. 6H - Kultura fiz. i turyst'!V151+'Tab. 6H - Kultura fiz. i turyst'!V164+'Tab. 6H - Kultura fiz. i turyst'!V173+'Tab.6I - Planow. przestrz.'!V26+'Tab.6I - Planow. przestrz.'!V35</f>
        <v>0</v>
      </c>
      <c r="U36" s="1019">
        <f>'Tab. 6H - Kultura fiz. i turyst'!W151+'Tab. 6H - Kultura fiz. i turyst'!W164+'Tab. 6H - Kultura fiz. i turyst'!W173+'Tab.6I - Planow. przestrz.'!W26+'Tab.6I - Planow. przestrz.'!W35</f>
        <v>0</v>
      </c>
      <c r="V36" s="1015">
        <f t="shared" si="7"/>
        <v>3225970</v>
      </c>
      <c r="W36" s="1016">
        <f>+O36+P36+Q36+R36+S36+T36+U36</f>
        <v>2870937</v>
      </c>
      <c r="X36" s="1010"/>
      <c r="Y36" s="1011"/>
      <c r="Z36" s="1011"/>
    </row>
    <row r="37" spans="1:26" s="1012" customFormat="1" ht="18" customHeight="1">
      <c r="A37" s="4239" t="s">
        <v>242</v>
      </c>
      <c r="B37" s="4240"/>
      <c r="C37" s="1019"/>
      <c r="D37" s="1019"/>
      <c r="E37" s="1019"/>
      <c r="F37" s="1019"/>
      <c r="G37" s="1019"/>
      <c r="H37" s="1019"/>
      <c r="I37" s="1019"/>
      <c r="J37" s="1019"/>
      <c r="K37" s="1017">
        <f>'Tab. 6H - Kultura fiz. i turyst'!M160+'Tab. 6H - Kultura fiz. i turyst'!M169+'Tab. 6H - Kultura fiz. i turyst'!M182+'Tab.6I - Planow. przestrz.'!M31+'Tab.6I - Planow. przestrz.'!M40</f>
        <v>0</v>
      </c>
      <c r="L37" s="1017">
        <f>'Tab. 6H - Kultura fiz. i turyst'!N160+'Tab. 6H - Kultura fiz. i turyst'!N169+'Tab. 6H - Kultura fiz. i turyst'!N182+'Tab.6I - Planow. przestrz.'!N31+'Tab.6I - Planow. przestrz.'!N40</f>
        <v>0</v>
      </c>
      <c r="M37" s="1017">
        <f>'Tab. 6H - Kultura fiz. i turyst'!O160+'Tab. 6H - Kultura fiz. i turyst'!O169+'Tab. 6H - Kultura fiz. i turyst'!O182+'Tab.6I - Planow. przestrz.'!O31+'Tab.6I - Planow. przestrz.'!O40</f>
        <v>0</v>
      </c>
      <c r="N37" s="1017">
        <f>'Tab. 6H - Kultura fiz. i turyst'!P160+'Tab. 6H - Kultura fiz. i turyst'!P169+'Tab. 6H - Kultura fiz. i turyst'!P182+'Tab.6I - Planow. przestrz.'!P31+'Tab.6I - Planow. przestrz.'!P40</f>
        <v>0</v>
      </c>
      <c r="O37" s="1017">
        <f>'Tab. 6H - Kultura fiz. i turyst'!Q160+'Tab. 6H - Kultura fiz. i turyst'!Q169+'Tab. 6H - Kultura fiz. i turyst'!Q182+'Tab.6I - Planow. przestrz.'!Q31+'Tab.6I - Planow. przestrz.'!Q40</f>
        <v>343504</v>
      </c>
      <c r="P37" s="1017">
        <f>'Tab. 6H - Kultura fiz. i turyst'!R160+'Tab. 6H - Kultura fiz. i turyst'!R169+'Tab. 6H - Kultura fiz. i turyst'!R182+'Tab.6I - Planow. przestrz.'!R31+'Tab.6I - Planow. przestrz.'!R40</f>
        <v>868123</v>
      </c>
      <c r="Q37" s="1017">
        <f>'Tab. 6H - Kultura fiz. i turyst'!S160+'Tab. 6H - Kultura fiz. i turyst'!S169+'Tab. 6H - Kultura fiz. i turyst'!S182+'Tab.6I - Planow. przestrz.'!S31+'Tab.6I - Planow. przestrz.'!S40</f>
        <v>1191255</v>
      </c>
      <c r="R37" s="1017">
        <f>'Tab. 6H - Kultura fiz. i turyst'!T160+'Tab. 6H - Kultura fiz. i turyst'!T169+'Tab. 6H - Kultura fiz. i turyst'!T182+'Tab.6I - Planow. przestrz.'!T31+'Tab.6I - Planow. przestrz.'!T40</f>
        <v>275071</v>
      </c>
      <c r="S37" s="1017">
        <f>'Tab. 6H - Kultura fiz. i turyst'!U160+'Tab. 6H - Kultura fiz. i turyst'!U169+'Tab. 6H - Kultura fiz. i turyst'!U182+'Tab.6I - Planow. przestrz.'!U31+'Tab.6I - Planow. przestrz.'!U40</f>
        <v>48811</v>
      </c>
      <c r="T37" s="1017">
        <f>'Tab. 6H - Kultura fiz. i turyst'!V160+'Tab. 6H - Kultura fiz. i turyst'!V169+'Tab. 6H - Kultura fiz. i turyst'!V182+'Tab.6I - Planow. przestrz.'!V31+'Tab.6I - Planow. przestrz.'!V40</f>
        <v>0</v>
      </c>
      <c r="U37" s="1017">
        <f>'Tab. 6H - Kultura fiz. i turyst'!W160+'Tab. 6H - Kultura fiz. i turyst'!W169+'Tab. 6H - Kultura fiz. i turyst'!W182+'Tab.6I - Planow. przestrz.'!W31+'Tab.6I - Planow. przestrz.'!W40</f>
        <v>0</v>
      </c>
      <c r="V37" s="2232">
        <f t="shared" si="7"/>
        <v>2726764</v>
      </c>
      <c r="W37" s="2233" t="s">
        <v>75</v>
      </c>
      <c r="X37" s="1010"/>
      <c r="Y37" s="1011"/>
      <c r="Z37" s="1011"/>
    </row>
    <row r="38" spans="1:26" s="1005" customFormat="1" ht="48" customHeight="1" thickBot="1">
      <c r="A38" s="4243" t="s">
        <v>444</v>
      </c>
      <c r="B38" s="4244"/>
      <c r="C38" s="1020">
        <f>+'Tab. 6D - Oświata'!E22+'Tab. 6D - Oświata'!E33+'Tab. 6D - Oświata'!E44</f>
        <v>0</v>
      </c>
      <c r="D38" s="1020">
        <f>+'Tab. 6D - Oświata'!F22+'Tab. 6D - Oświata'!F33+'Tab. 6D - Oświata'!F44</f>
        <v>0</v>
      </c>
      <c r="E38" s="1020">
        <f>+'Tab. 6D - Oświata'!G22+'Tab. 6D - Oświata'!G33+'Tab. 6D - Oświata'!G44</f>
        <v>0</v>
      </c>
      <c r="F38" s="1020">
        <f>+'Tab. 6D - Oświata'!H22+'Tab. 6D - Oświata'!H33+'Tab. 6D - Oświata'!H44</f>
        <v>0</v>
      </c>
      <c r="G38" s="1020">
        <f>+'Tab. 6D - Oświata'!I22+'Tab. 6D - Oświata'!I33+'Tab. 6D - Oświata'!I44</f>
        <v>0</v>
      </c>
      <c r="H38" s="1020">
        <f>+'Tab. 6D - Oświata'!J22+'Tab. 6D - Oświata'!J33+'Tab. 6D - Oświata'!J44</f>
        <v>0</v>
      </c>
      <c r="I38" s="1020">
        <f>+'Tab. 6D - Oświata'!K22+'Tab. 6D - Oświata'!K33+'Tab. 6D - Oświata'!K44</f>
        <v>0</v>
      </c>
      <c r="J38" s="1020">
        <f>+'Tab. 6D - Oświata'!L22+'Tab. 6D - Oświata'!L33+'Tab. 6D - Oświata'!L44</f>
        <v>131442</v>
      </c>
      <c r="K38" s="1020">
        <f>+'Tab. 6D - Oświata'!M22+'Tab. 6D - Oświata'!M33+'Tab. 6D - Oświata'!M44+'Tab. 6G - Roln i ochrona środ.'!M131</f>
        <v>438144</v>
      </c>
      <c r="L38" s="1020">
        <f>+'Tab. 6D - Oświata'!N22+'Tab. 6D - Oświata'!N33+'Tab. 6D - Oświata'!N44+'Tab. 6G - Roln i ochrona środ.'!N131</f>
        <v>175457</v>
      </c>
      <c r="M38" s="1020">
        <f>+'Tab. 6D - Oświata'!O22+'Tab. 6D - Oświata'!O33+'Tab. 6D - Oświata'!O44+'Tab. 6G - Roln i ochrona środ.'!O131</f>
        <v>151572</v>
      </c>
      <c r="N38" s="1020">
        <f>+'Tab. 6D - Oświata'!P22+'Tab. 6D - Oświata'!P33+'Tab. 6D - Oświata'!P44+'Tab. 6G - Roln i ochrona środ.'!P131</f>
        <v>155743</v>
      </c>
      <c r="O38" s="1020">
        <f>+'Tab. 6D - Oświata'!Q22+'Tab. 6D - Oświata'!Q33+'Tab. 6D - Oświata'!Q44+'Tab. 6G - Roln i ochrona środ.'!Q131</f>
        <v>152213</v>
      </c>
      <c r="P38" s="1020">
        <f>+'Tab. 6D - Oświata'!R22+'Tab. 6D - Oświata'!R33+'Tab. 6D - Oświata'!R44+'Tab. 6G - Roln i ochrona środ.'!R131</f>
        <v>0</v>
      </c>
      <c r="Q38" s="1020">
        <f>+'Tab. 6D - Oświata'!S22+'Tab. 6D - Oświata'!S33+'Tab. 6D - Oświata'!S44+'Tab. 6G - Roln i ochrona środ.'!S131</f>
        <v>0</v>
      </c>
      <c r="R38" s="1020">
        <f>+'Tab. 6D - Oświata'!T22+'Tab. 6D - Oświata'!T33+'Tab. 6D - Oświata'!T44+'Tab. 6G - Roln i ochrona środ.'!T131</f>
        <v>0</v>
      </c>
      <c r="S38" s="1020">
        <f>+'Tab. 6D - Oświata'!U22+'Tab. 6D - Oświata'!U33+'Tab. 6D - Oświata'!U44+'Tab. 6G - Roln i ochrona środ.'!U131</f>
        <v>0</v>
      </c>
      <c r="T38" s="1020">
        <f>+'Tab. 6D - Oświata'!V22+'Tab. 6D - Oświata'!V33+'Tab. 6D - Oświata'!V44+'Tab. 6G - Roln i ochrona środ.'!V131</f>
        <v>0</v>
      </c>
      <c r="U38" s="1020">
        <f>+'Tab. 6D - Oświata'!W22+'Tab. 6D - Oświata'!W33+'Tab. 6D - Oświata'!W44+'Tab. 6G - Roln i ochrona środ.'!W131</f>
        <v>0</v>
      </c>
      <c r="V38" s="1020">
        <f t="shared" si="7"/>
        <v>746100</v>
      </c>
      <c r="W38" s="2231">
        <f>O38+P38+Q38+R38+S38+T38+U38</f>
        <v>152213</v>
      </c>
      <c r="X38" s="1003"/>
      <c r="Y38" s="1004"/>
      <c r="Z38" s="1004"/>
    </row>
    <row r="39" spans="1:26" s="1005" customFormat="1" ht="48" customHeight="1" thickBot="1">
      <c r="A39" s="4231" t="s">
        <v>445</v>
      </c>
      <c r="B39" s="4232"/>
      <c r="C39" s="1006">
        <f>+'Tab. 6D - Oświata'!E27+'Tab. 6D - Oświata'!E38+'Tab. 6D - Oświata'!E47</f>
        <v>0</v>
      </c>
      <c r="D39" s="1006">
        <f>+'Tab. 6D - Oświata'!F27+'Tab. 6D - Oświata'!F38+'Tab. 6D - Oświata'!F47</f>
        <v>0</v>
      </c>
      <c r="E39" s="1006">
        <f>+'Tab. 6D - Oświata'!G27+'Tab. 6D - Oświata'!G38+'Tab. 6D - Oświata'!G47</f>
        <v>0</v>
      </c>
      <c r="F39" s="1006">
        <f>+'Tab. 6D - Oświata'!H27+'Tab. 6D - Oświata'!H38+'Tab. 6D - Oświata'!H47</f>
        <v>0</v>
      </c>
      <c r="G39" s="1006">
        <f>+'Tab. 6D - Oświata'!I27+'Tab. 6D - Oświata'!I38+'Tab. 6D - Oświata'!I47</f>
        <v>0</v>
      </c>
      <c r="H39" s="1006">
        <f>+'Tab. 6D - Oświata'!J27+'Tab. 6D - Oświata'!J38+'Tab. 6D - Oświata'!J47</f>
        <v>0</v>
      </c>
      <c r="I39" s="1006">
        <f>+'Tab. 6D - Oświata'!K27+'Tab. 6D - Oświata'!K38+'Tab. 6D - Oświata'!K47</f>
        <v>0</v>
      </c>
      <c r="J39" s="1006">
        <f>+'Tab. 6D - Oświata'!L27+'Tab. 6D - Oświata'!L38+'Tab. 6D - Oświata'!L47+'Tab. 6G - Roln i ochrona środ.'!L134</f>
        <v>53066</v>
      </c>
      <c r="K39" s="1006">
        <f>+'Tab. 6D - Oświata'!M27+'Tab. 6D - Oświata'!M38+'Tab. 6D - Oświata'!M47+'Tab. 6G - Roln i ochrona środ.'!M134</f>
        <v>207411</v>
      </c>
      <c r="L39" s="1006">
        <f>+'Tab. 6D - Oświata'!N27+'Tab. 6D - Oświata'!N38+'Tab. 6D - Oświata'!N47+'Tab. 6G - Roln i ochrona środ.'!N134</f>
        <v>75862</v>
      </c>
      <c r="M39" s="1006">
        <f>+'Tab. 6D - Oświata'!O27+'Tab. 6D - Oświata'!O38+'Tab. 6D - Oświata'!O47+'Tab. 6G - Roln i ochrona środ.'!O134</f>
        <v>78483</v>
      </c>
      <c r="N39" s="1006">
        <f>+'Tab. 6D - Oświata'!P27+'Tab. 6D - Oświata'!P38+'Tab. 6D - Oświata'!P47+'Tab. 6G - Roln i ochrona środ.'!P134</f>
        <v>83901</v>
      </c>
      <c r="O39" s="1006">
        <f>+'Tab. 6D - Oświata'!Q27+'Tab. 6D - Oświata'!Q38+'Tab. 6D - Oświata'!Q47+'Tab. 6G - Roln i ochrona środ.'!Q134</f>
        <v>80296</v>
      </c>
      <c r="P39" s="1006">
        <f>+'Tab. 6D - Oświata'!R27+'Tab. 6D - Oświata'!R38+'Tab. 6D - Oświata'!R47+'Tab. 6G - Roln i ochrona środ.'!R134</f>
        <v>25077</v>
      </c>
      <c r="Q39" s="1006">
        <f>+'Tab. 6D - Oświata'!S27+'Tab. 6D - Oświata'!S38+'Tab. 6D - Oświata'!S47+'Tab. 6G - Roln i ochrona środ.'!S134</f>
        <v>0</v>
      </c>
      <c r="R39" s="1006">
        <f>+'Tab. 6D - Oświata'!T27+'Tab. 6D - Oświata'!T38+'Tab. 6D - Oświata'!T47+'Tab. 6G - Roln i ochrona środ.'!T134</f>
        <v>0</v>
      </c>
      <c r="S39" s="1006">
        <f>+'Tab. 6D - Oświata'!U27+'Tab. 6D - Oświata'!U38+'Tab. 6D - Oświata'!U47+'Tab. 6G - Roln i ochrona środ.'!U134</f>
        <v>0</v>
      </c>
      <c r="T39" s="1006">
        <f>+'Tab. 6D - Oświata'!V27+'Tab. 6D - Oświata'!V38+'Tab. 6D - Oświata'!V47+'Tab. 6G - Roln i ochrona środ.'!V134</f>
        <v>0</v>
      </c>
      <c r="U39" s="1006">
        <f>+'Tab. 6D - Oświata'!W27+'Tab. 6D - Oświata'!W38+'Tab. 6D - Oświata'!W47+'Tab. 6G - Roln i ochrona środ.'!W134</f>
        <v>0</v>
      </c>
      <c r="V39" s="1006">
        <f t="shared" si="7"/>
        <v>396685</v>
      </c>
      <c r="W39" s="1007" t="s">
        <v>75</v>
      </c>
      <c r="X39" s="1003">
        <f>'Tab. 6D - Oświata'!O44</f>
        <v>0</v>
      </c>
      <c r="Y39" s="1004"/>
      <c r="Z39" s="1004"/>
    </row>
    <row r="40" spans="1:26" s="1005" customFormat="1" ht="35.25" customHeight="1" thickBot="1">
      <c r="A40" s="4243" t="s">
        <v>277</v>
      </c>
      <c r="B40" s="4244"/>
      <c r="C40" s="1020"/>
      <c r="D40" s="1020"/>
      <c r="E40" s="1020"/>
      <c r="F40" s="1020"/>
      <c r="G40" s="1020"/>
      <c r="H40" s="1020"/>
      <c r="I40" s="1020"/>
      <c r="J40" s="1020"/>
      <c r="K40" s="1020">
        <f>'Tab. 6D - Oświata'!M51+'Tab. 6A -Drogi'!M563+'Tab. 6D - Oświata'!M65+'Tab. 6D - Oświata'!M60</f>
        <v>5000</v>
      </c>
      <c r="L40" s="1020">
        <f>'Tab. 6D - Oświata'!N51+'Tab. 6A -Drogi'!N563+'Tab. 6D - Oświata'!N65+'Tab. 6D - Oświata'!N60</f>
        <v>0</v>
      </c>
      <c r="M40" s="1020">
        <f>'Tab. 6D - Oświata'!O51+'Tab. 6A -Drogi'!O563+'Tab. 6D - Oświata'!O65+'Tab. 6D - Oświata'!O60</f>
        <v>5000</v>
      </c>
      <c r="N40" s="1020">
        <f>'Tab. 6D - Oświata'!P51+'Tab. 6A -Drogi'!P563+'Tab. 6D - Oświata'!P65+'Tab. 6D - Oświata'!P60</f>
        <v>20303</v>
      </c>
      <c r="O40" s="1020">
        <f>'Tab. 6D - Oświata'!Q51+'Tab. 6A -Drogi'!Q563+'Tab. 6D - Oświata'!Q65+'Tab. 6D - Oświata'!Q60</f>
        <v>11597</v>
      </c>
      <c r="P40" s="1020">
        <f>'Tab. 6D - Oświata'!R51+'Tab. 6A -Drogi'!R563+'Tab. 6D - Oświata'!R65+'Tab. 6D - Oświata'!R60</f>
        <v>0</v>
      </c>
      <c r="Q40" s="1020">
        <f>'Tab. 6D - Oświata'!S51+'Tab. 6A -Drogi'!S563+'Tab. 6D - Oświata'!S65+'Tab. 6D - Oświata'!S60</f>
        <v>0</v>
      </c>
      <c r="R40" s="1020">
        <f>'Tab. 6D - Oświata'!T51+'Tab. 6A -Drogi'!T563+'Tab. 6D - Oświata'!T65+'Tab. 6D - Oświata'!T60</f>
        <v>0</v>
      </c>
      <c r="S40" s="1020">
        <f>'Tab. 6D - Oświata'!U51+'Tab. 6A -Drogi'!U563+'Tab. 6D - Oświata'!U65+'Tab. 6D - Oświata'!U60</f>
        <v>0</v>
      </c>
      <c r="T40" s="1020">
        <f>'Tab. 6D - Oświata'!V51+'Tab. 6A -Drogi'!V563+'Tab. 6D - Oświata'!V65+'Tab. 6D - Oświata'!V60</f>
        <v>0</v>
      </c>
      <c r="U40" s="1020">
        <f>'Tab. 6D - Oświata'!W51+'Tab. 6A -Drogi'!W563+'Tab. 6D - Oświata'!W65+'Tab. 6D - Oświata'!W60</f>
        <v>0</v>
      </c>
      <c r="V40" s="1001">
        <f t="shared" si="7"/>
        <v>36900</v>
      </c>
      <c r="W40" s="1002">
        <f>+O40+P40+Q40+R40+S40+T40+U40</f>
        <v>11597</v>
      </c>
      <c r="X40" s="1003"/>
      <c r="Y40" s="1004"/>
      <c r="Z40" s="1004"/>
    </row>
    <row r="41" spans="1:26" s="1005" customFormat="1" ht="35.25" customHeight="1" thickBot="1">
      <c r="A41" s="4231" t="s">
        <v>278</v>
      </c>
      <c r="B41" s="4232"/>
      <c r="C41" s="1006"/>
      <c r="D41" s="1006"/>
      <c r="E41" s="1006"/>
      <c r="F41" s="1006"/>
      <c r="G41" s="1006"/>
      <c r="H41" s="1006"/>
      <c r="I41" s="1006"/>
      <c r="J41" s="1006"/>
      <c r="K41" s="1006">
        <f>'Tab. 6D - Oświata'!M54+'Tab. 6A -Drogi'!M568+'Tab. 6D - Oświata'!M68+'Tab. 6D - Oświata'!M61</f>
        <v>5000</v>
      </c>
      <c r="L41" s="1006">
        <f>'Tab. 6D - Oświata'!N54+'Tab. 6A -Drogi'!N568+'Tab. 6D - Oświata'!N68+'Tab. 6D - Oświata'!N61</f>
        <v>0</v>
      </c>
      <c r="M41" s="1006">
        <f>'Tab. 6D - Oświata'!O54+'Tab. 6A -Drogi'!O568+'Tab. 6D - Oświata'!O68+'Tab. 6D - Oświata'!O61</f>
        <v>5000</v>
      </c>
      <c r="N41" s="1006">
        <f>'Tab. 6D - Oświata'!P54+'Tab. 6A -Drogi'!P568+'Tab. 6D - Oświata'!P68+'Tab. 6D - Oświata'!P61</f>
        <v>20303</v>
      </c>
      <c r="O41" s="1006">
        <f>'Tab. 6D - Oświata'!Q54+'Tab. 6A -Drogi'!Q568+'Tab. 6D - Oświata'!Q68+'Tab. 6D - Oświata'!Q61</f>
        <v>11597</v>
      </c>
      <c r="P41" s="1006">
        <f>'Tab. 6D - Oświata'!R54+'Tab. 6A -Drogi'!R568+'Tab. 6D - Oświata'!R68+'Tab. 6D - Oświata'!R61</f>
        <v>0</v>
      </c>
      <c r="Q41" s="1006">
        <f>'Tab. 6D - Oświata'!S54+'Tab. 6A -Drogi'!S568+'Tab. 6D - Oświata'!S68+'Tab. 6D - Oświata'!S61</f>
        <v>0</v>
      </c>
      <c r="R41" s="1006">
        <f>'Tab. 6D - Oświata'!T54+'Tab. 6A -Drogi'!T568+'Tab. 6D - Oświata'!T68+'Tab. 6D - Oświata'!T61</f>
        <v>0</v>
      </c>
      <c r="S41" s="1006">
        <f>'Tab. 6D - Oświata'!U54+'Tab. 6A -Drogi'!U568+'Tab. 6D - Oświata'!U68+'Tab. 6D - Oświata'!U61</f>
        <v>0</v>
      </c>
      <c r="T41" s="1006">
        <f>'Tab. 6D - Oświata'!V54+'Tab. 6A -Drogi'!V568+'Tab. 6D - Oświata'!V68+'Tab. 6D - Oświata'!V61</f>
        <v>0</v>
      </c>
      <c r="U41" s="1006">
        <f>'Tab. 6D - Oświata'!W54+'Tab. 6A -Drogi'!W568+'Tab. 6D - Oświata'!W68+'Tab. 6D - Oświata'!W61</f>
        <v>0</v>
      </c>
      <c r="V41" s="1006">
        <f t="shared" si="7"/>
        <v>36900</v>
      </c>
      <c r="W41" s="1007" t="s">
        <v>75</v>
      </c>
      <c r="X41" s="1003"/>
      <c r="Y41" s="1004"/>
      <c r="Z41" s="1004"/>
    </row>
    <row r="42" spans="1:26" ht="13.5" thickBot="1">
      <c r="B42" s="1022"/>
      <c r="C42" s="1022"/>
      <c r="D42" s="1022"/>
      <c r="E42" s="1022"/>
      <c r="F42" s="1022"/>
      <c r="G42" s="1022"/>
      <c r="K42" s="1023"/>
      <c r="V42" s="1022"/>
      <c r="W42" s="1022"/>
    </row>
    <row r="43" spans="1:26" s="1005" customFormat="1" ht="21.75" customHeight="1" thickBot="1">
      <c r="A43" s="4245" t="s">
        <v>243</v>
      </c>
      <c r="B43" s="4246"/>
      <c r="C43" s="1001" t="e">
        <f t="shared" ref="C43:J44" si="8">C7+C9+C11+C13+C15+C17+C19+C21+C25+C38</f>
        <v>#REF!</v>
      </c>
      <c r="D43" s="1001" t="e">
        <f t="shared" si="8"/>
        <v>#REF!</v>
      </c>
      <c r="E43" s="1001" t="e">
        <f t="shared" si="8"/>
        <v>#REF!</v>
      </c>
      <c r="F43" s="1001" t="e">
        <f t="shared" si="8"/>
        <v>#REF!</v>
      </c>
      <c r="G43" s="1001" t="e">
        <f t="shared" si="8"/>
        <v>#REF!</v>
      </c>
      <c r="H43" s="1001" t="e">
        <f t="shared" si="8"/>
        <v>#REF!</v>
      </c>
      <c r="I43" s="1001" t="e">
        <f t="shared" si="8"/>
        <v>#REF!</v>
      </c>
      <c r="J43" s="1001" t="e">
        <f t="shared" si="8"/>
        <v>#REF!</v>
      </c>
      <c r="K43" s="1001">
        <f t="shared" ref="K43:U43" si="9">K7+K9+K11+K13+K15+K17+K19+K21+K25+K38+K23+K40</f>
        <v>198457920</v>
      </c>
      <c r="L43" s="1001">
        <f t="shared" si="9"/>
        <v>57128808</v>
      </c>
      <c r="M43" s="1001">
        <f t="shared" si="9"/>
        <v>48351131</v>
      </c>
      <c r="N43" s="1001">
        <f t="shared" si="9"/>
        <v>79148961</v>
      </c>
      <c r="O43" s="1001">
        <f t="shared" si="9"/>
        <v>411004528</v>
      </c>
      <c r="P43" s="1001">
        <f t="shared" si="9"/>
        <v>366698969</v>
      </c>
      <c r="Q43" s="1001">
        <f t="shared" si="9"/>
        <v>92448507</v>
      </c>
      <c r="R43" s="1001">
        <f t="shared" si="9"/>
        <v>80586161</v>
      </c>
      <c r="S43" s="1001">
        <f t="shared" si="9"/>
        <v>39747415</v>
      </c>
      <c r="T43" s="1001">
        <f t="shared" si="9"/>
        <v>37534222</v>
      </c>
      <c r="U43" s="1001">
        <f t="shared" si="9"/>
        <v>35659574</v>
      </c>
      <c r="V43" s="1001">
        <f>V7+V9+V11+V13+V15+V17+V19+V21+V25+V38+V23+V40</f>
        <v>1341286257</v>
      </c>
      <c r="W43" s="1002">
        <f>+O43+P43+Q43+R43+S43+T43+U43</f>
        <v>1063679376</v>
      </c>
      <c r="X43" s="1024"/>
      <c r="Y43" s="1004"/>
      <c r="Z43" s="1004"/>
    </row>
    <row r="44" spans="1:26" s="1005" customFormat="1" ht="21.75" customHeight="1" thickBot="1">
      <c r="A44" s="4231" t="s">
        <v>244</v>
      </c>
      <c r="B44" s="4232"/>
      <c r="C44" s="1006" t="e">
        <f t="shared" si="8"/>
        <v>#REF!</v>
      </c>
      <c r="D44" s="1006" t="e">
        <f t="shared" si="8"/>
        <v>#REF!</v>
      </c>
      <c r="E44" s="1006" t="e">
        <f t="shared" si="8"/>
        <v>#REF!</v>
      </c>
      <c r="F44" s="1006" t="e">
        <f t="shared" si="8"/>
        <v>#REF!</v>
      </c>
      <c r="G44" s="1006" t="e">
        <f t="shared" si="8"/>
        <v>#REF!</v>
      </c>
      <c r="H44" s="1006" t="e">
        <f t="shared" si="8"/>
        <v>#REF!</v>
      </c>
      <c r="I44" s="1006" t="e">
        <f t="shared" si="8"/>
        <v>#REF!</v>
      </c>
      <c r="J44" s="1006" t="e">
        <f t="shared" si="8"/>
        <v>#REF!</v>
      </c>
      <c r="K44" s="1006">
        <f t="shared" ref="K44:V44" si="10">K8+K10+K12+K14+K16+K18+K20+K22+K26+K39+K24+K41</f>
        <v>189079185</v>
      </c>
      <c r="L44" s="1006">
        <f t="shared" si="10"/>
        <v>70085701</v>
      </c>
      <c r="M44" s="1006">
        <f t="shared" si="10"/>
        <v>56475524</v>
      </c>
      <c r="N44" s="1006">
        <f t="shared" si="10"/>
        <v>71511881</v>
      </c>
      <c r="O44" s="1006">
        <f t="shared" si="10"/>
        <v>354210102</v>
      </c>
      <c r="P44" s="1006">
        <f t="shared" si="10"/>
        <v>312070407</v>
      </c>
      <c r="Q44" s="1006">
        <f t="shared" si="10"/>
        <v>94745088</v>
      </c>
      <c r="R44" s="1006">
        <f t="shared" si="10"/>
        <v>73233636</v>
      </c>
      <c r="S44" s="1006">
        <f t="shared" si="10"/>
        <v>33632474</v>
      </c>
      <c r="T44" s="1006">
        <f t="shared" si="10"/>
        <v>33201723</v>
      </c>
      <c r="U44" s="1006">
        <f t="shared" si="10"/>
        <v>31577361</v>
      </c>
      <c r="V44" s="1006">
        <f t="shared" si="10"/>
        <v>1193261857</v>
      </c>
      <c r="W44" s="1007" t="s">
        <v>75</v>
      </c>
      <c r="X44" s="1024"/>
      <c r="Y44" s="1004"/>
      <c r="Z44" s="1004"/>
    </row>
    <row r="45" spans="1:26">
      <c r="B45" s="1022"/>
      <c r="C45" s="1022"/>
      <c r="D45" s="1022"/>
      <c r="E45" s="1022"/>
      <c r="F45" s="1022"/>
      <c r="G45" s="1022"/>
      <c r="V45" s="1022"/>
      <c r="W45" s="1022"/>
    </row>
    <row r="46" spans="1:26">
      <c r="A46" s="1022" t="s">
        <v>245</v>
      </c>
      <c r="C46" s="1025" t="e">
        <f>+'Tabela nr 6'!B48</f>
        <v>#REF!</v>
      </c>
      <c r="D46" s="1025" t="e">
        <f>+'Tabela nr 6'!C48</f>
        <v>#REF!</v>
      </c>
      <c r="E46" s="1025" t="e">
        <f>+'Tabela nr 6'!D48</f>
        <v>#REF!</v>
      </c>
      <c r="F46" s="1025" t="e">
        <f>+'Tabela nr 6'!E48</f>
        <v>#REF!</v>
      </c>
      <c r="G46" s="1025" t="e">
        <f>+'Tabela nr 6'!F48</f>
        <v>#REF!</v>
      </c>
      <c r="H46" s="1025" t="e">
        <f>+'Tabela nr 6'!G48</f>
        <v>#REF!</v>
      </c>
      <c r="I46" s="1025" t="e">
        <f>+'Tabela nr 6'!H48</f>
        <v>#REF!</v>
      </c>
      <c r="J46" s="1025" t="e">
        <f>+'Tabela nr 6'!I48</f>
        <v>#REF!</v>
      </c>
      <c r="K46" s="1025">
        <f>+'Tabela nr 6'!J48</f>
        <v>198457920.30000001</v>
      </c>
      <c r="L46" s="1026">
        <f>+'Tabela nr 6'!K48</f>
        <v>57128808</v>
      </c>
      <c r="M46" s="1025">
        <f>+'Tabela nr 6'!L48</f>
        <v>48351131</v>
      </c>
      <c r="N46" s="1025">
        <f>+'Tabela nr 6'!M48</f>
        <v>79148961</v>
      </c>
      <c r="O46" s="1025">
        <f>+'Tabela nr 6'!N48</f>
        <v>411004528</v>
      </c>
      <c r="P46" s="1025">
        <f>+'Tabela nr 6'!O48</f>
        <v>366698969</v>
      </c>
      <c r="Q46" s="1025">
        <f>+'Tabela nr 6'!P48</f>
        <v>92448507</v>
      </c>
      <c r="R46" s="1025">
        <f>+'Tabela nr 6'!Q48</f>
        <v>80586161</v>
      </c>
      <c r="S46" s="1025">
        <f>+'Tabela nr 6'!R48</f>
        <v>39747415</v>
      </c>
      <c r="T46" s="1025">
        <f>+'Tabela nr 6'!S48</f>
        <v>37534222</v>
      </c>
      <c r="U46" s="1025">
        <f>+'Tabela nr 6'!T48</f>
        <v>35659574</v>
      </c>
      <c r="V46" s="1025">
        <f>+'Tabela nr 6'!U48</f>
        <v>1341286257.3</v>
      </c>
      <c r="W46" s="1025">
        <f>'Tabela nr 6'!V12</f>
        <v>1063679376</v>
      </c>
    </row>
    <row r="47" spans="1:26">
      <c r="A47" s="1022" t="s">
        <v>246</v>
      </c>
      <c r="C47" s="1025" t="e">
        <f>+'Tabela nr 6'!B49</f>
        <v>#REF!</v>
      </c>
      <c r="D47" s="1025" t="e">
        <f>+'Tabela nr 6'!C49</f>
        <v>#REF!</v>
      </c>
      <c r="E47" s="1025" t="e">
        <f>+'Tabela nr 6'!D49</f>
        <v>#REF!</v>
      </c>
      <c r="F47" s="1025" t="e">
        <f>+'Tabela nr 6'!E49</f>
        <v>#REF!</v>
      </c>
      <c r="G47" s="1025" t="e">
        <f>+'Tabela nr 6'!F49</f>
        <v>#REF!</v>
      </c>
      <c r="H47" s="1025" t="e">
        <f>+'Tabela nr 6'!G49</f>
        <v>#REF!</v>
      </c>
      <c r="I47" s="1025" t="e">
        <f>+'Tabela nr 6'!H49</f>
        <v>#REF!</v>
      </c>
      <c r="J47" s="1025" t="e">
        <f>+'Tabela nr 6'!I49</f>
        <v>#REF!</v>
      </c>
      <c r="K47" s="1025">
        <f>+'Tabela nr 6'!J49</f>
        <v>189079185</v>
      </c>
      <c r="L47" s="1026">
        <f>+'Tabela nr 6'!K49</f>
        <v>70085701</v>
      </c>
      <c r="M47" s="1025">
        <f>+'Tabela nr 6'!L49</f>
        <v>56475524</v>
      </c>
      <c r="N47" s="1025">
        <f>+'Tabela nr 6'!M49</f>
        <v>71511881</v>
      </c>
      <c r="O47" s="1025">
        <f>+'Tabela nr 6'!N49</f>
        <v>354210102</v>
      </c>
      <c r="P47" s="1025">
        <f>+'Tabela nr 6'!O49</f>
        <v>312070407</v>
      </c>
      <c r="Q47" s="1025">
        <f>+'Tabela nr 6'!P49</f>
        <v>94745088</v>
      </c>
      <c r="R47" s="1025">
        <f>+'Tabela nr 6'!Q49</f>
        <v>73233636</v>
      </c>
      <c r="S47" s="1025">
        <f>+'Tabela nr 6'!R49</f>
        <v>33632474</v>
      </c>
      <c r="T47" s="1025">
        <f>+'Tabela nr 6'!S49</f>
        <v>33201723</v>
      </c>
      <c r="U47" s="1025">
        <f>+'Tabela nr 6'!T49</f>
        <v>31577361</v>
      </c>
      <c r="V47" s="1025">
        <f>+'Tabela nr 6'!U49</f>
        <v>1193261857</v>
      </c>
      <c r="W47" s="1059"/>
    </row>
    <row r="48" spans="1:26">
      <c r="B48" s="1022"/>
      <c r="C48" s="1022"/>
      <c r="D48" s="1022"/>
      <c r="E48" s="1022"/>
      <c r="F48" s="1022"/>
      <c r="G48" s="1022"/>
      <c r="V48" s="1022"/>
      <c r="W48" s="1022"/>
    </row>
    <row r="49" spans="1:26">
      <c r="B49" s="1022" t="s">
        <v>247</v>
      </c>
      <c r="C49" s="1025" t="e">
        <f>+C44-C47</f>
        <v>#REF!</v>
      </c>
      <c r="D49" s="1025" t="e">
        <f t="shared" ref="D49:N50" si="11">+D43-D46</f>
        <v>#REF!</v>
      </c>
      <c r="E49" s="1025" t="e">
        <f t="shared" si="11"/>
        <v>#REF!</v>
      </c>
      <c r="F49" s="1025" t="e">
        <f t="shared" si="11"/>
        <v>#REF!</v>
      </c>
      <c r="G49" s="1025" t="e">
        <f>+G43-G46</f>
        <v>#REF!</v>
      </c>
      <c r="H49" s="1025" t="e">
        <f t="shared" si="11"/>
        <v>#REF!</v>
      </c>
      <c r="I49" s="1025" t="e">
        <f t="shared" si="11"/>
        <v>#REF!</v>
      </c>
      <c r="J49" s="1025" t="e">
        <f>+J43-J46</f>
        <v>#REF!</v>
      </c>
      <c r="K49" s="1025">
        <f>+K43-K46</f>
        <v>-0.30000001192092896</v>
      </c>
      <c r="L49" s="1026">
        <f>+L43-L46</f>
        <v>0</v>
      </c>
      <c r="M49" s="1025">
        <f t="shared" si="11"/>
        <v>0</v>
      </c>
      <c r="N49" s="1025">
        <f t="shared" ref="N49:W49" si="12">+N43-N46</f>
        <v>0</v>
      </c>
      <c r="O49" s="1025">
        <f t="shared" si="12"/>
        <v>0</v>
      </c>
      <c r="P49" s="1025">
        <f t="shared" si="12"/>
        <v>0</v>
      </c>
      <c r="Q49" s="1025">
        <f t="shared" si="12"/>
        <v>0</v>
      </c>
      <c r="R49" s="1025">
        <f t="shared" si="12"/>
        <v>0</v>
      </c>
      <c r="S49" s="1025">
        <f t="shared" si="12"/>
        <v>0</v>
      </c>
      <c r="T49" s="1025">
        <f t="shared" si="12"/>
        <v>0</v>
      </c>
      <c r="U49" s="1025">
        <f t="shared" si="12"/>
        <v>0</v>
      </c>
      <c r="V49" s="1025">
        <f t="shared" si="12"/>
        <v>-0.29999995231628418</v>
      </c>
      <c r="W49" s="1025">
        <f t="shared" si="12"/>
        <v>0</v>
      </c>
    </row>
    <row r="50" spans="1:26">
      <c r="B50" s="1022"/>
      <c r="C50" s="1025" t="e">
        <f>+C44-C47</f>
        <v>#REF!</v>
      </c>
      <c r="D50" s="1025" t="e">
        <f t="shared" si="11"/>
        <v>#REF!</v>
      </c>
      <c r="E50" s="1025" t="e">
        <f t="shared" si="11"/>
        <v>#REF!</v>
      </c>
      <c r="F50" s="1025" t="e">
        <f t="shared" si="11"/>
        <v>#REF!</v>
      </c>
      <c r="G50" s="1025" t="e">
        <f t="shared" si="11"/>
        <v>#REF!</v>
      </c>
      <c r="H50" s="1025" t="e">
        <f t="shared" si="11"/>
        <v>#REF!</v>
      </c>
      <c r="I50" s="1025" t="e">
        <f t="shared" si="11"/>
        <v>#REF!</v>
      </c>
      <c r="J50" s="1025" t="e">
        <f t="shared" si="11"/>
        <v>#REF!</v>
      </c>
      <c r="K50" s="1025">
        <f>+K44-K47</f>
        <v>0</v>
      </c>
      <c r="L50" s="1026">
        <f t="shared" si="11"/>
        <v>0</v>
      </c>
      <c r="M50" s="1025">
        <f t="shared" si="11"/>
        <v>0</v>
      </c>
      <c r="N50" s="1025">
        <f t="shared" si="11"/>
        <v>0</v>
      </c>
      <c r="O50" s="1025">
        <f t="shared" ref="O50:V50" si="13">+O44-O47</f>
        <v>0</v>
      </c>
      <c r="P50" s="1025">
        <f t="shared" si="13"/>
        <v>0</v>
      </c>
      <c r="Q50" s="1025">
        <f t="shared" si="13"/>
        <v>0</v>
      </c>
      <c r="R50" s="1025">
        <f t="shared" si="13"/>
        <v>0</v>
      </c>
      <c r="S50" s="1025">
        <f t="shared" si="13"/>
        <v>0</v>
      </c>
      <c r="T50" s="1025">
        <f t="shared" si="13"/>
        <v>0</v>
      </c>
      <c r="U50" s="1025">
        <f t="shared" si="13"/>
        <v>0</v>
      </c>
      <c r="V50" s="1025">
        <f t="shared" si="13"/>
        <v>0</v>
      </c>
      <c r="W50" s="1025">
        <v>0</v>
      </c>
    </row>
    <row r="51" spans="1:26">
      <c r="B51" s="1022"/>
      <c r="C51" s="1022"/>
      <c r="D51" s="1022"/>
      <c r="E51" s="1022"/>
      <c r="F51" s="1022"/>
      <c r="G51" s="1022"/>
      <c r="K51" s="1025"/>
      <c r="V51" s="1022"/>
      <c r="W51" s="1022"/>
      <c r="X51" s="981"/>
      <c r="Y51" s="981"/>
      <c r="Z51" s="981"/>
    </row>
    <row r="52" spans="1:26">
      <c r="B52" s="1022"/>
      <c r="C52" s="1022"/>
      <c r="D52" s="1022"/>
      <c r="E52" s="1022"/>
      <c r="F52" s="1022"/>
      <c r="G52" s="1022"/>
      <c r="K52" s="1025"/>
      <c r="V52" s="1022"/>
      <c r="W52" s="1022"/>
      <c r="X52" s="981"/>
      <c r="Y52" s="981"/>
      <c r="Z52" s="981"/>
    </row>
    <row r="53" spans="1:26">
      <c r="A53" s="1027"/>
      <c r="B53" s="1022"/>
      <c r="C53" s="1028"/>
      <c r="D53" s="1029"/>
      <c r="E53" s="1029"/>
      <c r="F53" s="1029"/>
      <c r="G53" s="1028"/>
      <c r="H53" s="1028"/>
      <c r="I53" s="1028"/>
      <c r="K53" s="1025"/>
      <c r="Q53" s="1025"/>
      <c r="V53" s="1022"/>
      <c r="W53" s="1022"/>
      <c r="X53" s="981"/>
      <c r="Y53" s="981"/>
      <c r="Z53" s="981"/>
    </row>
    <row r="54" spans="1:26" ht="23.25" customHeight="1">
      <c r="B54" s="1030"/>
      <c r="C54" s="1025"/>
      <c r="D54" s="1022"/>
      <c r="E54" s="1022"/>
      <c r="F54" s="1022"/>
      <c r="G54" s="1025"/>
      <c r="H54" s="1025"/>
      <c r="I54" s="1025"/>
      <c r="K54" s="1025"/>
      <c r="P54" s="1025"/>
      <c r="V54" s="1022"/>
      <c r="W54" s="1022"/>
      <c r="X54" s="981"/>
      <c r="Y54" s="981"/>
      <c r="Z54" s="981"/>
    </row>
    <row r="55" spans="1:26">
      <c r="B55" s="1022"/>
      <c r="C55" s="1022"/>
      <c r="D55" s="1022"/>
      <c r="E55" s="1022"/>
      <c r="F55" s="1022"/>
      <c r="G55" s="1022"/>
      <c r="K55" s="1025"/>
      <c r="V55" s="1022"/>
      <c r="W55" s="1022"/>
      <c r="X55" s="981"/>
      <c r="Y55" s="981"/>
      <c r="Z55" s="981"/>
    </row>
    <row r="56" spans="1:26">
      <c r="A56" s="1031"/>
      <c r="B56" s="1022"/>
      <c r="C56" s="1022"/>
      <c r="D56" s="1022"/>
      <c r="E56" s="1022"/>
      <c r="F56" s="1022"/>
      <c r="G56" s="1022"/>
      <c r="K56" s="1025"/>
      <c r="V56" s="1022"/>
      <c r="W56" s="1022"/>
      <c r="X56" s="981"/>
      <c r="Y56" s="981"/>
      <c r="Z56" s="981"/>
    </row>
    <row r="57" spans="1:26">
      <c r="B57" s="1022"/>
      <c r="C57" s="1025"/>
      <c r="D57" s="1022"/>
      <c r="E57" s="1022"/>
      <c r="F57" s="1022"/>
      <c r="G57" s="1025"/>
      <c r="H57" s="1025"/>
      <c r="I57" s="1025"/>
      <c r="K57" s="1025"/>
      <c r="V57" s="1022"/>
      <c r="W57" s="1022"/>
      <c r="X57" s="981"/>
      <c r="Y57" s="981"/>
      <c r="Z57" s="981"/>
    </row>
    <row r="58" spans="1:26">
      <c r="B58" s="1022"/>
      <c r="C58" s="1025"/>
      <c r="D58" s="1022"/>
      <c r="E58" s="1022"/>
      <c r="F58" s="1022"/>
      <c r="G58" s="1025"/>
      <c r="H58" s="1025"/>
      <c r="I58" s="1025"/>
      <c r="V58" s="1022"/>
      <c r="W58" s="1022"/>
      <c r="X58" s="981"/>
      <c r="Y58" s="981"/>
      <c r="Z58" s="981"/>
    </row>
    <row r="59" spans="1:26">
      <c r="B59" s="1022"/>
      <c r="C59" s="1028"/>
      <c r="D59" s="1029"/>
      <c r="E59" s="1029"/>
      <c r="F59" s="1029"/>
      <c r="G59" s="1028"/>
      <c r="H59" s="1028"/>
      <c r="I59" s="1028"/>
      <c r="V59" s="1022"/>
      <c r="W59" s="1022"/>
      <c r="X59" s="981"/>
      <c r="Y59" s="981"/>
      <c r="Z59" s="981"/>
    </row>
    <row r="60" spans="1:26">
      <c r="B60" s="1022"/>
      <c r="C60" s="1022"/>
      <c r="D60" s="1022"/>
      <c r="E60" s="1022"/>
      <c r="F60" s="1022"/>
      <c r="G60" s="1022"/>
      <c r="V60" s="1022"/>
      <c r="W60" s="1022"/>
      <c r="X60" s="981"/>
      <c r="Y60" s="981"/>
      <c r="Z60" s="981"/>
    </row>
    <row r="61" spans="1:26">
      <c r="A61" s="1031"/>
      <c r="B61" s="1022"/>
      <c r="C61" s="1028"/>
      <c r="D61" s="1029"/>
      <c r="E61" s="1029"/>
      <c r="F61" s="1029"/>
      <c r="G61" s="1028"/>
      <c r="H61" s="1028"/>
      <c r="I61" s="1028"/>
      <c r="V61" s="1022"/>
      <c r="W61" s="1022"/>
      <c r="X61" s="981"/>
      <c r="Y61" s="981"/>
      <c r="Z61" s="981"/>
    </row>
    <row r="62" spans="1:26">
      <c r="B62" s="1030"/>
      <c r="C62" s="1025"/>
      <c r="D62" s="1022"/>
      <c r="E62" s="1022"/>
      <c r="F62" s="1022"/>
      <c r="G62" s="1025"/>
      <c r="V62" s="1022"/>
      <c r="W62" s="1022"/>
      <c r="X62" s="981"/>
      <c r="Y62" s="981"/>
      <c r="Z62" s="981"/>
    </row>
    <row r="63" spans="1:26">
      <c r="B63" s="1022"/>
      <c r="C63" s="1022"/>
      <c r="D63" s="1022"/>
      <c r="E63" s="1022"/>
      <c r="F63" s="1022"/>
      <c r="G63" s="1022"/>
      <c r="V63" s="1022"/>
      <c r="W63" s="1022"/>
      <c r="X63" s="981"/>
      <c r="Y63" s="981"/>
      <c r="Z63" s="981"/>
    </row>
    <row r="64" spans="1:26">
      <c r="B64" s="1022"/>
      <c r="C64" s="1022"/>
      <c r="D64" s="1022"/>
      <c r="E64" s="1022"/>
      <c r="F64" s="1022"/>
      <c r="G64" s="1022"/>
      <c r="V64" s="1022"/>
      <c r="W64" s="1022"/>
      <c r="X64" s="981"/>
      <c r="Y64" s="981"/>
      <c r="Z64" s="981"/>
    </row>
    <row r="65" spans="1:26">
      <c r="A65" s="981"/>
      <c r="B65" s="1022"/>
      <c r="C65" s="1022"/>
      <c r="D65" s="1022"/>
      <c r="E65" s="1022"/>
      <c r="F65" s="1022"/>
      <c r="G65" s="1022"/>
      <c r="V65" s="1022"/>
      <c r="W65" s="1022"/>
      <c r="X65" s="981"/>
      <c r="Y65" s="981"/>
      <c r="Z65" s="981"/>
    </row>
    <row r="66" spans="1:26">
      <c r="A66" s="981"/>
      <c r="B66" s="1022"/>
      <c r="C66" s="1022"/>
      <c r="D66" s="1022"/>
      <c r="E66" s="1022"/>
      <c r="F66" s="1022"/>
      <c r="G66" s="1022"/>
      <c r="V66" s="1022"/>
      <c r="W66" s="1022"/>
      <c r="X66" s="981"/>
      <c r="Y66" s="981"/>
      <c r="Z66" s="981"/>
    </row>
    <row r="67" spans="1:26">
      <c r="A67" s="981"/>
      <c r="B67" s="1022"/>
      <c r="C67" s="1022"/>
      <c r="D67" s="1022"/>
      <c r="E67" s="1022"/>
      <c r="F67" s="1022"/>
      <c r="G67" s="1022"/>
      <c r="V67" s="1022"/>
      <c r="W67" s="1022"/>
      <c r="X67" s="981"/>
      <c r="Y67" s="981"/>
      <c r="Z67" s="981"/>
    </row>
    <row r="68" spans="1:26">
      <c r="A68" s="981"/>
      <c r="B68" s="1022"/>
      <c r="C68" s="1022"/>
      <c r="D68" s="1022"/>
      <c r="E68" s="1022"/>
      <c r="F68" s="1022"/>
      <c r="G68" s="1022"/>
      <c r="V68" s="1022"/>
      <c r="W68" s="1022"/>
      <c r="X68" s="981"/>
      <c r="Y68" s="981"/>
      <c r="Z68" s="981"/>
    </row>
    <row r="69" spans="1:26">
      <c r="A69" s="981"/>
      <c r="B69" s="1022"/>
      <c r="C69" s="1022"/>
      <c r="D69" s="1022"/>
      <c r="E69" s="1022"/>
      <c r="F69" s="1022"/>
      <c r="G69" s="1022"/>
      <c r="V69" s="1022"/>
      <c r="W69" s="1022"/>
      <c r="X69" s="981"/>
      <c r="Y69" s="981"/>
      <c r="Z69" s="981"/>
    </row>
    <row r="70" spans="1:26">
      <c r="A70" s="981"/>
      <c r="B70" s="1022"/>
      <c r="C70" s="1022"/>
      <c r="D70" s="1022"/>
      <c r="E70" s="1022"/>
      <c r="F70" s="1022"/>
      <c r="G70" s="1022"/>
      <c r="V70" s="1022"/>
      <c r="W70" s="1022"/>
      <c r="X70" s="981"/>
      <c r="Y70" s="981"/>
      <c r="Z70" s="981"/>
    </row>
    <row r="71" spans="1:26">
      <c r="A71" s="981"/>
      <c r="B71" s="1022"/>
      <c r="C71" s="1022"/>
      <c r="D71" s="1022"/>
      <c r="E71" s="1022"/>
      <c r="F71" s="1022"/>
      <c r="G71" s="1022"/>
      <c r="V71" s="1022"/>
      <c r="W71" s="1022"/>
      <c r="X71" s="981"/>
      <c r="Y71" s="981"/>
      <c r="Z71" s="981"/>
    </row>
    <row r="72" spans="1:26">
      <c r="A72" s="981"/>
      <c r="B72" s="1022"/>
      <c r="C72" s="1022"/>
      <c r="D72" s="1022"/>
      <c r="E72" s="1022"/>
      <c r="F72" s="1022"/>
      <c r="G72" s="1022"/>
      <c r="V72" s="1022"/>
      <c r="W72" s="1022"/>
      <c r="X72" s="981"/>
      <c r="Y72" s="981"/>
      <c r="Z72" s="981"/>
    </row>
    <row r="73" spans="1:26">
      <c r="A73" s="981"/>
      <c r="B73" s="1022"/>
      <c r="C73" s="1022"/>
      <c r="D73" s="1022"/>
      <c r="E73" s="1022"/>
      <c r="F73" s="1022"/>
      <c r="G73" s="1022"/>
      <c r="V73" s="1022"/>
      <c r="W73" s="1022"/>
      <c r="X73" s="981"/>
      <c r="Y73" s="981"/>
      <c r="Z73" s="981"/>
    </row>
    <row r="74" spans="1:26">
      <c r="A74" s="981"/>
      <c r="B74" s="1022"/>
      <c r="C74" s="1022"/>
      <c r="D74" s="1022"/>
      <c r="E74" s="1022"/>
      <c r="F74" s="1022"/>
      <c r="G74" s="1022"/>
      <c r="V74" s="1022"/>
      <c r="W74" s="1022"/>
      <c r="X74" s="981"/>
      <c r="Y74" s="981"/>
      <c r="Z74" s="981"/>
    </row>
    <row r="75" spans="1:26" ht="13.5" customHeight="1">
      <c r="A75" s="981"/>
      <c r="B75" s="1022"/>
      <c r="C75" s="1022"/>
      <c r="D75" s="1022"/>
      <c r="E75" s="1022"/>
      <c r="F75" s="1022"/>
      <c r="G75" s="1022"/>
      <c r="V75" s="1022"/>
      <c r="W75" s="1022"/>
      <c r="X75" s="981"/>
      <c r="Y75" s="981"/>
      <c r="Z75" s="981"/>
    </row>
    <row r="76" spans="1:26">
      <c r="A76" s="981"/>
      <c r="B76" s="1022"/>
      <c r="C76" s="1022"/>
      <c r="D76" s="1022"/>
      <c r="E76" s="1022"/>
      <c r="F76" s="1022"/>
      <c r="G76" s="1022"/>
      <c r="V76" s="1022"/>
      <c r="W76" s="1022"/>
      <c r="X76" s="981"/>
      <c r="Y76" s="981"/>
      <c r="Z76" s="981"/>
    </row>
    <row r="77" spans="1:26">
      <c r="A77" s="981"/>
      <c r="B77" s="1022"/>
      <c r="C77" s="1022"/>
      <c r="D77" s="1022"/>
      <c r="E77" s="1022"/>
      <c r="F77" s="1022"/>
      <c r="G77" s="1022"/>
      <c r="V77" s="1022"/>
      <c r="W77" s="1022"/>
      <c r="X77" s="981"/>
      <c r="Y77" s="981"/>
      <c r="Z77" s="981"/>
    </row>
    <row r="78" spans="1:26">
      <c r="A78" s="981"/>
      <c r="B78" s="1022"/>
      <c r="C78" s="1022"/>
      <c r="D78" s="1022"/>
      <c r="E78" s="1022"/>
      <c r="F78" s="1022"/>
      <c r="G78" s="1022"/>
      <c r="V78" s="1022"/>
      <c r="W78" s="1022"/>
      <c r="X78" s="981"/>
      <c r="Y78" s="981"/>
      <c r="Z78" s="981"/>
    </row>
    <row r="79" spans="1:26">
      <c r="A79" s="981"/>
      <c r="B79" s="1022"/>
      <c r="C79" s="1022"/>
      <c r="D79" s="1022"/>
      <c r="E79" s="1022"/>
      <c r="F79" s="1022"/>
      <c r="G79" s="1022"/>
      <c r="V79" s="1022"/>
      <c r="W79" s="1022"/>
      <c r="X79" s="981"/>
      <c r="Y79" s="981"/>
      <c r="Z79" s="981"/>
    </row>
    <row r="80" spans="1:26">
      <c r="A80" s="981"/>
      <c r="B80" s="1022"/>
      <c r="C80" s="1022"/>
      <c r="D80" s="1022"/>
      <c r="E80" s="1022"/>
      <c r="F80" s="1022"/>
      <c r="G80" s="1022"/>
      <c r="V80" s="1022"/>
      <c r="W80" s="1022"/>
      <c r="X80" s="981"/>
      <c r="Y80" s="981"/>
      <c r="Z80" s="981"/>
    </row>
    <row r="81" spans="1:26">
      <c r="A81" s="981"/>
      <c r="B81" s="1022"/>
      <c r="C81" s="1022"/>
      <c r="D81" s="1022"/>
      <c r="E81" s="1022"/>
      <c r="F81" s="1022"/>
      <c r="G81" s="1022"/>
      <c r="V81" s="1022"/>
      <c r="W81" s="1022"/>
      <c r="X81" s="981"/>
      <c r="Y81" s="981"/>
      <c r="Z81" s="981"/>
    </row>
    <row r="82" spans="1:26">
      <c r="A82" s="981"/>
      <c r="B82" s="1022"/>
      <c r="C82" s="1022"/>
      <c r="D82" s="1022"/>
      <c r="E82" s="1022"/>
      <c r="F82" s="1022"/>
      <c r="G82" s="1022"/>
      <c r="V82" s="1022"/>
      <c r="W82" s="1022"/>
      <c r="X82" s="981"/>
      <c r="Y82" s="981"/>
      <c r="Z82" s="981"/>
    </row>
    <row r="83" spans="1:26">
      <c r="A83" s="981"/>
      <c r="B83" s="1022"/>
      <c r="C83" s="1022"/>
      <c r="D83" s="1022"/>
      <c r="E83" s="1022"/>
      <c r="F83" s="1022"/>
      <c r="G83" s="1022"/>
      <c r="V83" s="1022"/>
      <c r="W83" s="1022"/>
      <c r="X83" s="981"/>
      <c r="Y83" s="981"/>
      <c r="Z83" s="981"/>
    </row>
    <row r="84" spans="1:26">
      <c r="A84" s="981"/>
      <c r="B84" s="1022"/>
      <c r="C84" s="1022"/>
      <c r="D84" s="1022"/>
      <c r="E84" s="1022"/>
      <c r="F84" s="1022"/>
      <c r="G84" s="1022"/>
      <c r="V84" s="1022"/>
      <c r="W84" s="1022"/>
      <c r="X84" s="981"/>
      <c r="Y84" s="981"/>
      <c r="Z84" s="981"/>
    </row>
    <row r="85" spans="1:26">
      <c r="A85" s="981"/>
      <c r="B85" s="1022"/>
      <c r="C85" s="1022"/>
      <c r="D85" s="1022"/>
      <c r="E85" s="1022"/>
      <c r="F85" s="1022"/>
      <c r="G85" s="1022"/>
      <c r="V85" s="1022"/>
      <c r="W85" s="1022"/>
      <c r="X85" s="981"/>
      <c r="Y85" s="981"/>
      <c r="Z85" s="981"/>
    </row>
    <row r="86" spans="1:26">
      <c r="A86" s="981"/>
      <c r="B86" s="1022"/>
      <c r="C86" s="1022"/>
      <c r="D86" s="1022"/>
      <c r="E86" s="1022"/>
      <c r="F86" s="1022"/>
      <c r="G86" s="1022"/>
      <c r="V86" s="1022"/>
      <c r="W86" s="1022"/>
      <c r="X86" s="981"/>
      <c r="Y86" s="981"/>
      <c r="Z86" s="981"/>
    </row>
    <row r="87" spans="1:26">
      <c r="A87" s="981"/>
      <c r="B87" s="1022"/>
      <c r="C87" s="1022"/>
      <c r="D87" s="1022"/>
      <c r="E87" s="1022"/>
      <c r="F87" s="1022"/>
      <c r="G87" s="1022"/>
      <c r="V87" s="1022"/>
      <c r="W87" s="1022"/>
      <c r="X87" s="981"/>
      <c r="Y87" s="981"/>
      <c r="Z87" s="981"/>
    </row>
    <row r="88" spans="1:26">
      <c r="A88" s="981"/>
      <c r="B88" s="1022"/>
      <c r="C88" s="1022"/>
      <c r="D88" s="1022"/>
      <c r="E88" s="1022"/>
      <c r="F88" s="1022"/>
      <c r="G88" s="1022"/>
      <c r="V88" s="1022"/>
      <c r="W88" s="1022"/>
      <c r="X88" s="981"/>
      <c r="Y88" s="981"/>
      <c r="Z88" s="981"/>
    </row>
    <row r="89" spans="1:26">
      <c r="A89" s="981"/>
      <c r="B89" s="1022"/>
      <c r="C89" s="1022"/>
      <c r="D89" s="1022"/>
      <c r="E89" s="1022"/>
      <c r="F89" s="1022"/>
      <c r="G89" s="1022"/>
      <c r="V89" s="1022"/>
      <c r="W89" s="1022"/>
      <c r="X89" s="981"/>
      <c r="Y89" s="981"/>
      <c r="Z89" s="981"/>
    </row>
    <row r="90" spans="1:26">
      <c r="A90" s="981"/>
      <c r="B90" s="1022"/>
      <c r="C90" s="1022"/>
      <c r="D90" s="1022"/>
      <c r="E90" s="1022"/>
      <c r="F90" s="1022"/>
      <c r="G90" s="1022"/>
      <c r="V90" s="1022"/>
      <c r="W90" s="1022"/>
      <c r="X90" s="981"/>
      <c r="Y90" s="981"/>
      <c r="Z90" s="981"/>
    </row>
    <row r="91" spans="1:26">
      <c r="A91" s="981"/>
      <c r="B91" s="1022"/>
      <c r="C91" s="1022"/>
      <c r="D91" s="1022"/>
      <c r="E91" s="1022"/>
      <c r="F91" s="1022"/>
      <c r="G91" s="1022"/>
      <c r="V91" s="1022"/>
      <c r="W91" s="1022"/>
      <c r="X91" s="981"/>
      <c r="Y91" s="981"/>
      <c r="Z91" s="981"/>
    </row>
    <row r="92" spans="1:26">
      <c r="A92" s="981"/>
      <c r="B92" s="1022"/>
      <c r="C92" s="1022"/>
      <c r="D92" s="1022"/>
      <c r="E92" s="1022"/>
      <c r="F92" s="1022"/>
      <c r="G92" s="1022"/>
      <c r="V92" s="1022"/>
      <c r="W92" s="1022"/>
      <c r="X92" s="981"/>
      <c r="Y92" s="981"/>
      <c r="Z92" s="981"/>
    </row>
    <row r="93" spans="1:26">
      <c r="A93" s="981"/>
      <c r="B93" s="1022"/>
      <c r="C93" s="1022"/>
      <c r="D93" s="1022"/>
      <c r="E93" s="1022"/>
      <c r="F93" s="1022"/>
      <c r="G93" s="1022"/>
      <c r="V93" s="1022"/>
      <c r="W93" s="1022"/>
      <c r="X93" s="981"/>
      <c r="Y93" s="981"/>
      <c r="Z93" s="981"/>
    </row>
    <row r="94" spans="1:26">
      <c r="A94" s="981"/>
      <c r="B94" s="1022"/>
      <c r="C94" s="1022"/>
      <c r="D94" s="1022"/>
      <c r="E94" s="1022"/>
      <c r="F94" s="1022"/>
      <c r="G94" s="1022"/>
      <c r="V94" s="1022"/>
      <c r="W94" s="1022"/>
      <c r="X94" s="981"/>
      <c r="Y94" s="981"/>
      <c r="Z94" s="981"/>
    </row>
    <row r="95" spans="1:26">
      <c r="A95" s="981"/>
      <c r="B95" s="1022"/>
      <c r="C95" s="1022"/>
      <c r="D95" s="1022"/>
      <c r="E95" s="1022"/>
      <c r="F95" s="1022"/>
      <c r="G95" s="1022"/>
      <c r="V95" s="1022"/>
      <c r="W95" s="1022"/>
      <c r="X95" s="981"/>
      <c r="Y95" s="981"/>
      <c r="Z95" s="981"/>
    </row>
    <row r="96" spans="1:26">
      <c r="A96" s="981"/>
      <c r="B96" s="1022"/>
      <c r="C96" s="1022"/>
      <c r="D96" s="1022"/>
      <c r="E96" s="1022"/>
      <c r="F96" s="1022"/>
      <c r="G96" s="1022"/>
      <c r="V96" s="1022"/>
      <c r="W96" s="1022"/>
      <c r="X96" s="981"/>
      <c r="Y96" s="981"/>
      <c r="Z96" s="981"/>
    </row>
    <row r="97" spans="1:26">
      <c r="A97" s="981"/>
      <c r="B97" s="1022"/>
      <c r="C97" s="1022"/>
      <c r="D97" s="1022"/>
      <c r="E97" s="1022"/>
      <c r="F97" s="1022"/>
      <c r="G97" s="1022"/>
      <c r="V97" s="1022"/>
      <c r="W97" s="1022"/>
      <c r="X97" s="981"/>
      <c r="Y97" s="981"/>
      <c r="Z97" s="981"/>
    </row>
    <row r="98" spans="1:26">
      <c r="A98" s="981"/>
      <c r="B98" s="1022"/>
      <c r="C98" s="1022"/>
      <c r="D98" s="1022"/>
      <c r="E98" s="1022"/>
      <c r="F98" s="1022"/>
      <c r="G98" s="1022"/>
      <c r="V98" s="1022"/>
      <c r="W98" s="1022"/>
      <c r="X98" s="981"/>
      <c r="Y98" s="981"/>
      <c r="Z98" s="981"/>
    </row>
    <row r="99" spans="1:26">
      <c r="A99" s="981"/>
      <c r="B99" s="1022"/>
      <c r="C99" s="1022"/>
      <c r="D99" s="1022"/>
      <c r="E99" s="1022"/>
      <c r="F99" s="1022"/>
      <c r="G99" s="1022"/>
      <c r="V99" s="1022"/>
      <c r="W99" s="1022"/>
      <c r="X99" s="981"/>
      <c r="Y99" s="981"/>
      <c r="Z99" s="981"/>
    </row>
    <row r="100" spans="1:26">
      <c r="A100" s="981"/>
      <c r="B100" s="1022"/>
      <c r="C100" s="1022"/>
      <c r="D100" s="1022"/>
      <c r="E100" s="1022"/>
      <c r="F100" s="1022"/>
      <c r="G100" s="1022"/>
      <c r="V100" s="1022"/>
      <c r="W100" s="1022"/>
      <c r="X100" s="981"/>
      <c r="Y100" s="981"/>
      <c r="Z100" s="981"/>
    </row>
    <row r="101" spans="1:26">
      <c r="A101" s="981"/>
      <c r="B101" s="1022"/>
      <c r="C101" s="1022"/>
      <c r="D101" s="1022"/>
      <c r="E101" s="1022"/>
      <c r="F101" s="1022"/>
      <c r="G101" s="1022"/>
      <c r="V101" s="1022"/>
      <c r="W101" s="1022"/>
      <c r="X101" s="981"/>
      <c r="Y101" s="981"/>
      <c r="Z101" s="981"/>
    </row>
    <row r="102" spans="1:26">
      <c r="A102" s="981"/>
      <c r="B102" s="1022"/>
      <c r="C102" s="1022"/>
      <c r="D102" s="1022"/>
      <c r="E102" s="1022"/>
      <c r="F102" s="1022"/>
      <c r="G102" s="1022"/>
      <c r="V102" s="1022"/>
      <c r="W102" s="1022"/>
      <c r="X102" s="981"/>
      <c r="Y102" s="981"/>
      <c r="Z102" s="981"/>
    </row>
    <row r="103" spans="1:26">
      <c r="A103" s="981"/>
      <c r="B103" s="1022"/>
      <c r="C103" s="1022"/>
      <c r="D103" s="1022"/>
      <c r="E103" s="1022"/>
      <c r="F103" s="1022"/>
      <c r="G103" s="1022"/>
      <c r="V103" s="1022"/>
      <c r="W103" s="1022"/>
      <c r="X103" s="981"/>
      <c r="Y103" s="981"/>
      <c r="Z103" s="981"/>
    </row>
    <row r="104" spans="1:26">
      <c r="A104" s="981"/>
      <c r="B104" s="1022"/>
      <c r="C104" s="1022"/>
      <c r="D104" s="1022"/>
      <c r="E104" s="1022"/>
      <c r="F104" s="1022"/>
      <c r="G104" s="1022"/>
      <c r="V104" s="1022"/>
      <c r="W104" s="1022"/>
      <c r="X104" s="981"/>
      <c r="Y104" s="981"/>
      <c r="Z104" s="981"/>
    </row>
    <row r="105" spans="1:26">
      <c r="A105" s="981"/>
      <c r="B105" s="1022"/>
      <c r="C105" s="1022"/>
      <c r="D105" s="1022"/>
      <c r="E105" s="1022"/>
      <c r="F105" s="1022"/>
      <c r="G105" s="1022"/>
      <c r="V105" s="1022"/>
      <c r="W105" s="1022"/>
      <c r="X105" s="981"/>
      <c r="Y105" s="981"/>
      <c r="Z105" s="981"/>
    </row>
    <row r="106" spans="1:26">
      <c r="A106" s="981"/>
      <c r="B106" s="1022"/>
      <c r="C106" s="1022"/>
      <c r="D106" s="1022"/>
      <c r="E106" s="1022"/>
      <c r="F106" s="1022"/>
      <c r="G106" s="1022"/>
      <c r="V106" s="1022"/>
      <c r="W106" s="1022"/>
      <c r="X106" s="981"/>
      <c r="Y106" s="981"/>
      <c r="Z106" s="981"/>
    </row>
    <row r="107" spans="1:26">
      <c r="A107" s="981"/>
      <c r="B107" s="1022"/>
      <c r="C107" s="1022"/>
      <c r="D107" s="1022"/>
      <c r="E107" s="1022"/>
      <c r="F107" s="1022"/>
      <c r="G107" s="1022"/>
      <c r="V107" s="1022"/>
      <c r="W107" s="1022"/>
      <c r="X107" s="981"/>
      <c r="Y107" s="981"/>
      <c r="Z107" s="981"/>
    </row>
    <row r="108" spans="1:26">
      <c r="A108" s="981"/>
      <c r="B108" s="1022"/>
      <c r="C108" s="1022"/>
      <c r="D108" s="1022"/>
      <c r="E108" s="1022"/>
      <c r="F108" s="1022"/>
      <c r="G108" s="1022"/>
      <c r="V108" s="1022"/>
      <c r="W108" s="1022"/>
      <c r="X108" s="981"/>
      <c r="Y108" s="981"/>
      <c r="Z108" s="981"/>
    </row>
    <row r="109" spans="1:26">
      <c r="A109" s="981"/>
      <c r="B109" s="1022"/>
      <c r="C109" s="1022"/>
      <c r="D109" s="1022"/>
      <c r="E109" s="1022"/>
      <c r="F109" s="1022"/>
      <c r="G109" s="1022"/>
      <c r="V109" s="1022"/>
      <c r="W109" s="1022"/>
      <c r="X109" s="981"/>
      <c r="Y109" s="981"/>
      <c r="Z109" s="981"/>
    </row>
    <row r="110" spans="1:26">
      <c r="A110" s="981"/>
      <c r="B110" s="1022"/>
      <c r="C110" s="1022"/>
      <c r="D110" s="1022"/>
      <c r="E110" s="1022"/>
      <c r="F110" s="1022"/>
      <c r="G110" s="1022"/>
      <c r="V110" s="1022"/>
      <c r="W110" s="1022"/>
      <c r="X110" s="981"/>
      <c r="Y110" s="981"/>
      <c r="Z110" s="981"/>
    </row>
    <row r="111" spans="1:26">
      <c r="A111" s="981"/>
      <c r="B111" s="1022"/>
      <c r="C111" s="1022"/>
      <c r="D111" s="1022"/>
      <c r="E111" s="1022"/>
      <c r="F111" s="1022"/>
      <c r="G111" s="1022"/>
      <c r="V111" s="1022"/>
      <c r="W111" s="1022"/>
      <c r="X111" s="981"/>
      <c r="Y111" s="981"/>
      <c r="Z111" s="981"/>
    </row>
    <row r="112" spans="1:26">
      <c r="A112" s="981"/>
      <c r="B112" s="1022"/>
      <c r="C112" s="1022"/>
      <c r="D112" s="1022"/>
      <c r="E112" s="1022"/>
      <c r="F112" s="1022"/>
      <c r="G112" s="1022"/>
      <c r="V112" s="1022"/>
      <c r="W112" s="1022"/>
      <c r="X112" s="981"/>
      <c r="Y112" s="981"/>
      <c r="Z112" s="981"/>
    </row>
    <row r="113" spans="1:26">
      <c r="A113" s="981"/>
      <c r="B113" s="1022"/>
      <c r="C113" s="1022"/>
      <c r="D113" s="1022"/>
      <c r="E113" s="1022"/>
      <c r="F113" s="1022"/>
      <c r="G113" s="1022"/>
      <c r="V113" s="1022"/>
      <c r="W113" s="1022"/>
      <c r="X113" s="981"/>
      <c r="Y113" s="981"/>
      <c r="Z113" s="981"/>
    </row>
    <row r="114" spans="1:26">
      <c r="A114" s="981"/>
      <c r="B114" s="1022"/>
      <c r="C114" s="1022"/>
      <c r="D114" s="1022"/>
      <c r="E114" s="1022"/>
      <c r="F114" s="1022"/>
      <c r="G114" s="1022"/>
      <c r="V114" s="1022"/>
      <c r="W114" s="1022"/>
      <c r="X114" s="981"/>
      <c r="Y114" s="981"/>
      <c r="Z114" s="981"/>
    </row>
    <row r="115" spans="1:26">
      <c r="A115" s="981"/>
      <c r="B115" s="1022"/>
      <c r="C115" s="1022"/>
      <c r="D115" s="1022"/>
      <c r="E115" s="1022"/>
      <c r="F115" s="1022"/>
      <c r="G115" s="1022"/>
      <c r="V115" s="1022"/>
      <c r="W115" s="1022"/>
      <c r="X115" s="981"/>
      <c r="Y115" s="981"/>
      <c r="Z115" s="981"/>
    </row>
    <row r="116" spans="1:26">
      <c r="A116" s="981"/>
      <c r="B116" s="1022"/>
      <c r="C116" s="1022"/>
      <c r="D116" s="1022"/>
      <c r="E116" s="1022"/>
      <c r="F116" s="1022"/>
      <c r="G116" s="1022"/>
      <c r="V116" s="1022"/>
      <c r="W116" s="1022"/>
      <c r="X116" s="981"/>
      <c r="Y116" s="981"/>
      <c r="Z116" s="981"/>
    </row>
    <row r="117" spans="1:26">
      <c r="A117" s="981"/>
      <c r="B117" s="1022"/>
      <c r="C117" s="1022"/>
      <c r="D117" s="1022"/>
      <c r="E117" s="1022"/>
      <c r="F117" s="1022"/>
      <c r="G117" s="1022"/>
      <c r="V117" s="1022"/>
      <c r="W117" s="1022"/>
      <c r="X117" s="981"/>
      <c r="Y117" s="981"/>
      <c r="Z117" s="981"/>
    </row>
    <row r="118" spans="1:26">
      <c r="A118" s="981"/>
      <c r="B118" s="1022"/>
      <c r="C118" s="1022"/>
      <c r="D118" s="1022"/>
      <c r="E118" s="1022"/>
      <c r="F118" s="1022"/>
      <c r="G118" s="1022"/>
      <c r="V118" s="1022"/>
      <c r="W118" s="1022"/>
      <c r="X118" s="981"/>
      <c r="Y118" s="981"/>
      <c r="Z118" s="981"/>
    </row>
    <row r="119" spans="1:26">
      <c r="A119" s="981"/>
      <c r="B119" s="1022"/>
      <c r="C119" s="1022"/>
      <c r="D119" s="1022"/>
      <c r="E119" s="1022"/>
      <c r="F119" s="1022"/>
      <c r="G119" s="1022"/>
      <c r="V119" s="1022"/>
      <c r="W119" s="1022"/>
      <c r="X119" s="981"/>
      <c r="Y119" s="981"/>
      <c r="Z119" s="981"/>
    </row>
    <row r="120" spans="1:26">
      <c r="A120" s="981"/>
      <c r="B120" s="1022"/>
      <c r="C120" s="1022"/>
      <c r="D120" s="1022"/>
      <c r="E120" s="1022"/>
      <c r="F120" s="1022"/>
      <c r="G120" s="1022"/>
      <c r="V120" s="1022"/>
      <c r="W120" s="1022"/>
      <c r="X120" s="981"/>
      <c r="Y120" s="981"/>
      <c r="Z120" s="981"/>
    </row>
    <row r="121" spans="1:26">
      <c r="A121" s="981"/>
      <c r="B121" s="1022"/>
      <c r="C121" s="1022"/>
      <c r="D121" s="1022"/>
      <c r="E121" s="1022"/>
      <c r="F121" s="1022"/>
      <c r="G121" s="1022"/>
      <c r="V121" s="1022"/>
      <c r="W121" s="1022"/>
      <c r="X121" s="981"/>
      <c r="Y121" s="981"/>
      <c r="Z121" s="981"/>
    </row>
    <row r="122" spans="1:26">
      <c r="A122" s="981"/>
      <c r="B122" s="1022"/>
      <c r="C122" s="1022"/>
      <c r="D122" s="1022"/>
      <c r="E122" s="1022"/>
      <c r="F122" s="1022"/>
      <c r="G122" s="1022"/>
      <c r="V122" s="1022"/>
      <c r="W122" s="1022"/>
      <c r="X122" s="981"/>
      <c r="Y122" s="981"/>
      <c r="Z122" s="981"/>
    </row>
    <row r="123" spans="1:26">
      <c r="A123" s="981"/>
      <c r="B123" s="1022"/>
      <c r="C123" s="1022"/>
      <c r="D123" s="1022"/>
      <c r="E123" s="1022"/>
      <c r="F123" s="1022"/>
      <c r="G123" s="1022"/>
      <c r="V123" s="1022"/>
      <c r="W123" s="1022"/>
      <c r="X123" s="981"/>
      <c r="Y123" s="981"/>
      <c r="Z123" s="981"/>
    </row>
    <row r="124" spans="1:26">
      <c r="A124" s="981"/>
      <c r="B124" s="1022"/>
      <c r="C124" s="1022"/>
      <c r="D124" s="1022"/>
      <c r="E124" s="1022"/>
      <c r="F124" s="1022"/>
      <c r="G124" s="1022"/>
      <c r="V124" s="1022"/>
      <c r="W124" s="1022"/>
      <c r="X124" s="981"/>
      <c r="Y124" s="981"/>
      <c r="Z124" s="981"/>
    </row>
    <row r="125" spans="1:26">
      <c r="A125" s="981"/>
      <c r="B125" s="1022"/>
      <c r="C125" s="1022"/>
      <c r="D125" s="1022"/>
      <c r="E125" s="1022"/>
      <c r="F125" s="1022"/>
      <c r="G125" s="1022"/>
      <c r="V125" s="1022"/>
      <c r="W125" s="1022"/>
      <c r="X125" s="981"/>
      <c r="Y125" s="981"/>
      <c r="Z125" s="981"/>
    </row>
    <row r="126" spans="1:26">
      <c r="A126" s="981"/>
      <c r="B126" s="1022"/>
      <c r="C126" s="1022"/>
      <c r="D126" s="1022"/>
      <c r="E126" s="1022"/>
      <c r="F126" s="1022"/>
      <c r="G126" s="1022"/>
      <c r="V126" s="1022"/>
      <c r="W126" s="1022"/>
      <c r="X126" s="981"/>
      <c r="Y126" s="981"/>
      <c r="Z126" s="981"/>
    </row>
    <row r="127" spans="1:26">
      <c r="A127" s="981"/>
      <c r="B127" s="1022"/>
      <c r="C127" s="1022"/>
      <c r="D127" s="1022"/>
      <c r="E127" s="1022"/>
      <c r="F127" s="1022"/>
      <c r="G127" s="1022"/>
      <c r="V127" s="1022"/>
      <c r="W127" s="1022"/>
      <c r="X127" s="981"/>
      <c r="Y127" s="981"/>
      <c r="Z127" s="981"/>
    </row>
    <row r="128" spans="1:26">
      <c r="A128" s="981"/>
      <c r="B128" s="1022"/>
      <c r="C128" s="1022"/>
      <c r="D128" s="1022"/>
      <c r="E128" s="1022"/>
      <c r="F128" s="1022"/>
      <c r="G128" s="1022"/>
      <c r="V128" s="1022"/>
      <c r="W128" s="1022"/>
      <c r="X128" s="981"/>
      <c r="Y128" s="981"/>
      <c r="Z128" s="981"/>
    </row>
    <row r="129" spans="1:26">
      <c r="A129" s="981"/>
      <c r="B129" s="1022"/>
      <c r="C129" s="1022"/>
      <c r="D129" s="1022"/>
      <c r="E129" s="1022"/>
      <c r="F129" s="1022"/>
      <c r="G129" s="1022"/>
      <c r="V129" s="1022"/>
      <c r="W129" s="1022"/>
      <c r="X129" s="981"/>
      <c r="Y129" s="981"/>
      <c r="Z129" s="981"/>
    </row>
    <row r="130" spans="1:26">
      <c r="A130" s="981"/>
      <c r="B130" s="1022"/>
      <c r="C130" s="1022"/>
      <c r="D130" s="1022"/>
      <c r="E130" s="1022"/>
      <c r="F130" s="1022"/>
      <c r="G130" s="1022"/>
      <c r="V130" s="1022"/>
      <c r="W130" s="1022"/>
      <c r="X130" s="981"/>
      <c r="Y130" s="981"/>
      <c r="Z130" s="981"/>
    </row>
    <row r="131" spans="1:26">
      <c r="A131" s="981"/>
      <c r="B131" s="1022"/>
      <c r="C131" s="1022"/>
      <c r="D131" s="1022"/>
      <c r="E131" s="1022"/>
      <c r="F131" s="1022"/>
      <c r="G131" s="1022"/>
      <c r="V131" s="1022"/>
      <c r="W131" s="1022"/>
      <c r="X131" s="981"/>
      <c r="Y131" s="981"/>
      <c r="Z131" s="981"/>
    </row>
    <row r="132" spans="1:26">
      <c r="A132" s="981"/>
      <c r="B132" s="1022"/>
      <c r="C132" s="1022"/>
      <c r="D132" s="1022"/>
      <c r="E132" s="1022"/>
      <c r="F132" s="1022"/>
      <c r="G132" s="1022"/>
      <c r="V132" s="1022"/>
      <c r="W132" s="1022"/>
      <c r="X132" s="981"/>
      <c r="Y132" s="981"/>
      <c r="Z132" s="981"/>
    </row>
    <row r="133" spans="1:26">
      <c r="A133" s="981"/>
      <c r="B133" s="1022"/>
      <c r="C133" s="1022"/>
      <c r="D133" s="1022"/>
      <c r="E133" s="1022"/>
      <c r="F133" s="1022"/>
      <c r="G133" s="1022"/>
      <c r="V133" s="1022"/>
      <c r="W133" s="1022"/>
      <c r="X133" s="981"/>
      <c r="Y133" s="981"/>
      <c r="Z133" s="981"/>
    </row>
    <row r="134" spans="1:26">
      <c r="A134" s="981"/>
      <c r="B134" s="1022"/>
      <c r="C134" s="1022"/>
      <c r="D134" s="1022"/>
      <c r="E134" s="1022"/>
      <c r="F134" s="1022"/>
      <c r="G134" s="1022"/>
      <c r="V134" s="1022"/>
      <c r="W134" s="1022"/>
      <c r="X134" s="981"/>
      <c r="Y134" s="981"/>
      <c r="Z134" s="981"/>
    </row>
    <row r="135" spans="1:26">
      <c r="A135" s="981"/>
      <c r="B135" s="1022"/>
      <c r="C135" s="1022"/>
      <c r="D135" s="1022"/>
      <c r="E135" s="1022"/>
      <c r="F135" s="1022"/>
      <c r="G135" s="1022"/>
      <c r="V135" s="1022"/>
      <c r="W135" s="1022"/>
      <c r="X135" s="981"/>
      <c r="Y135" s="981"/>
      <c r="Z135" s="981"/>
    </row>
    <row r="136" spans="1:26">
      <c r="A136" s="981"/>
      <c r="B136" s="1022"/>
      <c r="C136" s="1022"/>
      <c r="D136" s="1022"/>
      <c r="E136" s="1022"/>
      <c r="F136" s="1022"/>
      <c r="G136" s="1022"/>
      <c r="V136" s="1022"/>
      <c r="W136" s="1022"/>
      <c r="X136" s="981"/>
      <c r="Y136" s="981"/>
      <c r="Z136" s="981"/>
    </row>
    <row r="137" spans="1:26">
      <c r="A137" s="981"/>
      <c r="B137" s="1022"/>
      <c r="C137" s="1022"/>
      <c r="D137" s="1022"/>
      <c r="E137" s="1022"/>
      <c r="F137" s="1022"/>
      <c r="G137" s="1022"/>
      <c r="V137" s="1022"/>
      <c r="W137" s="1022"/>
      <c r="X137" s="981"/>
      <c r="Y137" s="981"/>
      <c r="Z137" s="981"/>
    </row>
    <row r="138" spans="1:26">
      <c r="A138" s="981"/>
      <c r="B138" s="1022"/>
      <c r="C138" s="1022"/>
      <c r="D138" s="1022"/>
      <c r="E138" s="1022"/>
      <c r="F138" s="1022"/>
      <c r="G138" s="1022"/>
      <c r="V138" s="1022"/>
      <c r="W138" s="1022"/>
      <c r="X138" s="981"/>
      <c r="Y138" s="981"/>
      <c r="Z138" s="981"/>
    </row>
    <row r="139" spans="1:26">
      <c r="A139" s="981"/>
      <c r="B139" s="1022"/>
      <c r="C139" s="1022"/>
      <c r="D139" s="1022"/>
      <c r="E139" s="1022"/>
      <c r="F139" s="1022"/>
      <c r="G139" s="1022"/>
      <c r="V139" s="1022"/>
      <c r="W139" s="1022"/>
      <c r="X139" s="981"/>
      <c r="Y139" s="981"/>
      <c r="Z139" s="981"/>
    </row>
    <row r="140" spans="1:26">
      <c r="A140" s="981"/>
      <c r="B140" s="1022"/>
      <c r="C140" s="1022"/>
      <c r="D140" s="1022"/>
      <c r="E140" s="1022"/>
      <c r="F140" s="1022"/>
      <c r="G140" s="1022"/>
      <c r="V140" s="1022"/>
      <c r="W140" s="1022"/>
      <c r="X140" s="981"/>
      <c r="Y140" s="981"/>
      <c r="Z140" s="981"/>
    </row>
    <row r="141" spans="1:26">
      <c r="A141" s="981"/>
      <c r="B141" s="1022"/>
      <c r="C141" s="1022"/>
      <c r="D141" s="1022"/>
      <c r="E141" s="1022"/>
      <c r="F141" s="1022"/>
      <c r="G141" s="1022"/>
      <c r="V141" s="1022"/>
      <c r="W141" s="1022"/>
      <c r="X141" s="981"/>
      <c r="Y141" s="981"/>
      <c r="Z141" s="981"/>
    </row>
    <row r="142" spans="1:26">
      <c r="A142" s="981"/>
      <c r="B142" s="1022"/>
      <c r="C142" s="1022"/>
      <c r="D142" s="1022"/>
      <c r="E142" s="1022"/>
      <c r="F142" s="1022"/>
      <c r="G142" s="1022"/>
      <c r="V142" s="1022"/>
      <c r="W142" s="1022"/>
      <c r="X142" s="981"/>
      <c r="Y142" s="981"/>
      <c r="Z142" s="981"/>
    </row>
    <row r="143" spans="1:26">
      <c r="A143" s="981"/>
      <c r="B143" s="1022"/>
      <c r="C143" s="1022"/>
      <c r="D143" s="1022"/>
      <c r="E143" s="1022"/>
      <c r="F143" s="1022"/>
      <c r="G143" s="1022"/>
      <c r="V143" s="1022"/>
      <c r="W143" s="1022"/>
      <c r="X143" s="981"/>
      <c r="Y143" s="981"/>
      <c r="Z143" s="981"/>
    </row>
    <row r="144" spans="1:26">
      <c r="A144" s="981"/>
      <c r="B144" s="1022"/>
      <c r="C144" s="1022"/>
      <c r="D144" s="1022"/>
      <c r="E144" s="1022"/>
      <c r="F144" s="1022"/>
      <c r="G144" s="1022"/>
      <c r="V144" s="1022"/>
      <c r="W144" s="1022"/>
      <c r="X144" s="981"/>
      <c r="Y144" s="981"/>
      <c r="Z144" s="981"/>
    </row>
    <row r="145" spans="1:26">
      <c r="A145" s="981"/>
      <c r="B145" s="1022"/>
      <c r="C145" s="1022"/>
      <c r="D145" s="1022"/>
      <c r="E145" s="1022"/>
      <c r="F145" s="1022"/>
      <c r="G145" s="1022"/>
      <c r="V145" s="1022"/>
      <c r="W145" s="1022"/>
      <c r="X145" s="981"/>
      <c r="Y145" s="981"/>
      <c r="Z145" s="981"/>
    </row>
    <row r="146" spans="1:26">
      <c r="A146" s="981"/>
      <c r="B146" s="1022"/>
      <c r="C146" s="1022"/>
      <c r="D146" s="1022"/>
      <c r="E146" s="1022"/>
      <c r="F146" s="1022"/>
      <c r="G146" s="1022"/>
      <c r="V146" s="1022"/>
      <c r="W146" s="1022"/>
      <c r="X146" s="981"/>
      <c r="Y146" s="981"/>
      <c r="Z146" s="981"/>
    </row>
    <row r="147" spans="1:26">
      <c r="A147" s="981"/>
      <c r="B147" s="1022"/>
      <c r="C147" s="1022"/>
      <c r="D147" s="1022"/>
      <c r="E147" s="1022"/>
      <c r="F147" s="1022"/>
      <c r="G147" s="1022"/>
      <c r="V147" s="1022"/>
      <c r="W147" s="1022"/>
      <c r="X147" s="981"/>
      <c r="Y147" s="981"/>
      <c r="Z147" s="981"/>
    </row>
    <row r="148" spans="1:26">
      <c r="A148" s="981"/>
      <c r="B148" s="1022"/>
      <c r="C148" s="1022"/>
      <c r="D148" s="1022"/>
      <c r="E148" s="1022"/>
      <c r="F148" s="1022"/>
      <c r="G148" s="1022"/>
      <c r="V148" s="1022"/>
      <c r="W148" s="1022"/>
      <c r="X148" s="981"/>
      <c r="Y148" s="981"/>
      <c r="Z148" s="981"/>
    </row>
    <row r="149" spans="1:26">
      <c r="A149" s="981"/>
      <c r="B149" s="1022"/>
      <c r="C149" s="1022"/>
      <c r="D149" s="1022"/>
      <c r="E149" s="1022"/>
      <c r="F149" s="1022"/>
      <c r="G149" s="1022"/>
      <c r="V149" s="1022"/>
      <c r="W149" s="1022"/>
      <c r="X149" s="981"/>
      <c r="Y149" s="981"/>
      <c r="Z149" s="981"/>
    </row>
    <row r="150" spans="1:26">
      <c r="A150" s="981"/>
      <c r="B150" s="1022"/>
      <c r="C150" s="1022"/>
      <c r="D150" s="1022"/>
      <c r="E150" s="1022"/>
      <c r="F150" s="1022"/>
      <c r="G150" s="1022"/>
      <c r="V150" s="1022"/>
      <c r="W150" s="1022"/>
      <c r="X150" s="981"/>
      <c r="Y150" s="981"/>
      <c r="Z150" s="981"/>
    </row>
    <row r="151" spans="1:26">
      <c r="A151" s="981"/>
      <c r="B151" s="1022"/>
      <c r="C151" s="1022"/>
      <c r="D151" s="1022"/>
      <c r="E151" s="1022"/>
      <c r="F151" s="1022"/>
      <c r="G151" s="1022"/>
      <c r="V151" s="1022"/>
      <c r="W151" s="1022"/>
      <c r="X151" s="981"/>
      <c r="Y151" s="981"/>
      <c r="Z151" s="981"/>
    </row>
    <row r="152" spans="1:26">
      <c r="A152" s="981"/>
      <c r="B152" s="1022"/>
      <c r="C152" s="1022"/>
      <c r="D152" s="1022"/>
      <c r="E152" s="1022"/>
      <c r="F152" s="1022"/>
      <c r="G152" s="1022"/>
      <c r="V152" s="1022"/>
      <c r="W152" s="1022"/>
      <c r="X152" s="981"/>
      <c r="Y152" s="981"/>
      <c r="Z152" s="981"/>
    </row>
    <row r="153" spans="1:26">
      <c r="A153" s="981"/>
      <c r="B153" s="1022"/>
      <c r="C153" s="1022"/>
      <c r="D153" s="1022"/>
      <c r="E153" s="1022"/>
      <c r="F153" s="1022"/>
      <c r="G153" s="1022"/>
      <c r="V153" s="1022"/>
      <c r="W153" s="1022"/>
      <c r="X153" s="981"/>
      <c r="Y153" s="981"/>
      <c r="Z153" s="981"/>
    </row>
    <row r="154" spans="1:26">
      <c r="A154" s="981"/>
      <c r="B154" s="1022"/>
      <c r="C154" s="1022"/>
      <c r="D154" s="1022"/>
      <c r="E154" s="1022"/>
      <c r="F154" s="1022"/>
      <c r="G154" s="1022"/>
      <c r="V154" s="1022"/>
      <c r="W154" s="1022"/>
      <c r="X154" s="981"/>
      <c r="Y154" s="981"/>
      <c r="Z154" s="981"/>
    </row>
    <row r="155" spans="1:26">
      <c r="A155" s="981"/>
      <c r="B155" s="1022"/>
      <c r="C155" s="1022"/>
      <c r="D155" s="1022"/>
      <c r="E155" s="1022"/>
      <c r="F155" s="1022"/>
      <c r="G155" s="1022"/>
      <c r="V155" s="1022"/>
      <c r="W155" s="1022"/>
      <c r="X155" s="981"/>
      <c r="Y155" s="981"/>
      <c r="Z155" s="981"/>
    </row>
    <row r="156" spans="1:26">
      <c r="A156" s="981"/>
      <c r="B156" s="1022"/>
      <c r="C156" s="1022"/>
      <c r="D156" s="1022"/>
      <c r="E156" s="1022"/>
      <c r="F156" s="1022"/>
      <c r="G156" s="1022"/>
      <c r="V156" s="1022"/>
      <c r="W156" s="1022"/>
      <c r="X156" s="981"/>
      <c r="Y156" s="981"/>
      <c r="Z156" s="981"/>
    </row>
    <row r="157" spans="1:26">
      <c r="A157" s="981"/>
      <c r="B157" s="1022"/>
      <c r="C157" s="1022"/>
      <c r="D157" s="1022"/>
      <c r="E157" s="1022"/>
      <c r="F157" s="1022"/>
      <c r="G157" s="1022"/>
      <c r="V157" s="1022"/>
      <c r="W157" s="1022"/>
      <c r="X157" s="981"/>
      <c r="Y157" s="981"/>
      <c r="Z157" s="981"/>
    </row>
    <row r="158" spans="1:26">
      <c r="A158" s="981"/>
      <c r="B158" s="1022"/>
      <c r="C158" s="1022"/>
      <c r="D158" s="1022"/>
      <c r="E158" s="1022"/>
      <c r="F158" s="1022"/>
      <c r="G158" s="1022"/>
      <c r="V158" s="1022"/>
      <c r="W158" s="1022"/>
      <c r="X158" s="981"/>
      <c r="Y158" s="981"/>
      <c r="Z158" s="981"/>
    </row>
    <row r="159" spans="1:26">
      <c r="A159" s="981"/>
      <c r="B159" s="1022"/>
      <c r="C159" s="1022"/>
      <c r="D159" s="1022"/>
      <c r="E159" s="1022"/>
      <c r="F159" s="1022"/>
      <c r="G159" s="1022"/>
      <c r="V159" s="1022"/>
      <c r="W159" s="1022"/>
      <c r="X159" s="981"/>
      <c r="Y159" s="981"/>
      <c r="Z159" s="981"/>
    </row>
    <row r="160" spans="1:26">
      <c r="A160" s="981"/>
      <c r="B160" s="1022"/>
      <c r="C160" s="1022"/>
      <c r="D160" s="1022"/>
      <c r="E160" s="1022"/>
      <c r="F160" s="1022"/>
      <c r="G160" s="1022"/>
      <c r="V160" s="1022"/>
      <c r="W160" s="1022"/>
      <c r="X160" s="981"/>
      <c r="Y160" s="981"/>
      <c r="Z160" s="981"/>
    </row>
    <row r="161" spans="1:26">
      <c r="A161" s="981"/>
      <c r="B161" s="1022"/>
      <c r="C161" s="1022"/>
      <c r="D161" s="1022"/>
      <c r="E161" s="1022"/>
      <c r="F161" s="1022"/>
      <c r="G161" s="1022"/>
      <c r="V161" s="1022"/>
      <c r="W161" s="1022"/>
      <c r="X161" s="981"/>
      <c r="Y161" s="981"/>
      <c r="Z161" s="981"/>
    </row>
    <row r="162" spans="1:26">
      <c r="A162" s="981"/>
      <c r="B162" s="1022"/>
      <c r="C162" s="1022"/>
      <c r="D162" s="1022"/>
      <c r="E162" s="1022"/>
      <c r="F162" s="1022"/>
      <c r="G162" s="1022"/>
      <c r="V162" s="1022"/>
      <c r="W162" s="1022"/>
      <c r="X162" s="981"/>
      <c r="Y162" s="981"/>
      <c r="Z162" s="981"/>
    </row>
    <row r="163" spans="1:26">
      <c r="A163" s="981"/>
      <c r="B163" s="1022"/>
      <c r="C163" s="1022"/>
      <c r="D163" s="1022"/>
      <c r="E163" s="1022"/>
      <c r="F163" s="1022"/>
      <c r="G163" s="1022"/>
      <c r="V163" s="1022"/>
      <c r="W163" s="1022"/>
      <c r="X163" s="981"/>
      <c r="Y163" s="981"/>
      <c r="Z163" s="981"/>
    </row>
    <row r="164" spans="1:26">
      <c r="A164" s="981"/>
      <c r="B164" s="1022"/>
      <c r="C164" s="1022"/>
      <c r="D164" s="1022"/>
      <c r="E164" s="1022"/>
      <c r="F164" s="1022"/>
      <c r="G164" s="1022"/>
      <c r="V164" s="1022"/>
      <c r="W164" s="1022"/>
      <c r="X164" s="981"/>
      <c r="Y164" s="981"/>
      <c r="Z164" s="981"/>
    </row>
    <row r="165" spans="1:26">
      <c r="A165" s="981"/>
      <c r="B165" s="1022"/>
      <c r="C165" s="1022"/>
      <c r="D165" s="1022"/>
      <c r="E165" s="1022"/>
      <c r="F165" s="1022"/>
      <c r="G165" s="1022"/>
      <c r="V165" s="1022"/>
      <c r="W165" s="1022"/>
      <c r="X165" s="981"/>
      <c r="Y165" s="981"/>
      <c r="Z165" s="981"/>
    </row>
    <row r="166" spans="1:26">
      <c r="A166" s="981"/>
      <c r="B166" s="1022"/>
      <c r="C166" s="1022"/>
      <c r="D166" s="1022"/>
      <c r="E166" s="1022"/>
      <c r="F166" s="1022"/>
      <c r="G166" s="1022"/>
      <c r="V166" s="1022"/>
      <c r="W166" s="1022"/>
      <c r="X166" s="981"/>
      <c r="Y166" s="981"/>
      <c r="Z166" s="981"/>
    </row>
    <row r="167" spans="1:26">
      <c r="A167" s="981"/>
      <c r="B167" s="1022"/>
      <c r="C167" s="1022"/>
      <c r="D167" s="1022"/>
      <c r="E167" s="1022"/>
      <c r="F167" s="1022"/>
      <c r="G167" s="1022"/>
      <c r="V167" s="1022"/>
      <c r="W167" s="1022"/>
      <c r="X167" s="981"/>
      <c r="Y167" s="981"/>
      <c r="Z167" s="981"/>
    </row>
    <row r="168" spans="1:26">
      <c r="A168" s="981"/>
      <c r="B168" s="1022"/>
      <c r="C168" s="1022"/>
      <c r="D168" s="1022"/>
      <c r="E168" s="1022"/>
      <c r="F168" s="1022"/>
      <c r="G168" s="1022"/>
      <c r="V168" s="1022"/>
      <c r="W168" s="1022"/>
      <c r="X168" s="981"/>
      <c r="Y168" s="981"/>
      <c r="Z168" s="981"/>
    </row>
    <row r="169" spans="1:26">
      <c r="A169" s="981"/>
      <c r="B169" s="1022"/>
      <c r="C169" s="1022"/>
      <c r="D169" s="1022"/>
      <c r="E169" s="1022"/>
      <c r="F169" s="1022"/>
      <c r="G169" s="1022"/>
      <c r="V169" s="1022"/>
      <c r="W169" s="1022"/>
      <c r="X169" s="981"/>
      <c r="Y169" s="981"/>
      <c r="Z169" s="981"/>
    </row>
    <row r="170" spans="1:26">
      <c r="A170" s="981"/>
      <c r="B170" s="1022"/>
      <c r="C170" s="1022"/>
      <c r="D170" s="1022"/>
      <c r="E170" s="1022"/>
      <c r="F170" s="1022"/>
      <c r="G170" s="1022"/>
      <c r="V170" s="1022"/>
      <c r="W170" s="1022"/>
      <c r="X170" s="981"/>
      <c r="Y170" s="981"/>
      <c r="Z170" s="981"/>
    </row>
    <row r="171" spans="1:26">
      <c r="A171" s="981"/>
      <c r="B171" s="1022"/>
      <c r="C171" s="1022"/>
      <c r="D171" s="1022"/>
      <c r="E171" s="1022"/>
      <c r="F171" s="1022"/>
      <c r="G171" s="1022"/>
      <c r="V171" s="1022"/>
      <c r="W171" s="1022"/>
      <c r="X171" s="981"/>
      <c r="Y171" s="981"/>
      <c r="Z171" s="981"/>
    </row>
    <row r="172" spans="1:26">
      <c r="A172" s="981"/>
      <c r="B172" s="1022"/>
      <c r="C172" s="1022"/>
      <c r="D172" s="1022"/>
      <c r="E172" s="1022"/>
      <c r="F172" s="1022"/>
      <c r="G172" s="1022"/>
      <c r="V172" s="1022"/>
      <c r="W172" s="1022"/>
      <c r="X172" s="981"/>
      <c r="Y172" s="981"/>
      <c r="Z172" s="981"/>
    </row>
    <row r="173" spans="1:26">
      <c r="A173" s="981"/>
      <c r="B173" s="1022"/>
      <c r="C173" s="1022"/>
      <c r="D173" s="1022"/>
      <c r="E173" s="1022"/>
      <c r="F173" s="1022"/>
      <c r="G173" s="1022"/>
      <c r="V173" s="1022"/>
      <c r="W173" s="1022"/>
      <c r="X173" s="981"/>
      <c r="Y173" s="981"/>
      <c r="Z173" s="981"/>
    </row>
    <row r="174" spans="1:26">
      <c r="A174" s="981"/>
      <c r="B174" s="1022"/>
      <c r="C174" s="1022"/>
      <c r="D174" s="1022"/>
      <c r="E174" s="1022"/>
      <c r="F174" s="1022"/>
      <c r="G174" s="1022"/>
      <c r="V174" s="1022"/>
      <c r="W174" s="1022"/>
      <c r="X174" s="981"/>
      <c r="Y174" s="981"/>
      <c r="Z174" s="981"/>
    </row>
    <row r="175" spans="1:26">
      <c r="A175" s="981"/>
      <c r="B175" s="1022"/>
      <c r="C175" s="1022"/>
      <c r="D175" s="1022"/>
      <c r="E175" s="1022"/>
      <c r="F175" s="1022"/>
      <c r="G175" s="1022"/>
      <c r="V175" s="1022"/>
      <c r="W175" s="1022"/>
      <c r="X175" s="981"/>
      <c r="Y175" s="981"/>
      <c r="Z175" s="981"/>
    </row>
    <row r="176" spans="1:26">
      <c r="A176" s="981"/>
      <c r="B176" s="1022"/>
      <c r="C176" s="1022"/>
      <c r="D176" s="1022"/>
      <c r="E176" s="1022"/>
      <c r="F176" s="1022"/>
      <c r="G176" s="1022"/>
      <c r="V176" s="1022"/>
      <c r="W176" s="1022"/>
      <c r="X176" s="981"/>
      <c r="Y176" s="981"/>
      <c r="Z176" s="981"/>
    </row>
    <row r="177" spans="1:26">
      <c r="A177" s="981"/>
      <c r="B177" s="1022"/>
      <c r="C177" s="1022"/>
      <c r="D177" s="1022"/>
      <c r="E177" s="1022"/>
      <c r="F177" s="1022"/>
      <c r="G177" s="1022"/>
      <c r="V177" s="1022"/>
      <c r="W177" s="1022"/>
      <c r="X177" s="981"/>
      <c r="Y177" s="981"/>
      <c r="Z177" s="981"/>
    </row>
    <row r="178" spans="1:26">
      <c r="A178" s="981"/>
      <c r="B178" s="1022"/>
      <c r="C178" s="1022"/>
      <c r="D178" s="1022"/>
      <c r="E178" s="1022"/>
      <c r="F178" s="1022"/>
      <c r="G178" s="1022"/>
      <c r="V178" s="1022"/>
      <c r="W178" s="1022"/>
      <c r="X178" s="981"/>
      <c r="Y178" s="981"/>
      <c r="Z178" s="981"/>
    </row>
    <row r="179" spans="1:26">
      <c r="A179" s="981"/>
      <c r="B179" s="1022"/>
      <c r="C179" s="1022"/>
      <c r="D179" s="1022"/>
      <c r="E179" s="1022"/>
      <c r="F179" s="1022"/>
      <c r="G179" s="1022"/>
      <c r="V179" s="1022"/>
      <c r="W179" s="1022"/>
      <c r="X179" s="981"/>
      <c r="Y179" s="981"/>
      <c r="Z179" s="981"/>
    </row>
    <row r="180" spans="1:26">
      <c r="A180" s="981"/>
      <c r="B180" s="1022"/>
      <c r="C180" s="1022"/>
      <c r="D180" s="1022"/>
      <c r="E180" s="1022"/>
      <c r="F180" s="1022"/>
      <c r="G180" s="1022"/>
      <c r="V180" s="1022"/>
      <c r="W180" s="1022"/>
      <c r="X180" s="981"/>
      <c r="Y180" s="981"/>
      <c r="Z180" s="981"/>
    </row>
    <row r="181" spans="1:26">
      <c r="A181" s="981"/>
      <c r="B181" s="1022"/>
      <c r="C181" s="1022"/>
      <c r="D181" s="1022"/>
      <c r="E181" s="1022"/>
      <c r="F181" s="1022"/>
      <c r="G181" s="1022"/>
      <c r="V181" s="1022"/>
      <c r="W181" s="1022"/>
      <c r="X181" s="981"/>
      <c r="Y181" s="981"/>
      <c r="Z181" s="981"/>
    </row>
    <row r="182" spans="1:26">
      <c r="A182" s="981"/>
      <c r="B182" s="1022"/>
      <c r="C182" s="1022"/>
      <c r="D182" s="1022"/>
      <c r="E182" s="1022"/>
      <c r="F182" s="1022"/>
      <c r="G182" s="1022"/>
      <c r="V182" s="1022"/>
      <c r="W182" s="1022"/>
      <c r="X182" s="981"/>
      <c r="Y182" s="981"/>
      <c r="Z182" s="981"/>
    </row>
    <row r="183" spans="1:26">
      <c r="A183" s="981"/>
      <c r="B183" s="1022"/>
      <c r="C183" s="1022"/>
      <c r="D183" s="1022"/>
      <c r="E183" s="1022"/>
      <c r="F183" s="1022"/>
      <c r="G183" s="1022"/>
      <c r="V183" s="1022"/>
      <c r="W183" s="1022"/>
      <c r="X183" s="981"/>
      <c r="Y183" s="981"/>
      <c r="Z183" s="981"/>
    </row>
    <row r="184" spans="1:26">
      <c r="A184" s="981"/>
      <c r="B184" s="1022"/>
      <c r="C184" s="1022"/>
      <c r="D184" s="1022"/>
      <c r="E184" s="1022"/>
      <c r="F184" s="1022"/>
      <c r="G184" s="1022"/>
      <c r="V184" s="1022"/>
      <c r="W184" s="1022"/>
      <c r="X184" s="981"/>
      <c r="Y184" s="981"/>
      <c r="Z184" s="981"/>
    </row>
    <row r="185" spans="1:26">
      <c r="A185" s="981"/>
      <c r="B185" s="1022"/>
      <c r="C185" s="1022"/>
      <c r="D185" s="1022"/>
      <c r="E185" s="1022"/>
      <c r="F185" s="1022"/>
      <c r="G185" s="1022"/>
      <c r="V185" s="1022"/>
      <c r="W185" s="1022"/>
      <c r="X185" s="981"/>
      <c r="Y185" s="981"/>
      <c r="Z185" s="981"/>
    </row>
    <row r="186" spans="1:26">
      <c r="A186" s="981"/>
      <c r="B186" s="1022"/>
      <c r="C186" s="1022"/>
      <c r="D186" s="1022"/>
      <c r="E186" s="1022"/>
      <c r="F186" s="1022"/>
      <c r="G186" s="1022"/>
      <c r="V186" s="1022"/>
      <c r="W186" s="1022"/>
      <c r="X186" s="981"/>
      <c r="Y186" s="981"/>
      <c r="Z186" s="981"/>
    </row>
    <row r="187" spans="1:26">
      <c r="A187" s="981"/>
      <c r="B187" s="1022"/>
      <c r="C187" s="1022"/>
      <c r="D187" s="1022"/>
      <c r="E187" s="1022"/>
      <c r="F187" s="1022"/>
      <c r="G187" s="1022"/>
      <c r="V187" s="1022"/>
      <c r="W187" s="1022"/>
      <c r="X187" s="981"/>
      <c r="Y187" s="981"/>
      <c r="Z187" s="981"/>
    </row>
    <row r="188" spans="1:26">
      <c r="A188" s="981"/>
      <c r="B188" s="1022"/>
      <c r="C188" s="1022"/>
      <c r="D188" s="1022"/>
      <c r="E188" s="1022"/>
      <c r="F188" s="1022"/>
      <c r="G188" s="1022"/>
      <c r="V188" s="1022"/>
      <c r="W188" s="1022"/>
      <c r="X188" s="981"/>
      <c r="Y188" s="981"/>
      <c r="Z188" s="981"/>
    </row>
    <row r="189" spans="1:26">
      <c r="A189" s="981"/>
      <c r="B189" s="1022"/>
      <c r="C189" s="1022"/>
      <c r="D189" s="1022"/>
      <c r="E189" s="1022"/>
      <c r="F189" s="1022"/>
      <c r="G189" s="1022"/>
      <c r="V189" s="1022"/>
      <c r="W189" s="1022"/>
      <c r="X189" s="981"/>
      <c r="Y189" s="981"/>
      <c r="Z189" s="981"/>
    </row>
    <row r="190" spans="1:26">
      <c r="A190" s="981"/>
      <c r="B190" s="1022"/>
      <c r="C190" s="1022"/>
      <c r="D190" s="1022"/>
      <c r="E190" s="1022"/>
      <c r="F190" s="1022"/>
      <c r="G190" s="1022"/>
      <c r="V190" s="1022"/>
      <c r="W190" s="1022"/>
      <c r="X190" s="981"/>
      <c r="Y190" s="981"/>
      <c r="Z190" s="981"/>
    </row>
    <row r="191" spans="1:26">
      <c r="A191" s="981"/>
      <c r="B191" s="1022"/>
      <c r="C191" s="1022"/>
      <c r="D191" s="1022"/>
      <c r="E191" s="1022"/>
      <c r="F191" s="1022"/>
      <c r="G191" s="1022"/>
      <c r="V191" s="1022"/>
      <c r="W191" s="1022"/>
      <c r="X191" s="981"/>
      <c r="Y191" s="981"/>
      <c r="Z191" s="981"/>
    </row>
    <row r="192" spans="1:26">
      <c r="A192" s="981"/>
      <c r="B192" s="1022"/>
      <c r="C192" s="1022"/>
      <c r="D192" s="1022"/>
      <c r="E192" s="1022"/>
      <c r="F192" s="1022"/>
      <c r="G192" s="1022"/>
      <c r="V192" s="1022"/>
      <c r="W192" s="1022"/>
      <c r="X192" s="981"/>
      <c r="Y192" s="981"/>
      <c r="Z192" s="981"/>
    </row>
    <row r="193" spans="1:26">
      <c r="A193" s="981"/>
      <c r="B193" s="1022"/>
      <c r="C193" s="1022"/>
      <c r="D193" s="1022"/>
      <c r="E193" s="1022"/>
      <c r="F193" s="1022"/>
      <c r="G193" s="1022"/>
      <c r="V193" s="1022"/>
      <c r="W193" s="1022"/>
      <c r="X193" s="981"/>
      <c r="Y193" s="981"/>
      <c r="Z193" s="981"/>
    </row>
    <row r="194" spans="1:26">
      <c r="A194" s="981"/>
      <c r="B194" s="1022"/>
      <c r="C194" s="1022"/>
      <c r="D194" s="1022"/>
      <c r="E194" s="1022"/>
      <c r="F194" s="1022"/>
      <c r="G194" s="1022"/>
      <c r="V194" s="1022"/>
      <c r="W194" s="1022"/>
      <c r="X194" s="981"/>
      <c r="Y194" s="981"/>
      <c r="Z194" s="981"/>
    </row>
    <row r="195" spans="1:26">
      <c r="A195" s="981"/>
      <c r="B195" s="1022"/>
      <c r="C195" s="1022"/>
      <c r="D195" s="1022"/>
      <c r="E195" s="1022"/>
      <c r="F195" s="1022"/>
      <c r="G195" s="1022"/>
      <c r="V195" s="1022"/>
      <c r="W195" s="1022"/>
      <c r="X195" s="981"/>
      <c r="Y195" s="981"/>
      <c r="Z195" s="981"/>
    </row>
    <row r="196" spans="1:26">
      <c r="A196" s="981"/>
      <c r="B196" s="1022"/>
      <c r="C196" s="1022"/>
      <c r="D196" s="1022"/>
      <c r="E196" s="1022"/>
      <c r="F196" s="1022"/>
      <c r="G196" s="1022"/>
      <c r="V196" s="1022"/>
      <c r="W196" s="1022"/>
      <c r="X196" s="981"/>
      <c r="Y196" s="981"/>
      <c r="Z196" s="981"/>
    </row>
    <row r="197" spans="1:26">
      <c r="A197" s="981"/>
      <c r="B197" s="1022"/>
      <c r="C197" s="1022"/>
      <c r="D197" s="1022"/>
      <c r="E197" s="1022"/>
      <c r="F197" s="1022"/>
      <c r="G197" s="1022"/>
      <c r="V197" s="1022"/>
      <c r="W197" s="1022"/>
      <c r="X197" s="981"/>
      <c r="Y197" s="981"/>
      <c r="Z197" s="981"/>
    </row>
    <row r="198" spans="1:26">
      <c r="A198" s="981"/>
      <c r="B198" s="1022"/>
      <c r="C198" s="1022"/>
      <c r="D198" s="1022"/>
      <c r="E198" s="1022"/>
      <c r="F198" s="1022"/>
      <c r="G198" s="1022"/>
      <c r="V198" s="1022"/>
      <c r="W198" s="1022"/>
      <c r="X198" s="981"/>
      <c r="Y198" s="981"/>
      <c r="Z198" s="981"/>
    </row>
    <row r="199" spans="1:26">
      <c r="A199" s="981"/>
      <c r="B199" s="1022"/>
      <c r="C199" s="1022"/>
      <c r="D199" s="1022"/>
      <c r="E199" s="1022"/>
      <c r="F199" s="1022"/>
      <c r="G199" s="1022"/>
      <c r="V199" s="1022"/>
      <c r="W199" s="1022"/>
      <c r="X199" s="981"/>
      <c r="Y199" s="981"/>
      <c r="Z199" s="981"/>
    </row>
    <row r="200" spans="1:26">
      <c r="A200" s="981"/>
      <c r="B200" s="1022"/>
      <c r="C200" s="1022"/>
      <c r="D200" s="1022"/>
      <c r="E200" s="1022"/>
      <c r="F200" s="1022"/>
      <c r="G200" s="1022"/>
      <c r="V200" s="1022"/>
      <c r="W200" s="1022"/>
      <c r="X200" s="981"/>
      <c r="Y200" s="981"/>
      <c r="Z200" s="981"/>
    </row>
    <row r="201" spans="1:26">
      <c r="A201" s="981"/>
      <c r="B201" s="1022"/>
      <c r="C201" s="1022"/>
      <c r="D201" s="1022"/>
      <c r="E201" s="1022"/>
      <c r="F201" s="1022"/>
      <c r="G201" s="1022"/>
      <c r="V201" s="1022"/>
      <c r="W201" s="1022"/>
      <c r="X201" s="981"/>
      <c r="Y201" s="981"/>
      <c r="Z201" s="981"/>
    </row>
    <row r="202" spans="1:26">
      <c r="A202" s="981"/>
      <c r="B202" s="1022"/>
      <c r="C202" s="1022"/>
      <c r="D202" s="1022"/>
      <c r="E202" s="1022"/>
      <c r="F202" s="1022"/>
      <c r="G202" s="1022"/>
      <c r="V202" s="1022"/>
      <c r="W202" s="1022"/>
      <c r="X202" s="981"/>
      <c r="Y202" s="981"/>
      <c r="Z202" s="981"/>
    </row>
    <row r="203" spans="1:26">
      <c r="A203" s="981"/>
      <c r="B203" s="1022"/>
      <c r="C203" s="1022"/>
      <c r="D203" s="1022"/>
      <c r="E203" s="1022"/>
      <c r="F203" s="1022"/>
      <c r="G203" s="1022"/>
      <c r="V203" s="1022"/>
      <c r="W203" s="1022"/>
      <c r="X203" s="981"/>
      <c r="Y203" s="981"/>
      <c r="Z203" s="981"/>
    </row>
    <row r="204" spans="1:26">
      <c r="A204" s="981"/>
      <c r="B204" s="1022"/>
      <c r="C204" s="1022"/>
      <c r="D204" s="1022"/>
      <c r="E204" s="1022"/>
      <c r="F204" s="1022"/>
      <c r="G204" s="1022"/>
      <c r="V204" s="1022"/>
      <c r="W204" s="1022"/>
      <c r="X204" s="981"/>
      <c r="Y204" s="981"/>
      <c r="Z204" s="981"/>
    </row>
    <row r="205" spans="1:26">
      <c r="A205" s="981"/>
      <c r="B205" s="1022"/>
      <c r="C205" s="1022"/>
      <c r="D205" s="1022"/>
      <c r="E205" s="1022"/>
      <c r="F205" s="1022"/>
      <c r="G205" s="1022"/>
      <c r="V205" s="1022"/>
      <c r="W205" s="1022"/>
      <c r="X205" s="981"/>
      <c r="Y205" s="981"/>
      <c r="Z205" s="981"/>
    </row>
    <row r="206" spans="1:26">
      <c r="A206" s="981"/>
      <c r="B206" s="1022"/>
      <c r="C206" s="1022"/>
      <c r="D206" s="1022"/>
      <c r="E206" s="1022"/>
      <c r="F206" s="1022"/>
      <c r="G206" s="1022"/>
      <c r="V206" s="1022"/>
      <c r="W206" s="1022"/>
      <c r="X206" s="981"/>
      <c r="Y206" s="981"/>
      <c r="Z206" s="981"/>
    </row>
    <row r="207" spans="1:26">
      <c r="A207" s="981"/>
      <c r="B207" s="1022"/>
      <c r="C207" s="1022"/>
      <c r="D207" s="1022"/>
      <c r="E207" s="1022"/>
      <c r="F207" s="1022"/>
      <c r="G207" s="1022"/>
      <c r="V207" s="1022"/>
      <c r="W207" s="1022"/>
      <c r="X207" s="981"/>
      <c r="Y207" s="981"/>
      <c r="Z207" s="981"/>
    </row>
    <row r="208" spans="1:26">
      <c r="A208" s="981"/>
      <c r="B208" s="1022"/>
      <c r="C208" s="1022"/>
      <c r="D208" s="1022"/>
      <c r="E208" s="1022"/>
      <c r="F208" s="1022"/>
      <c r="G208" s="1022"/>
      <c r="V208" s="1022"/>
      <c r="W208" s="1022"/>
      <c r="X208" s="981"/>
      <c r="Y208" s="981"/>
      <c r="Z208" s="981"/>
    </row>
    <row r="209" spans="1:26">
      <c r="A209" s="981"/>
      <c r="B209" s="1022"/>
      <c r="C209" s="1022"/>
      <c r="D209" s="1022"/>
      <c r="E209" s="1022"/>
      <c r="F209" s="1022"/>
      <c r="G209" s="1022"/>
      <c r="V209" s="1022"/>
      <c r="W209" s="1022"/>
      <c r="X209" s="981"/>
      <c r="Y209" s="981"/>
      <c r="Z209" s="981"/>
    </row>
    <row r="210" spans="1:26">
      <c r="A210" s="981"/>
      <c r="B210" s="1022"/>
      <c r="C210" s="1022"/>
      <c r="D210" s="1022"/>
      <c r="E210" s="1022"/>
      <c r="F210" s="1022"/>
      <c r="G210" s="1022"/>
      <c r="V210" s="1022"/>
      <c r="W210" s="1022"/>
      <c r="X210" s="981"/>
      <c r="Y210" s="981"/>
      <c r="Z210" s="981"/>
    </row>
    <row r="211" spans="1:26">
      <c r="A211" s="981"/>
      <c r="B211" s="1022"/>
      <c r="C211" s="1022"/>
      <c r="D211" s="1022"/>
      <c r="E211" s="1022"/>
      <c r="F211" s="1022"/>
      <c r="G211" s="1022"/>
      <c r="V211" s="1022"/>
      <c r="W211" s="1022"/>
      <c r="X211" s="981"/>
      <c r="Y211" s="981"/>
      <c r="Z211" s="981"/>
    </row>
    <row r="212" spans="1:26">
      <c r="A212" s="981"/>
      <c r="B212" s="1022"/>
      <c r="C212" s="1022"/>
      <c r="D212" s="1022"/>
      <c r="E212" s="1022"/>
      <c r="F212" s="1022"/>
      <c r="G212" s="1022"/>
      <c r="V212" s="1022"/>
      <c r="W212" s="1022"/>
      <c r="X212" s="981"/>
      <c r="Y212" s="981"/>
      <c r="Z212" s="981"/>
    </row>
    <row r="213" spans="1:26">
      <c r="A213" s="981"/>
      <c r="B213" s="1022"/>
      <c r="C213" s="1022"/>
      <c r="D213" s="1022"/>
      <c r="E213" s="1022"/>
      <c r="F213" s="1022"/>
      <c r="G213" s="1022"/>
      <c r="V213" s="1022"/>
      <c r="W213" s="1022"/>
      <c r="X213" s="981"/>
      <c r="Y213" s="981"/>
      <c r="Z213" s="981"/>
    </row>
    <row r="214" spans="1:26">
      <c r="A214" s="981"/>
      <c r="B214" s="1022"/>
      <c r="C214" s="1022"/>
      <c r="D214" s="1022"/>
      <c r="E214" s="1022"/>
      <c r="F214" s="1022"/>
      <c r="G214" s="1022"/>
      <c r="V214" s="1022"/>
      <c r="W214" s="1022"/>
      <c r="X214" s="981"/>
      <c r="Y214" s="981"/>
      <c r="Z214" s="981"/>
    </row>
    <row r="215" spans="1:26">
      <c r="A215" s="981"/>
      <c r="B215" s="1022"/>
      <c r="C215" s="1022"/>
      <c r="D215" s="1022"/>
      <c r="E215" s="1022"/>
      <c r="F215" s="1022"/>
      <c r="G215" s="1022"/>
      <c r="V215" s="1022"/>
      <c r="W215" s="1022"/>
      <c r="X215" s="981"/>
      <c r="Y215" s="981"/>
      <c r="Z215" s="981"/>
    </row>
    <row r="216" spans="1:26">
      <c r="A216" s="981"/>
      <c r="B216" s="1022"/>
      <c r="C216" s="1022"/>
      <c r="D216" s="1022"/>
      <c r="E216" s="1022"/>
      <c r="F216" s="1022"/>
      <c r="G216" s="1022"/>
      <c r="V216" s="1022"/>
      <c r="W216" s="1022"/>
      <c r="X216" s="981"/>
      <c r="Y216" s="981"/>
      <c r="Z216" s="981"/>
    </row>
    <row r="217" spans="1:26">
      <c r="A217" s="981"/>
      <c r="B217" s="1022"/>
      <c r="C217" s="1022"/>
      <c r="D217" s="1022"/>
      <c r="E217" s="1022"/>
      <c r="F217" s="1022"/>
      <c r="G217" s="1022"/>
      <c r="V217" s="1022"/>
      <c r="W217" s="1022"/>
      <c r="X217" s="981"/>
      <c r="Y217" s="981"/>
      <c r="Z217" s="981"/>
    </row>
    <row r="218" spans="1:26">
      <c r="A218" s="981"/>
      <c r="B218" s="1022"/>
      <c r="C218" s="1022"/>
      <c r="D218" s="1022"/>
      <c r="E218" s="1022"/>
      <c r="F218" s="1022"/>
      <c r="G218" s="1022"/>
      <c r="V218" s="1022"/>
      <c r="W218" s="1022"/>
      <c r="X218" s="981"/>
      <c r="Y218" s="981"/>
      <c r="Z218" s="981"/>
    </row>
    <row r="219" spans="1:26">
      <c r="A219" s="981"/>
      <c r="B219" s="1022"/>
      <c r="C219" s="1022"/>
      <c r="D219" s="1022"/>
      <c r="E219" s="1022"/>
      <c r="F219" s="1022"/>
      <c r="G219" s="1022"/>
      <c r="V219" s="1022"/>
      <c r="W219" s="1022"/>
      <c r="X219" s="981"/>
      <c r="Y219" s="981"/>
      <c r="Z219" s="981"/>
    </row>
    <row r="220" spans="1:26">
      <c r="A220" s="981"/>
      <c r="B220" s="1022"/>
      <c r="C220" s="1022"/>
      <c r="D220" s="1022"/>
      <c r="E220" s="1022"/>
      <c r="F220" s="1022"/>
      <c r="G220" s="1022"/>
      <c r="V220" s="1022"/>
      <c r="W220" s="1022"/>
      <c r="X220" s="981"/>
      <c r="Y220" s="981"/>
      <c r="Z220" s="981"/>
    </row>
    <row r="221" spans="1:26">
      <c r="A221" s="981"/>
      <c r="B221" s="1022"/>
      <c r="C221" s="1022"/>
      <c r="D221" s="1022"/>
      <c r="E221" s="1022"/>
      <c r="F221" s="1022"/>
      <c r="G221" s="1022"/>
      <c r="V221" s="1022"/>
      <c r="W221" s="1022"/>
      <c r="X221" s="981"/>
      <c r="Y221" s="981"/>
      <c r="Z221" s="981"/>
    </row>
    <row r="222" spans="1:26">
      <c r="A222" s="981"/>
      <c r="B222" s="1022"/>
      <c r="C222" s="1022"/>
      <c r="D222" s="1022"/>
      <c r="E222" s="1022"/>
      <c r="F222" s="1022"/>
      <c r="G222" s="1022"/>
      <c r="V222" s="1022"/>
      <c r="W222" s="1022"/>
      <c r="X222" s="981"/>
      <c r="Y222" s="981"/>
      <c r="Z222" s="981"/>
    </row>
    <row r="223" spans="1:26">
      <c r="A223" s="981"/>
      <c r="B223" s="1022"/>
      <c r="C223" s="1022"/>
      <c r="D223" s="1022"/>
      <c r="E223" s="1022"/>
      <c r="F223" s="1022"/>
      <c r="G223" s="1022"/>
      <c r="V223" s="1022"/>
      <c r="W223" s="1022"/>
      <c r="X223" s="981"/>
      <c r="Y223" s="981"/>
      <c r="Z223" s="981"/>
    </row>
    <row r="224" spans="1:26">
      <c r="A224" s="981"/>
      <c r="B224" s="1022"/>
      <c r="C224" s="1022"/>
      <c r="D224" s="1022"/>
      <c r="E224" s="1022"/>
      <c r="F224" s="1022"/>
      <c r="G224" s="1022"/>
      <c r="V224" s="1022"/>
      <c r="W224" s="1022"/>
      <c r="X224" s="981"/>
      <c r="Y224" s="981"/>
      <c r="Z224" s="981"/>
    </row>
    <row r="225" spans="1:26">
      <c r="A225" s="981"/>
      <c r="B225" s="1022"/>
      <c r="C225" s="1022"/>
      <c r="D225" s="1022"/>
      <c r="E225" s="1022"/>
      <c r="F225" s="1022"/>
      <c r="G225" s="1022"/>
      <c r="V225" s="1022"/>
      <c r="W225" s="1022"/>
      <c r="X225" s="981"/>
      <c r="Y225" s="981"/>
      <c r="Z225" s="981"/>
    </row>
    <row r="226" spans="1:26">
      <c r="A226" s="981"/>
      <c r="B226" s="1022"/>
      <c r="C226" s="1022"/>
      <c r="D226" s="1022"/>
      <c r="E226" s="1022"/>
      <c r="F226" s="1022"/>
      <c r="G226" s="1022"/>
      <c r="V226" s="1022"/>
      <c r="W226" s="1022"/>
      <c r="X226" s="981"/>
      <c r="Y226" s="981"/>
      <c r="Z226" s="981"/>
    </row>
    <row r="227" spans="1:26">
      <c r="A227" s="981"/>
      <c r="B227" s="1022"/>
      <c r="C227" s="1022"/>
      <c r="D227" s="1022"/>
      <c r="E227" s="1022"/>
      <c r="F227" s="1022"/>
      <c r="G227" s="1022"/>
      <c r="V227" s="1022"/>
      <c r="W227" s="1022"/>
      <c r="X227" s="981"/>
      <c r="Y227" s="981"/>
      <c r="Z227" s="981"/>
    </row>
    <row r="228" spans="1:26">
      <c r="A228" s="981"/>
      <c r="B228" s="1022"/>
      <c r="C228" s="1022"/>
      <c r="D228" s="1022"/>
      <c r="E228" s="1022"/>
      <c r="F228" s="1022"/>
      <c r="G228" s="1022"/>
      <c r="V228" s="1022"/>
      <c r="W228" s="1022"/>
      <c r="X228" s="981"/>
      <c r="Y228" s="981"/>
      <c r="Z228" s="981"/>
    </row>
    <row r="229" spans="1:26">
      <c r="A229" s="981"/>
      <c r="B229" s="1022"/>
      <c r="C229" s="1022"/>
      <c r="D229" s="1022"/>
      <c r="E229" s="1022"/>
      <c r="F229" s="1022"/>
      <c r="G229" s="1022"/>
      <c r="V229" s="1022"/>
      <c r="W229" s="1022"/>
      <c r="X229" s="981"/>
      <c r="Y229" s="981"/>
      <c r="Z229" s="981"/>
    </row>
    <row r="230" spans="1:26">
      <c r="A230" s="981"/>
      <c r="B230" s="1022"/>
      <c r="C230" s="1022"/>
      <c r="D230" s="1022"/>
      <c r="E230" s="1022"/>
      <c r="F230" s="1022"/>
      <c r="G230" s="1022"/>
      <c r="V230" s="1022"/>
      <c r="W230" s="1022"/>
      <c r="X230" s="981"/>
      <c r="Y230" s="981"/>
      <c r="Z230" s="981"/>
    </row>
    <row r="231" spans="1:26">
      <c r="A231" s="981"/>
      <c r="B231" s="1022"/>
      <c r="C231" s="1022"/>
      <c r="D231" s="1022"/>
      <c r="E231" s="1022"/>
      <c r="F231" s="1022"/>
      <c r="G231" s="1022"/>
      <c r="V231" s="1022"/>
      <c r="W231" s="1022"/>
      <c r="X231" s="981"/>
      <c r="Y231" s="981"/>
      <c r="Z231" s="981"/>
    </row>
    <row r="232" spans="1:26">
      <c r="A232" s="981"/>
      <c r="B232" s="1022"/>
      <c r="C232" s="1022"/>
      <c r="D232" s="1022"/>
      <c r="E232" s="1022"/>
      <c r="F232" s="1022"/>
      <c r="G232" s="1022"/>
      <c r="V232" s="1022"/>
      <c r="W232" s="1022"/>
      <c r="X232" s="981"/>
      <c r="Y232" s="981"/>
      <c r="Z232" s="981"/>
    </row>
    <row r="233" spans="1:26">
      <c r="A233" s="981"/>
      <c r="B233" s="1022"/>
      <c r="C233" s="1022"/>
      <c r="D233" s="1022"/>
      <c r="E233" s="1022"/>
      <c r="F233" s="1022"/>
      <c r="G233" s="1022"/>
      <c r="V233" s="1022"/>
      <c r="W233" s="1022"/>
      <c r="X233" s="981"/>
      <c r="Y233" s="981"/>
      <c r="Z233" s="981"/>
    </row>
    <row r="234" spans="1:26">
      <c r="A234" s="981"/>
      <c r="B234" s="1022"/>
      <c r="C234" s="1022"/>
      <c r="D234" s="1022"/>
      <c r="E234" s="1022"/>
      <c r="F234" s="1022"/>
      <c r="G234" s="1022"/>
      <c r="V234" s="1022"/>
      <c r="W234" s="1022"/>
      <c r="X234" s="981"/>
      <c r="Y234" s="981"/>
      <c r="Z234" s="981"/>
    </row>
    <row r="235" spans="1:26">
      <c r="A235" s="981"/>
      <c r="B235" s="1022"/>
      <c r="C235" s="1022"/>
      <c r="D235" s="1022"/>
      <c r="E235" s="1022"/>
      <c r="F235" s="1022"/>
      <c r="G235" s="1022"/>
      <c r="V235" s="1022"/>
      <c r="W235" s="1022"/>
      <c r="X235" s="981"/>
      <c r="Y235" s="981"/>
      <c r="Z235" s="981"/>
    </row>
    <row r="236" spans="1:26">
      <c r="A236" s="981"/>
      <c r="B236" s="1022"/>
      <c r="C236" s="1022"/>
      <c r="D236" s="1022"/>
      <c r="E236" s="1022"/>
      <c r="F236" s="1022"/>
      <c r="G236" s="1022"/>
      <c r="V236" s="1022"/>
      <c r="W236" s="1022"/>
      <c r="X236" s="981"/>
      <c r="Y236" s="981"/>
      <c r="Z236" s="981"/>
    </row>
    <row r="237" spans="1:26">
      <c r="A237" s="981"/>
      <c r="B237" s="1022"/>
      <c r="C237" s="1022"/>
      <c r="D237" s="1022"/>
      <c r="E237" s="1022"/>
      <c r="F237" s="1022"/>
      <c r="G237" s="1022"/>
      <c r="V237" s="1022"/>
      <c r="W237" s="1022"/>
      <c r="X237" s="981"/>
      <c r="Y237" s="981"/>
      <c r="Z237" s="981"/>
    </row>
    <row r="238" spans="1:26">
      <c r="A238" s="981"/>
      <c r="B238" s="1022"/>
      <c r="C238" s="1022"/>
      <c r="D238" s="1022"/>
      <c r="E238" s="1022"/>
      <c r="F238" s="1022"/>
      <c r="G238" s="1022"/>
      <c r="V238" s="1022"/>
      <c r="W238" s="1022"/>
      <c r="X238" s="981"/>
      <c r="Y238" s="981"/>
      <c r="Z238" s="981"/>
    </row>
    <row r="239" spans="1:26">
      <c r="A239" s="981"/>
      <c r="B239" s="1022"/>
      <c r="C239" s="1022"/>
      <c r="D239" s="1022"/>
      <c r="E239" s="1022"/>
      <c r="F239" s="1022"/>
      <c r="G239" s="1022"/>
      <c r="V239" s="1022"/>
      <c r="W239" s="1022"/>
      <c r="X239" s="981"/>
      <c r="Y239" s="981"/>
      <c r="Z239" s="981"/>
    </row>
    <row r="240" spans="1:26">
      <c r="A240" s="981"/>
      <c r="B240" s="1022"/>
      <c r="C240" s="1022"/>
      <c r="D240" s="1022"/>
      <c r="E240" s="1022"/>
      <c r="F240" s="1022"/>
      <c r="G240" s="1022"/>
      <c r="V240" s="1022"/>
      <c r="W240" s="1022"/>
      <c r="X240" s="981"/>
      <c r="Y240" s="981"/>
      <c r="Z240" s="981"/>
    </row>
    <row r="241" spans="1:26">
      <c r="A241" s="981"/>
      <c r="B241" s="1022"/>
      <c r="C241" s="1022"/>
      <c r="D241" s="1022"/>
      <c r="E241" s="1022"/>
      <c r="F241" s="1022"/>
      <c r="G241" s="1022"/>
      <c r="V241" s="1022"/>
      <c r="W241" s="1022"/>
      <c r="X241" s="981"/>
      <c r="Y241" s="981"/>
      <c r="Z241" s="981"/>
    </row>
    <row r="242" spans="1:26">
      <c r="A242" s="981"/>
      <c r="B242" s="1022"/>
      <c r="C242" s="1022"/>
      <c r="D242" s="1022"/>
      <c r="E242" s="1022"/>
      <c r="F242" s="1022"/>
      <c r="G242" s="1022"/>
      <c r="V242" s="1022"/>
      <c r="W242" s="1022"/>
      <c r="X242" s="981"/>
      <c r="Y242" s="981"/>
      <c r="Z242" s="981"/>
    </row>
    <row r="243" spans="1:26">
      <c r="A243" s="981"/>
      <c r="B243" s="1022"/>
      <c r="C243" s="1022"/>
      <c r="D243" s="1022"/>
      <c r="E243" s="1022"/>
      <c r="F243" s="1022"/>
      <c r="G243" s="1022"/>
      <c r="V243" s="1022"/>
      <c r="W243" s="1022"/>
      <c r="X243" s="981"/>
      <c r="Y243" s="981"/>
      <c r="Z243" s="981"/>
    </row>
    <row r="244" spans="1:26">
      <c r="A244" s="981"/>
      <c r="B244" s="1022"/>
      <c r="C244" s="1022"/>
      <c r="D244" s="1022"/>
      <c r="E244" s="1022"/>
      <c r="F244" s="1022"/>
      <c r="G244" s="1022"/>
      <c r="V244" s="1022"/>
      <c r="W244" s="1022"/>
      <c r="X244" s="981"/>
      <c r="Y244" s="981"/>
      <c r="Z244" s="981"/>
    </row>
    <row r="245" spans="1:26">
      <c r="A245" s="981"/>
      <c r="B245" s="1022"/>
      <c r="C245" s="1022"/>
      <c r="D245" s="1022"/>
      <c r="E245" s="1022"/>
      <c r="F245" s="1022"/>
      <c r="G245" s="1022"/>
      <c r="V245" s="1022"/>
      <c r="W245" s="1022"/>
      <c r="X245" s="981"/>
      <c r="Y245" s="981"/>
      <c r="Z245" s="981"/>
    </row>
    <row r="246" spans="1:26">
      <c r="A246" s="981"/>
      <c r="B246" s="1022"/>
      <c r="C246" s="1022"/>
      <c r="D246" s="1022"/>
      <c r="E246" s="1022"/>
      <c r="F246" s="1022"/>
      <c r="G246" s="1022"/>
      <c r="V246" s="1022"/>
      <c r="W246" s="1022"/>
      <c r="X246" s="981"/>
      <c r="Y246" s="981"/>
      <c r="Z246" s="981"/>
    </row>
    <row r="247" spans="1:26">
      <c r="A247" s="981"/>
      <c r="B247" s="1022"/>
      <c r="C247" s="1022"/>
      <c r="D247" s="1022"/>
      <c r="E247" s="1022"/>
      <c r="F247" s="1022"/>
      <c r="G247" s="1022"/>
      <c r="V247" s="1022"/>
      <c r="W247" s="1022"/>
      <c r="X247" s="981"/>
      <c r="Y247" s="981"/>
      <c r="Z247" s="981"/>
    </row>
    <row r="248" spans="1:26">
      <c r="A248" s="981"/>
      <c r="B248" s="1022"/>
      <c r="C248" s="1022"/>
      <c r="D248" s="1022"/>
      <c r="E248" s="1022"/>
      <c r="F248" s="1022"/>
      <c r="G248" s="1022"/>
      <c r="V248" s="1022"/>
      <c r="W248" s="1022"/>
      <c r="X248" s="981"/>
      <c r="Y248" s="981"/>
      <c r="Z248" s="981"/>
    </row>
    <row r="249" spans="1:26">
      <c r="A249" s="981"/>
      <c r="B249" s="1022"/>
      <c r="C249" s="1022"/>
      <c r="D249" s="1022"/>
      <c r="E249" s="1022"/>
      <c r="F249" s="1022"/>
      <c r="G249" s="1022"/>
      <c r="V249" s="1022"/>
      <c r="W249" s="1022"/>
      <c r="X249" s="981"/>
      <c r="Y249" s="981"/>
      <c r="Z249" s="981"/>
    </row>
    <row r="250" spans="1:26">
      <c r="A250" s="981"/>
      <c r="B250" s="1022"/>
      <c r="C250" s="1022"/>
      <c r="D250" s="1022"/>
      <c r="E250" s="1022"/>
      <c r="F250" s="1022"/>
      <c r="G250" s="1022"/>
      <c r="V250" s="1022"/>
      <c r="W250" s="1022"/>
      <c r="X250" s="981"/>
      <c r="Y250" s="981"/>
      <c r="Z250" s="981"/>
    </row>
    <row r="251" spans="1:26">
      <c r="A251" s="981"/>
      <c r="B251" s="1022"/>
      <c r="C251" s="1022"/>
      <c r="D251" s="1022"/>
      <c r="E251" s="1022"/>
      <c r="F251" s="1022"/>
      <c r="G251" s="1022"/>
      <c r="V251" s="1022"/>
      <c r="W251" s="1022"/>
      <c r="X251" s="981"/>
      <c r="Y251" s="981"/>
      <c r="Z251" s="981"/>
    </row>
    <row r="252" spans="1:26">
      <c r="A252" s="981"/>
      <c r="B252" s="1022"/>
      <c r="C252" s="1022"/>
      <c r="D252" s="1022"/>
      <c r="E252" s="1022"/>
      <c r="F252" s="1022"/>
      <c r="G252" s="1022"/>
      <c r="V252" s="1022"/>
      <c r="W252" s="1022"/>
      <c r="X252" s="981"/>
      <c r="Y252" s="981"/>
      <c r="Z252" s="981"/>
    </row>
    <row r="253" spans="1:26">
      <c r="A253" s="981"/>
      <c r="B253" s="1022"/>
      <c r="C253" s="1022"/>
      <c r="D253" s="1022"/>
      <c r="E253" s="1022"/>
      <c r="F253" s="1022"/>
      <c r="G253" s="1022"/>
      <c r="V253" s="1022"/>
      <c r="W253" s="1022"/>
      <c r="X253" s="981"/>
      <c r="Y253" s="981"/>
      <c r="Z253" s="981"/>
    </row>
    <row r="254" spans="1:26">
      <c r="A254" s="981"/>
      <c r="B254" s="1022"/>
      <c r="C254" s="1022"/>
      <c r="D254" s="1022"/>
      <c r="E254" s="1022"/>
      <c r="F254" s="1022"/>
      <c r="G254" s="1022"/>
      <c r="V254" s="1022"/>
      <c r="W254" s="1022"/>
      <c r="X254" s="981"/>
      <c r="Y254" s="981"/>
      <c r="Z254" s="981"/>
    </row>
    <row r="255" spans="1:26">
      <c r="A255" s="981"/>
      <c r="B255" s="1022"/>
      <c r="C255" s="1022"/>
      <c r="D255" s="1022"/>
      <c r="E255" s="1022"/>
      <c r="F255" s="1022"/>
      <c r="G255" s="1022"/>
      <c r="V255" s="1022"/>
      <c r="W255" s="1022"/>
      <c r="X255" s="981"/>
      <c r="Y255" s="981"/>
      <c r="Z255" s="981"/>
    </row>
    <row r="256" spans="1:26">
      <c r="A256" s="981"/>
      <c r="B256" s="1022"/>
      <c r="C256" s="1022"/>
      <c r="D256" s="1022"/>
      <c r="E256" s="1022"/>
      <c r="F256" s="1022"/>
      <c r="G256" s="1022"/>
      <c r="V256" s="1022"/>
      <c r="W256" s="1022"/>
      <c r="X256" s="981"/>
      <c r="Y256" s="981"/>
      <c r="Z256" s="981"/>
    </row>
    <row r="257" spans="1:26">
      <c r="A257" s="981"/>
      <c r="B257" s="1022"/>
      <c r="C257" s="1022"/>
      <c r="D257" s="1022"/>
      <c r="E257" s="1022"/>
      <c r="F257" s="1022"/>
      <c r="G257" s="1022"/>
      <c r="V257" s="1022"/>
      <c r="W257" s="1022"/>
      <c r="X257" s="981"/>
      <c r="Y257" s="981"/>
      <c r="Z257" s="981"/>
    </row>
    <row r="258" spans="1:26">
      <c r="A258" s="981"/>
      <c r="B258" s="1022"/>
      <c r="C258" s="1022"/>
      <c r="D258" s="1022"/>
      <c r="E258" s="1022"/>
      <c r="F258" s="1022"/>
      <c r="G258" s="1022"/>
      <c r="V258" s="1022"/>
      <c r="W258" s="1022"/>
      <c r="X258" s="981"/>
      <c r="Y258" s="981"/>
      <c r="Z258" s="981"/>
    </row>
    <row r="259" spans="1:26">
      <c r="A259" s="981"/>
      <c r="B259" s="1022"/>
      <c r="C259" s="1022"/>
      <c r="D259" s="1022"/>
      <c r="E259" s="1022"/>
      <c r="F259" s="1022"/>
      <c r="G259" s="1022"/>
      <c r="V259" s="1022"/>
      <c r="W259" s="1022"/>
      <c r="X259" s="981"/>
      <c r="Y259" s="981"/>
      <c r="Z259" s="981"/>
    </row>
    <row r="260" spans="1:26">
      <c r="A260" s="981"/>
      <c r="B260" s="1022"/>
      <c r="C260" s="1022"/>
      <c r="D260" s="1022"/>
      <c r="E260" s="1022"/>
      <c r="F260" s="1022"/>
      <c r="G260" s="1022"/>
      <c r="V260" s="1022"/>
      <c r="W260" s="1022"/>
      <c r="X260" s="981"/>
      <c r="Y260" s="981"/>
      <c r="Z260" s="981"/>
    </row>
    <row r="261" spans="1:26">
      <c r="A261" s="981"/>
      <c r="B261" s="1022"/>
      <c r="C261" s="1022"/>
      <c r="D261" s="1022"/>
      <c r="E261" s="1022"/>
      <c r="F261" s="1022"/>
      <c r="G261" s="1022"/>
      <c r="V261" s="1022"/>
      <c r="W261" s="1022"/>
      <c r="X261" s="981"/>
      <c r="Y261" s="981"/>
      <c r="Z261" s="981"/>
    </row>
    <row r="262" spans="1:26">
      <c r="A262" s="981"/>
      <c r="B262" s="1022"/>
      <c r="C262" s="1022"/>
      <c r="D262" s="1022"/>
      <c r="E262" s="1022"/>
      <c r="F262" s="1022"/>
      <c r="G262" s="1022"/>
      <c r="V262" s="1022"/>
      <c r="W262" s="1022"/>
      <c r="X262" s="981"/>
      <c r="Y262" s="981"/>
      <c r="Z262" s="981"/>
    </row>
    <row r="263" spans="1:26">
      <c r="A263" s="981"/>
      <c r="B263" s="1022"/>
      <c r="C263" s="1022"/>
      <c r="D263" s="1022"/>
      <c r="E263" s="1022"/>
      <c r="F263" s="1022"/>
      <c r="G263" s="1022"/>
      <c r="V263" s="1022"/>
      <c r="W263" s="1022"/>
      <c r="X263" s="981"/>
      <c r="Y263" s="981"/>
      <c r="Z263" s="981"/>
    </row>
    <row r="264" spans="1:26">
      <c r="A264" s="981"/>
      <c r="B264" s="1022"/>
      <c r="C264" s="1022"/>
      <c r="D264" s="1022"/>
      <c r="E264" s="1022"/>
      <c r="F264" s="1022"/>
      <c r="G264" s="1022"/>
      <c r="V264" s="1022"/>
      <c r="W264" s="1022"/>
      <c r="X264" s="981"/>
      <c r="Y264" s="981"/>
      <c r="Z264" s="981"/>
    </row>
    <row r="265" spans="1:26">
      <c r="A265" s="981"/>
      <c r="B265" s="1022"/>
      <c r="C265" s="1022"/>
      <c r="D265" s="1022"/>
      <c r="E265" s="1022"/>
      <c r="F265" s="1022"/>
      <c r="G265" s="1022"/>
      <c r="V265" s="1022"/>
      <c r="W265" s="1022"/>
      <c r="X265" s="981"/>
      <c r="Y265" s="981"/>
      <c r="Z265" s="981"/>
    </row>
    <row r="266" spans="1:26">
      <c r="A266" s="981"/>
      <c r="B266" s="1022"/>
      <c r="C266" s="1022"/>
      <c r="D266" s="1022"/>
      <c r="E266" s="1022"/>
      <c r="F266" s="1022"/>
      <c r="G266" s="1022"/>
      <c r="V266" s="1022"/>
      <c r="W266" s="1022"/>
      <c r="X266" s="981"/>
      <c r="Y266" s="981"/>
      <c r="Z266" s="981"/>
    </row>
    <row r="267" spans="1:26">
      <c r="A267" s="981"/>
      <c r="B267" s="1022"/>
      <c r="C267" s="1022"/>
      <c r="D267" s="1022"/>
      <c r="E267" s="1022"/>
      <c r="F267" s="1022"/>
      <c r="G267" s="1022"/>
      <c r="V267" s="1022"/>
      <c r="W267" s="1022"/>
      <c r="X267" s="981"/>
      <c r="Y267" s="981"/>
      <c r="Z267" s="981"/>
    </row>
    <row r="268" spans="1:26">
      <c r="A268" s="981"/>
      <c r="B268" s="1022"/>
      <c r="C268" s="1022"/>
      <c r="D268" s="1022"/>
      <c r="E268" s="1022"/>
      <c r="F268" s="1022"/>
      <c r="G268" s="1022"/>
      <c r="V268" s="1022"/>
      <c r="W268" s="1022"/>
      <c r="X268" s="981"/>
      <c r="Y268" s="981"/>
      <c r="Z268" s="981"/>
    </row>
    <row r="269" spans="1:26">
      <c r="A269" s="981"/>
      <c r="B269" s="1022"/>
      <c r="C269" s="1022"/>
      <c r="D269" s="1022"/>
      <c r="E269" s="1022"/>
      <c r="F269" s="1022"/>
      <c r="G269" s="1022"/>
      <c r="V269" s="1022"/>
      <c r="W269" s="1022"/>
      <c r="X269" s="981"/>
      <c r="Y269" s="981"/>
      <c r="Z269" s="981"/>
    </row>
    <row r="270" spans="1:26">
      <c r="A270" s="981"/>
      <c r="B270" s="1022"/>
      <c r="C270" s="1022"/>
      <c r="D270" s="1022"/>
      <c r="E270" s="1022"/>
      <c r="F270" s="1022"/>
      <c r="G270" s="1022"/>
      <c r="V270" s="1022"/>
      <c r="W270" s="1022"/>
      <c r="X270" s="981"/>
      <c r="Y270" s="981"/>
      <c r="Z270" s="981"/>
    </row>
    <row r="271" spans="1:26">
      <c r="A271" s="981"/>
      <c r="B271" s="1022"/>
      <c r="C271" s="1022"/>
      <c r="D271" s="1022"/>
      <c r="E271" s="1022"/>
      <c r="F271" s="1022"/>
      <c r="G271" s="1022"/>
      <c r="V271" s="1022"/>
      <c r="W271" s="1022"/>
      <c r="X271" s="981"/>
      <c r="Y271" s="981"/>
      <c r="Z271" s="981"/>
    </row>
    <row r="272" spans="1:26">
      <c r="A272" s="981"/>
      <c r="B272" s="1022"/>
      <c r="C272" s="1022"/>
      <c r="D272" s="1022"/>
      <c r="E272" s="1022"/>
      <c r="F272" s="1022"/>
      <c r="G272" s="1022"/>
      <c r="V272" s="1022"/>
      <c r="W272" s="1022"/>
      <c r="X272" s="981"/>
      <c r="Y272" s="981"/>
      <c r="Z272" s="981"/>
    </row>
    <row r="273" spans="1:26">
      <c r="A273" s="981"/>
      <c r="B273" s="1022"/>
      <c r="C273" s="1022"/>
      <c r="D273" s="1022"/>
      <c r="E273" s="1022"/>
      <c r="F273" s="1022"/>
      <c r="G273" s="1022"/>
      <c r="V273" s="1022"/>
      <c r="W273" s="1022"/>
      <c r="X273" s="981"/>
      <c r="Y273" s="981"/>
      <c r="Z273" s="981"/>
    </row>
    <row r="274" spans="1:26">
      <c r="A274" s="981"/>
      <c r="B274" s="1022"/>
      <c r="C274" s="1022"/>
      <c r="D274" s="1022"/>
      <c r="E274" s="1022"/>
      <c r="F274" s="1022"/>
      <c r="G274" s="1022"/>
      <c r="V274" s="1022"/>
      <c r="W274" s="1022"/>
      <c r="X274" s="981"/>
      <c r="Y274" s="981"/>
      <c r="Z274" s="981"/>
    </row>
    <row r="275" spans="1:26">
      <c r="A275" s="981"/>
      <c r="B275" s="1022"/>
      <c r="C275" s="1022"/>
      <c r="D275" s="1022"/>
      <c r="E275" s="1022"/>
      <c r="F275" s="1022"/>
      <c r="G275" s="1022"/>
      <c r="V275" s="1022"/>
      <c r="W275" s="1022"/>
      <c r="X275" s="981"/>
      <c r="Y275" s="981"/>
      <c r="Z275" s="981"/>
    </row>
    <row r="276" spans="1:26">
      <c r="A276" s="981"/>
      <c r="B276" s="1022"/>
      <c r="C276" s="1022"/>
      <c r="D276" s="1022"/>
      <c r="E276" s="1022"/>
      <c r="F276" s="1022"/>
      <c r="G276" s="1022"/>
      <c r="V276" s="1022"/>
      <c r="W276" s="1022"/>
      <c r="X276" s="981"/>
      <c r="Y276" s="981"/>
      <c r="Z276" s="981"/>
    </row>
    <row r="277" spans="1:26">
      <c r="A277" s="981"/>
      <c r="B277" s="1022"/>
      <c r="C277" s="1022"/>
      <c r="D277" s="1022"/>
      <c r="E277" s="1022"/>
      <c r="F277" s="1022"/>
      <c r="G277" s="1022"/>
      <c r="V277" s="1022"/>
      <c r="W277" s="1022"/>
      <c r="X277" s="981"/>
      <c r="Y277" s="981"/>
      <c r="Z277" s="981"/>
    </row>
    <row r="278" spans="1:26">
      <c r="A278" s="981"/>
      <c r="B278" s="1022"/>
      <c r="C278" s="1022"/>
      <c r="D278" s="1022"/>
      <c r="E278" s="1022"/>
      <c r="F278" s="1022"/>
      <c r="G278" s="1022"/>
      <c r="V278" s="1022"/>
      <c r="W278" s="1022"/>
      <c r="X278" s="981"/>
      <c r="Y278" s="981"/>
      <c r="Z278" s="981"/>
    </row>
    <row r="279" spans="1:26">
      <c r="A279" s="981"/>
      <c r="B279" s="1022"/>
      <c r="C279" s="1022"/>
      <c r="D279" s="1022"/>
      <c r="E279" s="1022"/>
      <c r="F279" s="1022"/>
      <c r="G279" s="1022"/>
      <c r="V279" s="1022"/>
      <c r="W279" s="1022"/>
      <c r="X279" s="981"/>
      <c r="Y279" s="981"/>
      <c r="Z279" s="981"/>
    </row>
    <row r="280" spans="1:26">
      <c r="A280" s="981"/>
      <c r="B280" s="1022"/>
      <c r="C280" s="1022"/>
      <c r="D280" s="1022"/>
      <c r="E280" s="1022"/>
      <c r="F280" s="1022"/>
      <c r="G280" s="1022"/>
      <c r="V280" s="1022"/>
      <c r="W280" s="1022"/>
      <c r="X280" s="981"/>
      <c r="Y280" s="981"/>
      <c r="Z280" s="981"/>
    </row>
    <row r="281" spans="1:26">
      <c r="A281" s="981"/>
      <c r="B281" s="1022"/>
      <c r="C281" s="1022"/>
      <c r="D281" s="1022"/>
      <c r="E281" s="1022"/>
      <c r="F281" s="1022"/>
      <c r="G281" s="1022"/>
      <c r="V281" s="1022"/>
      <c r="W281" s="1022"/>
      <c r="X281" s="981"/>
      <c r="Y281" s="981"/>
      <c r="Z281" s="981"/>
    </row>
    <row r="282" spans="1:26">
      <c r="A282" s="981"/>
      <c r="B282" s="1022"/>
      <c r="C282" s="1022"/>
      <c r="D282" s="1022"/>
      <c r="E282" s="1022"/>
      <c r="F282" s="1022"/>
      <c r="G282" s="1022"/>
      <c r="V282" s="1022"/>
      <c r="W282" s="1022"/>
      <c r="X282" s="981"/>
      <c r="Y282" s="981"/>
      <c r="Z282" s="981"/>
    </row>
    <row r="283" spans="1:26">
      <c r="A283" s="981"/>
      <c r="B283" s="1022"/>
      <c r="C283" s="1022"/>
      <c r="D283" s="1022"/>
      <c r="E283" s="1022"/>
      <c r="F283" s="1022"/>
      <c r="G283" s="1022"/>
      <c r="V283" s="1022"/>
      <c r="W283" s="1022"/>
      <c r="X283" s="981"/>
      <c r="Y283" s="981"/>
      <c r="Z283" s="981"/>
    </row>
    <row r="284" spans="1:26">
      <c r="A284" s="981"/>
      <c r="B284" s="1022"/>
      <c r="C284" s="1022"/>
      <c r="D284" s="1022"/>
      <c r="E284" s="1022"/>
      <c r="F284" s="1022"/>
      <c r="G284" s="1022"/>
      <c r="V284" s="1022"/>
      <c r="W284" s="1022"/>
      <c r="X284" s="981"/>
      <c r="Y284" s="981"/>
      <c r="Z284" s="981"/>
    </row>
    <row r="285" spans="1:26">
      <c r="A285" s="981"/>
      <c r="B285" s="1022"/>
      <c r="C285" s="1022"/>
      <c r="D285" s="1022"/>
      <c r="E285" s="1022"/>
      <c r="F285" s="1022"/>
      <c r="G285" s="1022"/>
      <c r="V285" s="1022"/>
      <c r="W285" s="1022"/>
      <c r="X285" s="981"/>
      <c r="Y285" s="981"/>
      <c r="Z285" s="981"/>
    </row>
    <row r="286" spans="1:26">
      <c r="A286" s="981"/>
      <c r="B286" s="1022"/>
      <c r="C286" s="1022"/>
      <c r="D286" s="1022"/>
      <c r="E286" s="1022"/>
      <c r="F286" s="1022"/>
      <c r="G286" s="1022"/>
      <c r="V286" s="1022"/>
      <c r="W286" s="1022"/>
      <c r="X286" s="981"/>
      <c r="Y286" s="981"/>
      <c r="Z286" s="981"/>
    </row>
    <row r="287" spans="1:26">
      <c r="A287" s="981"/>
      <c r="B287" s="1022"/>
      <c r="C287" s="1022"/>
      <c r="D287" s="1022"/>
      <c r="E287" s="1022"/>
      <c r="F287" s="1022"/>
      <c r="G287" s="1022"/>
      <c r="V287" s="1022"/>
      <c r="W287" s="1022"/>
      <c r="X287" s="981"/>
      <c r="Y287" s="981"/>
      <c r="Z287" s="981"/>
    </row>
    <row r="288" spans="1:26">
      <c r="A288" s="981"/>
      <c r="B288" s="1022"/>
      <c r="C288" s="1022"/>
      <c r="D288" s="1022"/>
      <c r="E288" s="1022"/>
      <c r="F288" s="1022"/>
      <c r="G288" s="1022"/>
      <c r="V288" s="1022"/>
      <c r="W288" s="1022"/>
      <c r="X288" s="981"/>
      <c r="Y288" s="981"/>
      <c r="Z288" s="981"/>
    </row>
    <row r="289" spans="1:26">
      <c r="A289" s="981"/>
      <c r="B289" s="1022"/>
      <c r="C289" s="1022"/>
      <c r="D289" s="1022"/>
      <c r="E289" s="1022"/>
      <c r="F289" s="1022"/>
      <c r="G289" s="1022"/>
      <c r="V289" s="1022"/>
      <c r="W289" s="1022"/>
      <c r="X289" s="981"/>
      <c r="Y289" s="981"/>
      <c r="Z289" s="981"/>
    </row>
    <row r="290" spans="1:26">
      <c r="A290" s="981"/>
      <c r="B290" s="1022"/>
      <c r="C290" s="1022"/>
      <c r="D290" s="1022"/>
      <c r="E290" s="1022"/>
      <c r="F290" s="1022"/>
      <c r="G290" s="1022"/>
      <c r="V290" s="1022"/>
      <c r="W290" s="1022"/>
      <c r="X290" s="981"/>
      <c r="Y290" s="981"/>
      <c r="Z290" s="981"/>
    </row>
    <row r="291" spans="1:26">
      <c r="A291" s="981"/>
      <c r="B291" s="1022"/>
      <c r="C291" s="1022"/>
      <c r="D291" s="1022"/>
      <c r="E291" s="1022"/>
      <c r="F291" s="1022"/>
      <c r="G291" s="1022"/>
      <c r="V291" s="1022"/>
      <c r="W291" s="1022"/>
      <c r="X291" s="981"/>
      <c r="Y291" s="981"/>
      <c r="Z291" s="981"/>
    </row>
    <row r="292" spans="1:26">
      <c r="A292" s="981"/>
      <c r="B292" s="1022"/>
      <c r="C292" s="1022"/>
      <c r="D292" s="1022"/>
      <c r="E292" s="1022"/>
      <c r="F292" s="1022"/>
      <c r="G292" s="1022"/>
      <c r="V292" s="1022"/>
      <c r="W292" s="1022"/>
      <c r="X292" s="981"/>
      <c r="Y292" s="981"/>
      <c r="Z292" s="981"/>
    </row>
    <row r="293" spans="1:26">
      <c r="A293" s="981"/>
      <c r="B293" s="1022"/>
      <c r="C293" s="1022"/>
      <c r="D293" s="1022"/>
      <c r="E293" s="1022"/>
      <c r="F293" s="1022"/>
      <c r="G293" s="1022"/>
      <c r="V293" s="1022"/>
      <c r="W293" s="1022"/>
      <c r="X293" s="981"/>
      <c r="Y293" s="981"/>
      <c r="Z293" s="981"/>
    </row>
    <row r="294" spans="1:26">
      <c r="A294" s="981"/>
      <c r="B294" s="1022"/>
      <c r="C294" s="1022"/>
      <c r="D294" s="1022"/>
      <c r="E294" s="1022"/>
      <c r="F294" s="1022"/>
      <c r="G294" s="1022"/>
      <c r="V294" s="1022"/>
      <c r="W294" s="1022"/>
      <c r="X294" s="981"/>
      <c r="Y294" s="981"/>
      <c r="Z294" s="981"/>
    </row>
    <row r="295" spans="1:26">
      <c r="A295" s="981"/>
      <c r="B295" s="1022"/>
      <c r="C295" s="1022"/>
      <c r="D295" s="1022"/>
      <c r="E295" s="1022"/>
      <c r="F295" s="1022"/>
      <c r="G295" s="1022"/>
      <c r="V295" s="1022"/>
      <c r="W295" s="1022"/>
      <c r="X295" s="981"/>
      <c r="Y295" s="981"/>
      <c r="Z295" s="981"/>
    </row>
    <row r="296" spans="1:26">
      <c r="A296" s="981"/>
      <c r="B296" s="1022"/>
      <c r="C296" s="1022"/>
      <c r="D296" s="1022"/>
      <c r="E296" s="1022"/>
      <c r="F296" s="1022"/>
      <c r="G296" s="1022"/>
      <c r="V296" s="1022"/>
      <c r="W296" s="1022"/>
      <c r="X296" s="981"/>
      <c r="Y296" s="981"/>
      <c r="Z296" s="981"/>
    </row>
    <row r="297" spans="1:26">
      <c r="A297" s="981"/>
      <c r="B297" s="1022"/>
      <c r="C297" s="1022"/>
      <c r="D297" s="1022"/>
      <c r="E297" s="1022"/>
      <c r="F297" s="1022"/>
      <c r="G297" s="1022"/>
      <c r="V297" s="1022"/>
      <c r="W297" s="1022"/>
      <c r="X297" s="981"/>
      <c r="Y297" s="981"/>
      <c r="Z297" s="981"/>
    </row>
    <row r="298" spans="1:26">
      <c r="A298" s="981"/>
      <c r="B298" s="1022"/>
      <c r="C298" s="1022"/>
      <c r="D298" s="1022"/>
      <c r="E298" s="1022"/>
      <c r="F298" s="1022"/>
      <c r="G298" s="1022"/>
      <c r="V298" s="1022"/>
      <c r="W298" s="1022"/>
      <c r="X298" s="981"/>
      <c r="Y298" s="981"/>
      <c r="Z298" s="981"/>
    </row>
    <row r="299" spans="1:26">
      <c r="A299" s="981"/>
      <c r="B299" s="1022"/>
      <c r="C299" s="1022"/>
      <c r="D299" s="1022"/>
      <c r="E299" s="1022"/>
      <c r="F299" s="1022"/>
      <c r="G299" s="1022"/>
      <c r="V299" s="1022"/>
      <c r="W299" s="1022"/>
      <c r="X299" s="981"/>
      <c r="Y299" s="981"/>
      <c r="Z299" s="981"/>
    </row>
    <row r="300" spans="1:26">
      <c r="A300" s="981"/>
      <c r="B300" s="1022"/>
      <c r="C300" s="1022"/>
      <c r="D300" s="1022"/>
      <c r="E300" s="1022"/>
      <c r="F300" s="1022"/>
      <c r="G300" s="1022"/>
      <c r="V300" s="1022"/>
      <c r="W300" s="1022"/>
      <c r="X300" s="981"/>
      <c r="Y300" s="981"/>
      <c r="Z300" s="981"/>
    </row>
    <row r="301" spans="1:26">
      <c r="A301" s="981"/>
      <c r="B301" s="1022"/>
      <c r="C301" s="1022"/>
      <c r="D301" s="1022"/>
      <c r="E301" s="1022"/>
      <c r="F301" s="1022"/>
      <c r="G301" s="1022"/>
      <c r="V301" s="1022"/>
      <c r="W301" s="1022"/>
      <c r="X301" s="981"/>
      <c r="Y301" s="981"/>
      <c r="Z301" s="981"/>
    </row>
    <row r="302" spans="1:26">
      <c r="A302" s="981"/>
      <c r="B302" s="1022"/>
      <c r="C302" s="1022"/>
      <c r="D302" s="1022"/>
      <c r="E302" s="1022"/>
      <c r="F302" s="1022"/>
      <c r="G302" s="1022"/>
      <c r="V302" s="1022"/>
      <c r="W302" s="1022"/>
      <c r="X302" s="981"/>
      <c r="Y302" s="981"/>
      <c r="Z302" s="981"/>
    </row>
    <row r="303" spans="1:26">
      <c r="A303" s="981"/>
      <c r="B303" s="1022"/>
      <c r="C303" s="1022"/>
      <c r="D303" s="1022"/>
      <c r="E303" s="1022"/>
      <c r="F303" s="1022"/>
      <c r="G303" s="1022"/>
      <c r="V303" s="1022"/>
      <c r="W303" s="1022"/>
      <c r="X303" s="981"/>
      <c r="Y303" s="981"/>
      <c r="Z303" s="981"/>
    </row>
    <row r="304" spans="1:26">
      <c r="A304" s="981"/>
      <c r="B304" s="1022"/>
      <c r="C304" s="1022"/>
      <c r="D304" s="1022"/>
      <c r="E304" s="1022"/>
      <c r="F304" s="1022"/>
      <c r="G304" s="1022"/>
      <c r="V304" s="1022"/>
      <c r="W304" s="1022"/>
      <c r="X304" s="981"/>
      <c r="Y304" s="981"/>
      <c r="Z304" s="981"/>
    </row>
    <row r="305" spans="1:26">
      <c r="A305" s="981"/>
      <c r="B305" s="1022"/>
      <c r="C305" s="1022"/>
      <c r="D305" s="1022"/>
      <c r="E305" s="1022"/>
      <c r="F305" s="1022"/>
      <c r="G305" s="1022"/>
      <c r="V305" s="1022"/>
      <c r="W305" s="1022"/>
      <c r="X305" s="981"/>
      <c r="Y305" s="981"/>
      <c r="Z305" s="981"/>
    </row>
    <row r="306" spans="1:26">
      <c r="A306" s="981"/>
      <c r="B306" s="1022"/>
      <c r="C306" s="1022"/>
      <c r="D306" s="1022"/>
      <c r="E306" s="1022"/>
      <c r="F306" s="1022"/>
      <c r="G306" s="1022"/>
      <c r="V306" s="1022"/>
      <c r="W306" s="1022"/>
      <c r="X306" s="981"/>
      <c r="Y306" s="981"/>
      <c r="Z306" s="981"/>
    </row>
    <row r="307" spans="1:26">
      <c r="A307" s="981"/>
      <c r="B307" s="1022"/>
      <c r="C307" s="1022"/>
      <c r="D307" s="1022"/>
      <c r="E307" s="1022"/>
      <c r="F307" s="1022"/>
      <c r="G307" s="1022"/>
      <c r="V307" s="1022"/>
      <c r="W307" s="1022"/>
      <c r="X307" s="981"/>
      <c r="Y307" s="981"/>
      <c r="Z307" s="981"/>
    </row>
    <row r="308" spans="1:26">
      <c r="A308" s="981"/>
      <c r="B308" s="1022"/>
      <c r="C308" s="1022"/>
      <c r="D308" s="1022"/>
      <c r="E308" s="1022"/>
      <c r="F308" s="1022"/>
      <c r="G308" s="1022"/>
      <c r="V308" s="1022"/>
      <c r="W308" s="1022"/>
      <c r="X308" s="981"/>
      <c r="Y308" s="981"/>
      <c r="Z308" s="981"/>
    </row>
    <row r="309" spans="1:26">
      <c r="A309" s="981"/>
      <c r="B309" s="1022"/>
      <c r="C309" s="1022"/>
      <c r="D309" s="1022"/>
      <c r="E309" s="1022"/>
      <c r="F309" s="1022"/>
      <c r="G309" s="1022"/>
      <c r="V309" s="1022"/>
      <c r="W309" s="1022"/>
      <c r="X309" s="981"/>
      <c r="Y309" s="981"/>
      <c r="Z309" s="981"/>
    </row>
    <row r="310" spans="1:26">
      <c r="A310" s="981"/>
      <c r="B310" s="1022"/>
      <c r="C310" s="1022"/>
      <c r="D310" s="1022"/>
      <c r="E310" s="1022"/>
      <c r="F310" s="1022"/>
      <c r="G310" s="1022"/>
      <c r="V310" s="1022"/>
      <c r="W310" s="1022"/>
      <c r="X310" s="981"/>
      <c r="Y310" s="981"/>
      <c r="Z310" s="981"/>
    </row>
    <row r="311" spans="1:26">
      <c r="A311" s="981"/>
      <c r="B311" s="1022"/>
      <c r="C311" s="1022"/>
      <c r="D311" s="1022"/>
      <c r="E311" s="1022"/>
      <c r="F311" s="1022"/>
      <c r="G311" s="1022"/>
      <c r="V311" s="1022"/>
      <c r="W311" s="1022"/>
      <c r="X311" s="981"/>
      <c r="Y311" s="981"/>
      <c r="Z311" s="981"/>
    </row>
    <row r="312" spans="1:26">
      <c r="A312" s="981"/>
      <c r="B312" s="1022"/>
      <c r="C312" s="1022"/>
      <c r="D312" s="1022"/>
      <c r="E312" s="1022"/>
      <c r="F312" s="1022"/>
      <c r="G312" s="1022"/>
      <c r="V312" s="1022"/>
      <c r="W312" s="1022"/>
      <c r="X312" s="981"/>
      <c r="Y312" s="981"/>
      <c r="Z312" s="981"/>
    </row>
    <row r="313" spans="1:26">
      <c r="A313" s="981"/>
      <c r="B313" s="1022"/>
      <c r="C313" s="1022"/>
      <c r="D313" s="1022"/>
      <c r="E313" s="1022"/>
      <c r="F313" s="1022"/>
      <c r="G313" s="1022"/>
      <c r="V313" s="1022"/>
      <c r="W313" s="1022"/>
      <c r="X313" s="981"/>
      <c r="Y313" s="981"/>
      <c r="Z313" s="981"/>
    </row>
    <row r="314" spans="1:26">
      <c r="A314" s="981"/>
      <c r="B314" s="1022"/>
      <c r="C314" s="1022"/>
      <c r="D314" s="1022"/>
      <c r="E314" s="1022"/>
      <c r="F314" s="1022"/>
      <c r="G314" s="1022"/>
      <c r="V314" s="1022"/>
      <c r="W314" s="1022"/>
      <c r="X314" s="981"/>
      <c r="Y314" s="981"/>
      <c r="Z314" s="981"/>
    </row>
    <row r="315" spans="1:26">
      <c r="A315" s="981"/>
      <c r="B315" s="1022"/>
      <c r="C315" s="1022"/>
      <c r="D315" s="1022"/>
      <c r="E315" s="1022"/>
      <c r="F315" s="1022"/>
      <c r="G315" s="1022"/>
      <c r="V315" s="1022"/>
      <c r="W315" s="1022"/>
      <c r="X315" s="981"/>
      <c r="Y315" s="981"/>
      <c r="Z315" s="981"/>
    </row>
    <row r="316" spans="1:26">
      <c r="A316" s="981"/>
      <c r="B316" s="1022"/>
      <c r="C316" s="1022"/>
      <c r="D316" s="1022"/>
      <c r="E316" s="1022"/>
      <c r="F316" s="1022"/>
      <c r="G316" s="1022"/>
      <c r="V316" s="1022"/>
      <c r="W316" s="1022"/>
      <c r="X316" s="981"/>
      <c r="Y316" s="981"/>
      <c r="Z316" s="981"/>
    </row>
    <row r="317" spans="1:26">
      <c r="A317" s="981"/>
      <c r="B317" s="1022"/>
      <c r="C317" s="1022"/>
      <c r="D317" s="1022"/>
      <c r="E317" s="1022"/>
      <c r="F317" s="1022"/>
      <c r="G317" s="1022"/>
      <c r="V317" s="1022"/>
      <c r="W317" s="1022"/>
      <c r="X317" s="981"/>
      <c r="Y317" s="981"/>
      <c r="Z317" s="981"/>
    </row>
    <row r="318" spans="1:26">
      <c r="A318" s="981"/>
      <c r="B318" s="1022"/>
      <c r="C318" s="1022"/>
      <c r="D318" s="1022"/>
      <c r="E318" s="1022"/>
      <c r="F318" s="1022"/>
      <c r="G318" s="1022"/>
      <c r="V318" s="1022"/>
      <c r="W318" s="1022"/>
      <c r="X318" s="981"/>
      <c r="Y318" s="981"/>
      <c r="Z318" s="981"/>
    </row>
    <row r="319" spans="1:26">
      <c r="A319" s="981"/>
      <c r="B319" s="1022"/>
      <c r="C319" s="1022"/>
      <c r="D319" s="1022"/>
      <c r="E319" s="1022"/>
      <c r="F319" s="1022"/>
      <c r="G319" s="1022"/>
      <c r="V319" s="1022"/>
      <c r="W319" s="1022"/>
      <c r="X319" s="981"/>
      <c r="Y319" s="981"/>
      <c r="Z319" s="981"/>
    </row>
    <row r="320" spans="1:26">
      <c r="A320" s="981"/>
      <c r="B320" s="1022"/>
      <c r="C320" s="1022"/>
      <c r="D320" s="1022"/>
      <c r="E320" s="1022"/>
      <c r="F320" s="1022"/>
      <c r="G320" s="1022"/>
      <c r="V320" s="1022"/>
      <c r="W320" s="1022"/>
      <c r="X320" s="981"/>
      <c r="Y320" s="981"/>
      <c r="Z320" s="981"/>
    </row>
    <row r="321" spans="1:26">
      <c r="A321" s="981"/>
      <c r="B321" s="1022"/>
      <c r="C321" s="1022"/>
      <c r="D321" s="1022"/>
      <c r="E321" s="1022"/>
      <c r="F321" s="1022"/>
      <c r="G321" s="1022"/>
      <c r="V321" s="1022"/>
      <c r="W321" s="1022"/>
      <c r="X321" s="981"/>
      <c r="Y321" s="981"/>
      <c r="Z321" s="981"/>
    </row>
    <row r="322" spans="1:26">
      <c r="A322" s="981"/>
      <c r="B322" s="1022"/>
      <c r="C322" s="1022"/>
      <c r="D322" s="1022"/>
      <c r="E322" s="1022"/>
      <c r="F322" s="1022"/>
      <c r="G322" s="1022"/>
      <c r="V322" s="1022"/>
      <c r="W322" s="1022"/>
      <c r="X322" s="981"/>
      <c r="Y322" s="981"/>
      <c r="Z322" s="981"/>
    </row>
    <row r="323" spans="1:26">
      <c r="A323" s="981"/>
      <c r="B323" s="1022"/>
      <c r="C323" s="1022"/>
      <c r="D323" s="1022"/>
      <c r="E323" s="1022"/>
      <c r="F323" s="1022"/>
      <c r="G323" s="1022"/>
      <c r="V323" s="1022"/>
      <c r="W323" s="1022"/>
      <c r="X323" s="981"/>
      <c r="Y323" s="981"/>
      <c r="Z323" s="981"/>
    </row>
    <row r="324" spans="1:26">
      <c r="A324" s="981"/>
      <c r="B324" s="1022"/>
      <c r="C324" s="1022"/>
      <c r="D324" s="1022"/>
      <c r="E324" s="1022"/>
      <c r="F324" s="1022"/>
      <c r="G324" s="1022"/>
      <c r="V324" s="1022"/>
      <c r="W324" s="1022"/>
      <c r="X324" s="981"/>
      <c r="Y324" s="981"/>
      <c r="Z324" s="981"/>
    </row>
    <row r="325" spans="1:26">
      <c r="A325" s="981"/>
      <c r="B325" s="1022"/>
      <c r="C325" s="1022"/>
      <c r="D325" s="1022"/>
      <c r="E325" s="1022"/>
      <c r="F325" s="1022"/>
      <c r="G325" s="1022"/>
      <c r="V325" s="1022"/>
      <c r="W325" s="1022"/>
      <c r="X325" s="981"/>
      <c r="Y325" s="981"/>
      <c r="Z325" s="981"/>
    </row>
    <row r="326" spans="1:26">
      <c r="A326" s="981"/>
      <c r="B326" s="1022"/>
      <c r="C326" s="1022"/>
      <c r="D326" s="1022"/>
      <c r="E326" s="1022"/>
      <c r="F326" s="1022"/>
      <c r="G326" s="1022"/>
      <c r="V326" s="1022"/>
      <c r="W326" s="1022"/>
      <c r="X326" s="981"/>
      <c r="Y326" s="981"/>
      <c r="Z326" s="981"/>
    </row>
    <row r="327" spans="1:26">
      <c r="A327" s="981"/>
      <c r="B327" s="1022"/>
      <c r="C327" s="1022"/>
      <c r="D327" s="1022"/>
      <c r="E327" s="1022"/>
      <c r="F327" s="1022"/>
      <c r="G327" s="1022"/>
      <c r="V327" s="1022"/>
      <c r="W327" s="1022"/>
      <c r="X327" s="981"/>
      <c r="Y327" s="981"/>
      <c r="Z327" s="981"/>
    </row>
    <row r="328" spans="1:26">
      <c r="A328" s="981"/>
      <c r="B328" s="1022"/>
      <c r="C328" s="1022"/>
      <c r="D328" s="1022"/>
      <c r="E328" s="1022"/>
      <c r="F328" s="1022"/>
      <c r="G328" s="1022"/>
      <c r="V328" s="1022"/>
      <c r="W328" s="1022"/>
      <c r="X328" s="981"/>
      <c r="Y328" s="981"/>
      <c r="Z328" s="981"/>
    </row>
    <row r="329" spans="1:26">
      <c r="A329" s="981"/>
      <c r="B329" s="1022"/>
      <c r="C329" s="1022"/>
      <c r="D329" s="1022"/>
      <c r="E329" s="1022"/>
      <c r="F329" s="1022"/>
      <c r="G329" s="1022"/>
      <c r="V329" s="1022"/>
      <c r="W329" s="1022"/>
      <c r="X329" s="981"/>
      <c r="Y329" s="981"/>
      <c r="Z329" s="981"/>
    </row>
    <row r="330" spans="1:26">
      <c r="A330" s="981"/>
      <c r="B330" s="1022"/>
      <c r="C330" s="1022"/>
      <c r="D330" s="1022"/>
      <c r="E330" s="1022"/>
      <c r="F330" s="1022"/>
      <c r="G330" s="1022"/>
      <c r="V330" s="1022"/>
      <c r="W330" s="1022"/>
      <c r="X330" s="981"/>
      <c r="Y330" s="981"/>
      <c r="Z330" s="981"/>
    </row>
    <row r="331" spans="1:26">
      <c r="A331" s="981"/>
      <c r="B331" s="1022"/>
      <c r="C331" s="1022"/>
      <c r="D331" s="1022"/>
      <c r="E331" s="1022"/>
      <c r="F331" s="1022"/>
      <c r="G331" s="1022"/>
      <c r="V331" s="1022"/>
      <c r="W331" s="1022"/>
      <c r="X331" s="981"/>
      <c r="Y331" s="981"/>
      <c r="Z331" s="981"/>
    </row>
    <row r="332" spans="1:26">
      <c r="A332" s="981"/>
      <c r="B332" s="1022"/>
      <c r="C332" s="1022"/>
      <c r="D332" s="1022"/>
      <c r="E332" s="1022"/>
      <c r="F332" s="1022"/>
      <c r="G332" s="1022"/>
      <c r="V332" s="1022"/>
      <c r="W332" s="1022"/>
      <c r="X332" s="981"/>
      <c r="Y332" s="981"/>
      <c r="Z332" s="981"/>
    </row>
    <row r="333" spans="1:26">
      <c r="A333" s="981"/>
      <c r="B333" s="1022"/>
      <c r="C333" s="1022"/>
      <c r="D333" s="1022"/>
      <c r="E333" s="1022"/>
      <c r="F333" s="1022"/>
      <c r="G333" s="1022"/>
      <c r="V333" s="1022"/>
      <c r="W333" s="1022"/>
      <c r="X333" s="981"/>
      <c r="Y333" s="981"/>
      <c r="Z333" s="981"/>
    </row>
    <row r="334" spans="1:26">
      <c r="A334" s="981"/>
      <c r="B334" s="1022"/>
      <c r="C334" s="1022"/>
      <c r="D334" s="1022"/>
      <c r="E334" s="1022"/>
      <c r="F334" s="1022"/>
      <c r="G334" s="1022"/>
      <c r="V334" s="1022"/>
      <c r="W334" s="1022"/>
      <c r="X334" s="981"/>
      <c r="Y334" s="981"/>
      <c r="Z334" s="981"/>
    </row>
    <row r="335" spans="1:26">
      <c r="A335" s="981"/>
      <c r="B335" s="1022"/>
      <c r="C335" s="1022"/>
      <c r="D335" s="1022"/>
      <c r="E335" s="1022"/>
      <c r="F335" s="1022"/>
      <c r="G335" s="1022"/>
      <c r="V335" s="1022"/>
      <c r="W335" s="1022"/>
      <c r="X335" s="981"/>
      <c r="Y335" s="981"/>
      <c r="Z335" s="981"/>
    </row>
    <row r="336" spans="1:26">
      <c r="A336" s="981"/>
      <c r="B336" s="1022"/>
      <c r="C336" s="1022"/>
      <c r="D336" s="1022"/>
      <c r="E336" s="1022"/>
      <c r="F336" s="1022"/>
      <c r="G336" s="1022"/>
      <c r="V336" s="1022"/>
      <c r="W336" s="1022"/>
      <c r="X336" s="981"/>
      <c r="Y336" s="981"/>
      <c r="Z336" s="981"/>
    </row>
    <row r="337" spans="1:26">
      <c r="A337" s="981"/>
      <c r="B337" s="1022"/>
      <c r="C337" s="1022"/>
      <c r="D337" s="1022"/>
      <c r="E337" s="1022"/>
      <c r="F337" s="1022"/>
      <c r="G337" s="1022"/>
      <c r="V337" s="1022"/>
      <c r="W337" s="1022"/>
      <c r="X337" s="981"/>
      <c r="Y337" s="981"/>
      <c r="Z337" s="981"/>
    </row>
    <row r="338" spans="1:26">
      <c r="A338" s="981"/>
      <c r="B338" s="1022"/>
      <c r="C338" s="1022"/>
      <c r="D338" s="1022"/>
      <c r="E338" s="1022"/>
      <c r="F338" s="1022"/>
      <c r="G338" s="1022"/>
      <c r="V338" s="1022"/>
      <c r="W338" s="1022"/>
      <c r="X338" s="981"/>
      <c r="Y338" s="981"/>
      <c r="Z338" s="981"/>
    </row>
    <row r="339" spans="1:26">
      <c r="A339" s="981"/>
      <c r="B339" s="1022"/>
      <c r="C339" s="1022"/>
      <c r="D339" s="1022"/>
      <c r="E339" s="1022"/>
      <c r="F339" s="1022"/>
      <c r="G339" s="1022"/>
      <c r="V339" s="1022"/>
      <c r="W339" s="1022"/>
      <c r="X339" s="981"/>
      <c r="Y339" s="981"/>
      <c r="Z339" s="981"/>
    </row>
    <row r="340" spans="1:26">
      <c r="A340" s="981"/>
      <c r="B340" s="1022"/>
      <c r="C340" s="1022"/>
      <c r="D340" s="1022"/>
      <c r="E340" s="1022"/>
      <c r="F340" s="1022"/>
      <c r="G340" s="1022"/>
      <c r="V340" s="1022"/>
      <c r="W340" s="1022"/>
      <c r="X340" s="981"/>
      <c r="Y340" s="981"/>
      <c r="Z340" s="981"/>
    </row>
    <row r="341" spans="1:26">
      <c r="A341" s="981"/>
      <c r="B341" s="1022"/>
      <c r="C341" s="1022"/>
      <c r="D341" s="1022"/>
      <c r="E341" s="1022"/>
      <c r="F341" s="1022"/>
      <c r="G341" s="1022"/>
      <c r="V341" s="1022"/>
      <c r="W341" s="1022"/>
      <c r="X341" s="981"/>
      <c r="Y341" s="981"/>
      <c r="Z341" s="981"/>
    </row>
    <row r="342" spans="1:26">
      <c r="A342" s="981"/>
      <c r="B342" s="1022"/>
      <c r="C342" s="1022"/>
      <c r="D342" s="1022"/>
      <c r="E342" s="1022"/>
      <c r="F342" s="1022"/>
      <c r="G342" s="1022"/>
      <c r="V342" s="1022"/>
      <c r="W342" s="1022"/>
      <c r="X342" s="981"/>
      <c r="Y342" s="981"/>
      <c r="Z342" s="981"/>
    </row>
    <row r="343" spans="1:26">
      <c r="A343" s="981"/>
      <c r="B343" s="1022"/>
      <c r="C343" s="1022"/>
      <c r="D343" s="1022"/>
      <c r="E343" s="1022"/>
      <c r="F343" s="1022"/>
      <c r="G343" s="1022"/>
      <c r="V343" s="1022"/>
      <c r="W343" s="1022"/>
      <c r="X343" s="981"/>
      <c r="Y343" s="981"/>
      <c r="Z343" s="981"/>
    </row>
    <row r="344" spans="1:26">
      <c r="A344" s="981"/>
      <c r="B344" s="1022"/>
      <c r="C344" s="1022"/>
      <c r="D344" s="1022"/>
      <c r="E344" s="1022"/>
      <c r="F344" s="1022"/>
      <c r="G344" s="1022"/>
      <c r="V344" s="1022"/>
      <c r="W344" s="1022"/>
      <c r="X344" s="981"/>
      <c r="Y344" s="981"/>
      <c r="Z344" s="981"/>
    </row>
    <row r="345" spans="1:26">
      <c r="A345" s="981"/>
      <c r="B345" s="1022"/>
      <c r="C345" s="1022"/>
      <c r="D345" s="1022"/>
      <c r="E345" s="1022"/>
      <c r="F345" s="1022"/>
      <c r="G345" s="1022"/>
      <c r="V345" s="1022"/>
      <c r="W345" s="1022"/>
      <c r="X345" s="981"/>
      <c r="Y345" s="981"/>
      <c r="Z345" s="981"/>
    </row>
    <row r="346" spans="1:26">
      <c r="A346" s="981"/>
      <c r="B346" s="1022"/>
      <c r="C346" s="1022"/>
      <c r="D346" s="1022"/>
      <c r="E346" s="1022"/>
      <c r="F346" s="1022"/>
      <c r="G346" s="1022"/>
      <c r="V346" s="1022"/>
      <c r="W346" s="1022"/>
      <c r="X346" s="981"/>
      <c r="Y346" s="981"/>
      <c r="Z346" s="981"/>
    </row>
    <row r="347" spans="1:26">
      <c r="A347" s="981"/>
      <c r="B347" s="1022"/>
      <c r="C347" s="1022"/>
      <c r="D347" s="1022"/>
      <c r="E347" s="1022"/>
      <c r="F347" s="1022"/>
      <c r="G347" s="1022"/>
      <c r="V347" s="1022"/>
      <c r="W347" s="1022"/>
      <c r="X347" s="981"/>
      <c r="Y347" s="981"/>
      <c r="Z347" s="981"/>
    </row>
    <row r="348" spans="1:26">
      <c r="A348" s="981"/>
      <c r="B348" s="1022"/>
      <c r="C348" s="1022"/>
      <c r="D348" s="1022"/>
      <c r="E348" s="1022"/>
      <c r="F348" s="1022"/>
      <c r="G348" s="1022"/>
      <c r="V348" s="1022"/>
      <c r="W348" s="1022"/>
      <c r="X348" s="981"/>
      <c r="Y348" s="981"/>
      <c r="Z348" s="981"/>
    </row>
    <row r="349" spans="1:26">
      <c r="A349" s="981"/>
      <c r="B349" s="1022"/>
      <c r="C349" s="1022"/>
      <c r="D349" s="1022"/>
      <c r="E349" s="1022"/>
      <c r="F349" s="1022"/>
      <c r="G349" s="1022"/>
      <c r="V349" s="1022"/>
      <c r="W349" s="1022"/>
      <c r="X349" s="981"/>
      <c r="Y349" s="981"/>
      <c r="Z349" s="981"/>
    </row>
    <row r="350" spans="1:26">
      <c r="A350" s="981"/>
      <c r="B350" s="1022"/>
      <c r="C350" s="1022"/>
      <c r="D350" s="1022"/>
      <c r="E350" s="1022"/>
      <c r="F350" s="1022"/>
      <c r="G350" s="1022"/>
      <c r="V350" s="1022"/>
      <c r="W350" s="1022"/>
      <c r="X350" s="981"/>
      <c r="Y350" s="981"/>
      <c r="Z350" s="981"/>
    </row>
    <row r="351" spans="1:26">
      <c r="A351" s="981"/>
      <c r="B351" s="1022"/>
      <c r="C351" s="1022"/>
      <c r="D351" s="1022"/>
      <c r="E351" s="1022"/>
      <c r="F351" s="1022"/>
      <c r="G351" s="1022"/>
      <c r="V351" s="1022"/>
      <c r="W351" s="1022"/>
      <c r="X351" s="981"/>
      <c r="Y351" s="981"/>
      <c r="Z351" s="981"/>
    </row>
    <row r="352" spans="1:26">
      <c r="A352" s="981"/>
      <c r="B352" s="1022"/>
      <c r="C352" s="1022"/>
      <c r="D352" s="1022"/>
      <c r="E352" s="1022"/>
      <c r="F352" s="1022"/>
      <c r="G352" s="1022"/>
      <c r="V352" s="1022"/>
      <c r="W352" s="1022"/>
      <c r="X352" s="981"/>
      <c r="Y352" s="981"/>
      <c r="Z352" s="981"/>
    </row>
    <row r="353" spans="1:26">
      <c r="B353" s="1022"/>
      <c r="C353" s="1022"/>
      <c r="D353" s="1022"/>
      <c r="E353" s="1022"/>
      <c r="F353" s="1022"/>
      <c r="G353" s="1022"/>
      <c r="V353" s="1022"/>
      <c r="W353" s="1022"/>
    </row>
    <row r="354" spans="1:26" ht="13.5" thickBot="1">
      <c r="B354" s="1022"/>
      <c r="C354" s="1022"/>
      <c r="D354" s="1022"/>
      <c r="E354" s="1022"/>
      <c r="F354" s="1022"/>
      <c r="G354" s="1022"/>
      <c r="V354" s="1022"/>
      <c r="W354" s="1022"/>
    </row>
    <row r="355" spans="1:26">
      <c r="A355" s="1032"/>
      <c r="B355" s="1033"/>
      <c r="C355" s="1033"/>
      <c r="D355" s="1034"/>
      <c r="E355" s="1034"/>
      <c r="F355" s="1034"/>
      <c r="G355" s="1034"/>
      <c r="H355" s="1034"/>
      <c r="I355" s="1034"/>
      <c r="J355" s="1034"/>
      <c r="K355" s="1034"/>
      <c r="L355" s="1035"/>
      <c r="M355" s="1034"/>
      <c r="N355" s="1034"/>
      <c r="O355" s="1034"/>
      <c r="P355" s="1034"/>
      <c r="Q355" s="1034"/>
      <c r="R355" s="1034"/>
      <c r="S355" s="1034"/>
      <c r="T355" s="1034"/>
      <c r="U355" s="1034"/>
      <c r="V355" s="1034"/>
      <c r="W355" s="1034"/>
      <c r="X355" s="1036"/>
      <c r="Y355" s="1037"/>
      <c r="Z355" s="1037"/>
    </row>
    <row r="356" spans="1:26">
      <c r="A356" s="1038"/>
      <c r="B356" s="1022"/>
      <c r="C356" s="1022"/>
      <c r="D356" s="1022"/>
      <c r="E356" s="1022"/>
      <c r="F356" s="1022"/>
      <c r="G356" s="1022"/>
      <c r="V356" s="1022"/>
      <c r="W356" s="1022"/>
      <c r="X356" s="1039"/>
      <c r="Y356" s="1040"/>
      <c r="Z356" s="1040"/>
    </row>
    <row r="357" spans="1:26">
      <c r="A357" s="1038"/>
      <c r="B357" s="1022"/>
      <c r="C357" s="1022"/>
      <c r="D357" s="1022"/>
      <c r="E357" s="1022"/>
      <c r="F357" s="1022"/>
      <c r="G357" s="1022"/>
      <c r="V357" s="1022"/>
      <c r="W357" s="1022"/>
      <c r="X357" s="1039"/>
      <c r="Y357" s="1040"/>
      <c r="Z357" s="1040"/>
    </row>
    <row r="358" spans="1:26">
      <c r="A358" s="1038"/>
      <c r="B358" s="1022"/>
      <c r="C358" s="1022"/>
      <c r="D358" s="1022"/>
      <c r="E358" s="1022"/>
      <c r="F358" s="1022"/>
      <c r="G358" s="1022"/>
      <c r="V358" s="1022"/>
      <c r="W358" s="1022"/>
      <c r="X358" s="1039"/>
      <c r="Y358" s="1040"/>
      <c r="Z358" s="1040"/>
    </row>
    <row r="359" spans="1:26">
      <c r="A359" s="1038"/>
      <c r="B359" s="1022"/>
      <c r="C359" s="1022"/>
      <c r="D359" s="1022"/>
      <c r="E359" s="1022"/>
      <c r="F359" s="1022"/>
      <c r="G359" s="1022"/>
      <c r="V359" s="1022"/>
      <c r="W359" s="1022"/>
      <c r="X359" s="1039"/>
      <c r="Y359" s="1040"/>
      <c r="Z359" s="1040"/>
    </row>
    <row r="360" spans="1:26">
      <c r="A360" s="1038"/>
      <c r="B360" s="1022"/>
      <c r="C360" s="1022"/>
      <c r="D360" s="1022"/>
      <c r="E360" s="1022"/>
      <c r="F360" s="1022"/>
      <c r="G360" s="1022"/>
      <c r="V360" s="1022"/>
      <c r="W360" s="1022"/>
      <c r="X360" s="1039"/>
      <c r="Y360" s="1040"/>
      <c r="Z360" s="1040"/>
    </row>
    <row r="361" spans="1:26">
      <c r="A361" s="1038"/>
      <c r="B361" s="1022"/>
      <c r="C361" s="1022"/>
      <c r="D361" s="1022"/>
      <c r="E361" s="1022"/>
      <c r="F361" s="1022"/>
      <c r="G361" s="1022"/>
      <c r="V361" s="1022"/>
      <c r="W361" s="1022"/>
      <c r="X361" s="1039"/>
      <c r="Y361" s="1040"/>
      <c r="Z361" s="1040"/>
    </row>
    <row r="362" spans="1:26">
      <c r="A362" s="1038"/>
      <c r="B362" s="1022"/>
      <c r="C362" s="1022"/>
      <c r="D362" s="1022"/>
      <c r="E362" s="1022"/>
      <c r="F362" s="1022"/>
      <c r="G362" s="1022"/>
      <c r="V362" s="1022"/>
      <c r="W362" s="1022"/>
      <c r="X362" s="1039"/>
      <c r="Y362" s="1040"/>
      <c r="Z362" s="1040"/>
    </row>
    <row r="363" spans="1:26">
      <c r="A363" s="1038"/>
      <c r="B363" s="1022"/>
      <c r="C363" s="1022"/>
      <c r="D363" s="1022"/>
      <c r="E363" s="1022"/>
      <c r="F363" s="1022"/>
      <c r="G363" s="1022"/>
      <c r="V363" s="1022"/>
      <c r="W363" s="1022"/>
      <c r="X363" s="1039"/>
      <c r="Y363" s="1040"/>
      <c r="Z363" s="1040"/>
    </row>
    <row r="364" spans="1:26">
      <c r="A364" s="1038"/>
      <c r="B364" s="1022"/>
      <c r="C364" s="1022"/>
      <c r="D364" s="1022"/>
      <c r="E364" s="1022"/>
      <c r="F364" s="1022"/>
      <c r="G364" s="1022"/>
      <c r="V364" s="1022"/>
      <c r="W364" s="1022"/>
      <c r="X364" s="1039"/>
      <c r="Y364" s="1040"/>
      <c r="Z364" s="1040"/>
    </row>
    <row r="365" spans="1:26">
      <c r="A365" s="1038"/>
      <c r="B365" s="1022"/>
      <c r="C365" s="1022"/>
      <c r="D365" s="1022"/>
      <c r="E365" s="1022"/>
      <c r="F365" s="1022"/>
      <c r="G365" s="1022"/>
      <c r="V365" s="1022"/>
      <c r="W365" s="1022"/>
      <c r="X365" s="1039"/>
      <c r="Y365" s="1040"/>
      <c r="Z365" s="1040"/>
    </row>
    <row r="366" spans="1:26" ht="13.5" thickBot="1">
      <c r="A366" s="1041"/>
      <c r="B366" s="1042"/>
      <c r="C366" s="1042"/>
      <c r="D366" s="1042"/>
      <c r="E366" s="1042"/>
      <c r="F366" s="1042"/>
      <c r="G366" s="1042"/>
      <c r="H366" s="1042"/>
      <c r="I366" s="1042"/>
      <c r="J366" s="1042"/>
      <c r="K366" s="1042"/>
      <c r="L366" s="1043"/>
      <c r="M366" s="1042"/>
      <c r="N366" s="1042"/>
      <c r="O366" s="1042"/>
      <c r="P366" s="1042"/>
      <c r="Q366" s="1042"/>
      <c r="R366" s="1042"/>
      <c r="S366" s="1042"/>
      <c r="T366" s="1042"/>
      <c r="U366" s="1042"/>
      <c r="V366" s="1042"/>
      <c r="W366" s="1042"/>
      <c r="X366" s="1044"/>
      <c r="Y366" s="1045"/>
      <c r="Z366" s="1045"/>
    </row>
    <row r="367" spans="1:26">
      <c r="B367" s="1022"/>
      <c r="C367" s="1022"/>
      <c r="D367" s="1022"/>
      <c r="E367" s="1022"/>
      <c r="F367" s="1022"/>
      <c r="G367" s="1022"/>
      <c r="V367" s="1022"/>
      <c r="W367" s="1022"/>
    </row>
    <row r="368" spans="1:26">
      <c r="B368" s="1022"/>
      <c r="C368" s="1022"/>
      <c r="D368" s="1022"/>
      <c r="E368" s="1022"/>
      <c r="F368" s="1022"/>
      <c r="G368" s="1022"/>
      <c r="V368" s="1022"/>
      <c r="W368" s="1022"/>
    </row>
    <row r="369" spans="1:26">
      <c r="A369" s="981"/>
      <c r="B369" s="1022"/>
      <c r="C369" s="1022"/>
      <c r="D369" s="1022"/>
      <c r="E369" s="1022"/>
      <c r="F369" s="1022"/>
      <c r="G369" s="1022"/>
      <c r="V369" s="1022"/>
      <c r="W369" s="1022"/>
      <c r="X369" s="981"/>
      <c r="Y369" s="981"/>
      <c r="Z369" s="981"/>
    </row>
    <row r="370" spans="1:26">
      <c r="A370" s="981"/>
      <c r="B370" s="1022"/>
      <c r="C370" s="1022"/>
      <c r="D370" s="1022"/>
      <c r="E370" s="1022"/>
      <c r="F370" s="1022"/>
      <c r="G370" s="1022"/>
      <c r="V370" s="1022"/>
      <c r="W370" s="1022"/>
      <c r="X370" s="981"/>
      <c r="Y370" s="981"/>
      <c r="Z370" s="981"/>
    </row>
    <row r="371" spans="1:26">
      <c r="A371" s="981"/>
      <c r="B371" s="1022"/>
      <c r="C371" s="1022"/>
      <c r="D371" s="1022"/>
      <c r="E371" s="1022"/>
      <c r="F371" s="1022"/>
      <c r="G371" s="1022"/>
      <c r="V371" s="1022"/>
      <c r="W371" s="1022"/>
      <c r="X371" s="981"/>
      <c r="Y371" s="981"/>
      <c r="Z371" s="981"/>
    </row>
    <row r="372" spans="1:26">
      <c r="A372" s="981"/>
      <c r="B372" s="1022"/>
      <c r="C372" s="1022"/>
      <c r="D372" s="1022"/>
      <c r="E372" s="1022"/>
      <c r="F372" s="1022"/>
      <c r="G372" s="1022"/>
      <c r="V372" s="1022"/>
      <c r="W372" s="1022"/>
      <c r="X372" s="981"/>
      <c r="Y372" s="981"/>
      <c r="Z372" s="981"/>
    </row>
    <row r="373" spans="1:26">
      <c r="A373" s="981"/>
      <c r="B373" s="1022"/>
      <c r="C373" s="1022"/>
      <c r="D373" s="1022"/>
      <c r="E373" s="1022"/>
      <c r="F373" s="1022"/>
      <c r="G373" s="1022"/>
      <c r="V373" s="1022"/>
      <c r="W373" s="1022"/>
      <c r="X373" s="981"/>
      <c r="Y373" s="981"/>
      <c r="Z373" s="981"/>
    </row>
    <row r="374" spans="1:26">
      <c r="A374" s="981"/>
      <c r="B374" s="1022"/>
      <c r="C374" s="1022"/>
      <c r="D374" s="1022"/>
      <c r="E374" s="1022"/>
      <c r="F374" s="1022"/>
      <c r="G374" s="1022"/>
      <c r="V374" s="1022"/>
      <c r="W374" s="1022"/>
      <c r="X374" s="981"/>
      <c r="Y374" s="981"/>
      <c r="Z374" s="981"/>
    </row>
    <row r="375" spans="1:26">
      <c r="A375" s="981"/>
      <c r="B375" s="1022"/>
      <c r="C375" s="1022"/>
      <c r="D375" s="1022"/>
      <c r="E375" s="1022"/>
      <c r="F375" s="1022"/>
      <c r="G375" s="1022"/>
      <c r="V375" s="1022"/>
      <c r="W375" s="1022"/>
      <c r="X375" s="981"/>
      <c r="Y375" s="981"/>
      <c r="Z375" s="981"/>
    </row>
    <row r="376" spans="1:26">
      <c r="A376" s="981"/>
      <c r="B376" s="1022"/>
      <c r="C376" s="1022"/>
      <c r="D376" s="1022"/>
      <c r="E376" s="1022"/>
      <c r="F376" s="1022"/>
      <c r="G376" s="1022"/>
      <c r="V376" s="1022"/>
      <c r="W376" s="1022"/>
      <c r="X376" s="981"/>
      <c r="Y376" s="981"/>
      <c r="Z376" s="981"/>
    </row>
    <row r="377" spans="1:26">
      <c r="A377" s="981"/>
      <c r="B377" s="1022"/>
      <c r="C377" s="1022"/>
      <c r="D377" s="1022"/>
      <c r="E377" s="1022"/>
      <c r="F377" s="1022"/>
      <c r="G377" s="1022"/>
      <c r="V377" s="1022"/>
      <c r="W377" s="1022"/>
      <c r="X377" s="981"/>
      <c r="Y377" s="981"/>
      <c r="Z377" s="981"/>
    </row>
    <row r="378" spans="1:26">
      <c r="A378" s="981"/>
      <c r="B378" s="1022"/>
      <c r="C378" s="1022"/>
      <c r="D378" s="1022"/>
      <c r="E378" s="1022"/>
      <c r="F378" s="1022"/>
      <c r="G378" s="1022"/>
      <c r="V378" s="1022"/>
      <c r="W378" s="1022"/>
      <c r="X378" s="981"/>
      <c r="Y378" s="981"/>
      <c r="Z378" s="981"/>
    </row>
    <row r="379" spans="1:26">
      <c r="A379" s="981"/>
      <c r="B379" s="1022"/>
      <c r="C379" s="1022"/>
      <c r="D379" s="1022"/>
      <c r="E379" s="1022"/>
      <c r="F379" s="1022"/>
      <c r="G379" s="1022"/>
      <c r="V379" s="1022"/>
      <c r="W379" s="1022"/>
      <c r="X379" s="981"/>
      <c r="Y379" s="981"/>
      <c r="Z379" s="981"/>
    </row>
    <row r="380" spans="1:26">
      <c r="A380" s="981"/>
      <c r="B380" s="1022"/>
      <c r="C380" s="1022"/>
      <c r="D380" s="1022"/>
      <c r="E380" s="1022"/>
      <c r="F380" s="1022"/>
      <c r="G380" s="1022"/>
      <c r="V380" s="1022"/>
      <c r="W380" s="1022"/>
      <c r="X380" s="981"/>
      <c r="Y380" s="981"/>
      <c r="Z380" s="981"/>
    </row>
    <row r="381" spans="1:26">
      <c r="A381" s="981"/>
      <c r="B381" s="1022"/>
      <c r="C381" s="1022"/>
      <c r="D381" s="1022"/>
      <c r="E381" s="1022"/>
      <c r="F381" s="1022"/>
      <c r="G381" s="1022"/>
      <c r="V381" s="1022"/>
      <c r="W381" s="1022"/>
      <c r="X381" s="981"/>
      <c r="Y381" s="981"/>
      <c r="Z381" s="981"/>
    </row>
    <row r="382" spans="1:26">
      <c r="A382" s="981"/>
      <c r="B382" s="1022"/>
      <c r="C382" s="1022"/>
      <c r="D382" s="1022"/>
      <c r="E382" s="1022"/>
      <c r="F382" s="1022"/>
      <c r="G382" s="1022"/>
      <c r="V382" s="1022"/>
      <c r="W382" s="1022"/>
      <c r="X382" s="981"/>
      <c r="Y382" s="981"/>
      <c r="Z382" s="981"/>
    </row>
    <row r="383" spans="1:26">
      <c r="A383" s="981"/>
      <c r="B383" s="1022"/>
      <c r="C383" s="1022"/>
      <c r="D383" s="1022"/>
      <c r="E383" s="1022"/>
      <c r="F383" s="1022"/>
      <c r="G383" s="1022"/>
      <c r="V383" s="1022"/>
      <c r="W383" s="1022"/>
      <c r="X383" s="981"/>
      <c r="Y383" s="981"/>
      <c r="Z383" s="981"/>
    </row>
    <row r="384" spans="1:26">
      <c r="A384" s="981"/>
      <c r="B384" s="1022"/>
      <c r="C384" s="1022"/>
      <c r="D384" s="1022"/>
      <c r="E384" s="1022"/>
      <c r="F384" s="1022"/>
      <c r="G384" s="1022"/>
      <c r="V384" s="1022"/>
      <c r="W384" s="1022"/>
      <c r="X384" s="981"/>
      <c r="Y384" s="981"/>
      <c r="Z384" s="981"/>
    </row>
    <row r="385" spans="1:26">
      <c r="A385" s="981"/>
      <c r="B385" s="1022"/>
      <c r="C385" s="1022"/>
      <c r="D385" s="1022"/>
      <c r="E385" s="1022"/>
      <c r="F385" s="1022"/>
      <c r="G385" s="1022"/>
      <c r="V385" s="1022"/>
      <c r="W385" s="1022"/>
      <c r="X385" s="981"/>
      <c r="Y385" s="981"/>
      <c r="Z385" s="981"/>
    </row>
    <row r="386" spans="1:26">
      <c r="A386" s="981"/>
      <c r="B386" s="1022"/>
      <c r="C386" s="1022"/>
      <c r="D386" s="1022"/>
      <c r="E386" s="1022"/>
      <c r="F386" s="1022"/>
      <c r="G386" s="1022"/>
      <c r="V386" s="1022"/>
      <c r="W386" s="1022"/>
      <c r="X386" s="981"/>
      <c r="Y386" s="981"/>
      <c r="Z386" s="981"/>
    </row>
    <row r="387" spans="1:26">
      <c r="A387" s="981"/>
      <c r="B387" s="1022"/>
      <c r="C387" s="1022"/>
      <c r="D387" s="1022"/>
      <c r="E387" s="1022"/>
      <c r="F387" s="1022"/>
      <c r="G387" s="1022"/>
      <c r="V387" s="1022"/>
      <c r="W387" s="1022"/>
      <c r="X387" s="981"/>
      <c r="Y387" s="981"/>
      <c r="Z387" s="981"/>
    </row>
    <row r="388" spans="1:26">
      <c r="A388" s="981"/>
      <c r="B388" s="1022"/>
      <c r="C388" s="1022"/>
      <c r="D388" s="1022"/>
      <c r="E388" s="1022"/>
      <c r="F388" s="1022"/>
      <c r="G388" s="1022"/>
      <c r="V388" s="1022"/>
      <c r="W388" s="1022"/>
      <c r="X388" s="981"/>
      <c r="Y388" s="981"/>
      <c r="Z388" s="981"/>
    </row>
    <row r="389" spans="1:26">
      <c r="A389" s="981"/>
      <c r="B389" s="1022"/>
      <c r="C389" s="1022"/>
      <c r="D389" s="1022"/>
      <c r="E389" s="1022"/>
      <c r="F389" s="1022"/>
      <c r="G389" s="1022"/>
      <c r="V389" s="1022"/>
      <c r="W389" s="1022"/>
      <c r="X389" s="981"/>
      <c r="Y389" s="981"/>
      <c r="Z389" s="981"/>
    </row>
    <row r="390" spans="1:26">
      <c r="A390" s="981"/>
      <c r="B390" s="1022"/>
      <c r="C390" s="1022"/>
      <c r="D390" s="1022"/>
      <c r="E390" s="1022"/>
      <c r="F390" s="1022"/>
      <c r="G390" s="1022"/>
      <c r="V390" s="1022"/>
      <c r="W390" s="1022"/>
      <c r="X390" s="981"/>
      <c r="Y390" s="981"/>
      <c r="Z390" s="981"/>
    </row>
    <row r="391" spans="1:26">
      <c r="A391" s="981"/>
      <c r="B391" s="1022"/>
      <c r="C391" s="1022"/>
      <c r="D391" s="1022"/>
      <c r="E391" s="1022"/>
      <c r="F391" s="1022"/>
      <c r="G391" s="1022"/>
      <c r="V391" s="1022"/>
      <c r="W391" s="1022"/>
      <c r="X391" s="981"/>
      <c r="Y391" s="981"/>
      <c r="Z391" s="981"/>
    </row>
    <row r="392" spans="1:26">
      <c r="A392" s="981"/>
      <c r="B392" s="1022"/>
      <c r="C392" s="1022"/>
      <c r="D392" s="1022"/>
      <c r="E392" s="1022"/>
      <c r="F392" s="1022"/>
      <c r="G392" s="1022"/>
      <c r="V392" s="1022"/>
      <c r="W392" s="1022"/>
      <c r="X392" s="981"/>
      <c r="Y392" s="981"/>
      <c r="Z392" s="981"/>
    </row>
    <row r="393" spans="1:26">
      <c r="A393" s="981"/>
      <c r="B393" s="1022"/>
      <c r="C393" s="1022"/>
      <c r="D393" s="1022"/>
      <c r="E393" s="1022"/>
      <c r="F393" s="1022"/>
      <c r="G393" s="1022"/>
      <c r="V393" s="1022"/>
      <c r="W393" s="1022"/>
      <c r="X393" s="981"/>
      <c r="Y393" s="981"/>
      <c r="Z393" s="981"/>
    </row>
    <row r="394" spans="1:26">
      <c r="A394" s="981"/>
      <c r="B394" s="1022"/>
      <c r="C394" s="1022"/>
      <c r="D394" s="1022"/>
      <c r="E394" s="1022"/>
      <c r="F394" s="1022"/>
      <c r="G394" s="1022"/>
      <c r="V394" s="1022"/>
      <c r="W394" s="1022"/>
      <c r="X394" s="981"/>
      <c r="Y394" s="981"/>
      <c r="Z394" s="981"/>
    </row>
    <row r="395" spans="1:26">
      <c r="A395" s="981"/>
      <c r="B395" s="1022"/>
      <c r="C395" s="1022"/>
      <c r="D395" s="1022"/>
      <c r="E395" s="1022"/>
      <c r="F395" s="1022"/>
      <c r="G395" s="1022"/>
      <c r="V395" s="1022"/>
      <c r="W395" s="1022"/>
      <c r="X395" s="981"/>
      <c r="Y395" s="981"/>
      <c r="Z395" s="981"/>
    </row>
    <row r="396" spans="1:26">
      <c r="A396" s="981"/>
      <c r="B396" s="1022"/>
      <c r="C396" s="1022"/>
      <c r="D396" s="1022"/>
      <c r="E396" s="1022"/>
      <c r="F396" s="1022"/>
      <c r="G396" s="1022"/>
      <c r="V396" s="1022"/>
      <c r="W396" s="1022"/>
      <c r="X396" s="981"/>
      <c r="Y396" s="981"/>
      <c r="Z396" s="981"/>
    </row>
    <row r="397" spans="1:26">
      <c r="A397" s="981"/>
      <c r="B397" s="1022"/>
      <c r="C397" s="1022"/>
      <c r="D397" s="1022"/>
      <c r="E397" s="1022"/>
      <c r="F397" s="1022"/>
      <c r="G397" s="1022"/>
      <c r="V397" s="1022"/>
      <c r="W397" s="1022"/>
      <c r="X397" s="981"/>
      <c r="Y397" s="981"/>
      <c r="Z397" s="981"/>
    </row>
    <row r="398" spans="1:26">
      <c r="A398" s="981"/>
      <c r="B398" s="1022"/>
      <c r="C398" s="1022"/>
      <c r="D398" s="1022"/>
      <c r="E398" s="1022"/>
      <c r="F398" s="1022"/>
      <c r="G398" s="1022"/>
      <c r="V398" s="1022"/>
      <c r="W398" s="1022"/>
      <c r="X398" s="981"/>
      <c r="Y398" s="981"/>
      <c r="Z398" s="981"/>
    </row>
    <row r="399" spans="1:26">
      <c r="A399" s="981"/>
      <c r="B399" s="1022"/>
      <c r="C399" s="1022"/>
      <c r="D399" s="1022"/>
      <c r="E399" s="1022"/>
      <c r="F399" s="1022"/>
      <c r="G399" s="1022"/>
      <c r="V399" s="1022"/>
      <c r="W399" s="1022"/>
      <c r="X399" s="981"/>
      <c r="Y399" s="981"/>
      <c r="Z399" s="981"/>
    </row>
    <row r="400" spans="1:26">
      <c r="A400" s="981"/>
      <c r="B400" s="1022"/>
      <c r="C400" s="1022"/>
      <c r="D400" s="1022"/>
      <c r="E400" s="1022"/>
      <c r="F400" s="1022"/>
      <c r="G400" s="1022"/>
      <c r="V400" s="1022"/>
      <c r="W400" s="1022"/>
      <c r="X400" s="981"/>
      <c r="Y400" s="981"/>
      <c r="Z400" s="981"/>
    </row>
    <row r="401" spans="1:26">
      <c r="A401" s="981"/>
      <c r="B401" s="1022"/>
      <c r="C401" s="1022"/>
      <c r="D401" s="1022"/>
      <c r="E401" s="1022"/>
      <c r="F401" s="1022"/>
      <c r="G401" s="1022"/>
      <c r="V401" s="1022"/>
      <c r="W401" s="1022"/>
      <c r="X401" s="981"/>
      <c r="Y401" s="981"/>
      <c r="Z401" s="981"/>
    </row>
    <row r="402" spans="1:26">
      <c r="A402" s="981"/>
      <c r="B402" s="1022"/>
      <c r="C402" s="1022"/>
      <c r="D402" s="1022"/>
      <c r="E402" s="1022"/>
      <c r="F402" s="1022"/>
      <c r="G402" s="1022"/>
      <c r="V402" s="1022"/>
      <c r="W402" s="1022"/>
      <c r="X402" s="981"/>
      <c r="Y402" s="981"/>
      <c r="Z402" s="981"/>
    </row>
    <row r="403" spans="1:26">
      <c r="A403" s="981"/>
      <c r="B403" s="1022"/>
      <c r="C403" s="1022"/>
      <c r="D403" s="1022"/>
      <c r="E403" s="1022"/>
      <c r="F403" s="1022"/>
      <c r="G403" s="1022"/>
      <c r="V403" s="1022"/>
      <c r="W403" s="1022"/>
      <c r="X403" s="981"/>
      <c r="Y403" s="981"/>
      <c r="Z403" s="981"/>
    </row>
    <row r="404" spans="1:26">
      <c r="A404" s="981"/>
      <c r="B404" s="1022"/>
      <c r="C404" s="1022"/>
      <c r="D404" s="1022"/>
      <c r="E404" s="1022"/>
      <c r="F404" s="1022"/>
      <c r="G404" s="1022"/>
      <c r="V404" s="1022"/>
      <c r="W404" s="1022"/>
      <c r="X404" s="981"/>
      <c r="Y404" s="981"/>
      <c r="Z404" s="981"/>
    </row>
    <row r="405" spans="1:26">
      <c r="A405" s="981"/>
      <c r="B405" s="1022"/>
      <c r="C405" s="1022"/>
      <c r="D405" s="1022"/>
      <c r="E405" s="1022"/>
      <c r="F405" s="1022"/>
      <c r="G405" s="1022"/>
      <c r="V405" s="1022"/>
      <c r="W405" s="1022"/>
      <c r="X405" s="981"/>
      <c r="Y405" s="981"/>
      <c r="Z405" s="981"/>
    </row>
    <row r="406" spans="1:26">
      <c r="A406" s="981"/>
      <c r="B406" s="1022"/>
      <c r="C406" s="1022"/>
      <c r="D406" s="1022"/>
      <c r="E406" s="1022"/>
      <c r="F406" s="1022"/>
      <c r="G406" s="1022"/>
      <c r="V406" s="1022"/>
      <c r="W406" s="1022"/>
      <c r="X406" s="981"/>
      <c r="Y406" s="981"/>
      <c r="Z406" s="981"/>
    </row>
    <row r="407" spans="1:26">
      <c r="A407" s="981"/>
      <c r="B407" s="1022"/>
      <c r="C407" s="1022"/>
      <c r="D407" s="1022"/>
      <c r="E407" s="1022"/>
      <c r="F407" s="1022"/>
      <c r="G407" s="1022"/>
      <c r="V407" s="1022"/>
      <c r="W407" s="1022"/>
      <c r="X407" s="981"/>
      <c r="Y407" s="981"/>
      <c r="Z407" s="981"/>
    </row>
    <row r="408" spans="1:26">
      <c r="A408" s="981"/>
      <c r="B408" s="1022"/>
      <c r="C408" s="1022"/>
      <c r="D408" s="1022"/>
      <c r="E408" s="1022"/>
      <c r="F408" s="1022"/>
      <c r="G408" s="1022"/>
      <c r="V408" s="1022"/>
      <c r="W408" s="1022"/>
      <c r="X408" s="981"/>
      <c r="Y408" s="981"/>
      <c r="Z408" s="981"/>
    </row>
    <row r="409" spans="1:26">
      <c r="A409" s="981"/>
      <c r="B409" s="1022"/>
      <c r="C409" s="1022"/>
      <c r="D409" s="1022"/>
      <c r="E409" s="1022"/>
      <c r="F409" s="1022"/>
      <c r="G409" s="1022"/>
      <c r="V409" s="1022"/>
      <c r="W409" s="1022"/>
      <c r="X409" s="981"/>
      <c r="Y409" s="981"/>
      <c r="Z409" s="981"/>
    </row>
    <row r="410" spans="1:26">
      <c r="A410" s="981"/>
      <c r="B410" s="1022"/>
      <c r="C410" s="1022"/>
      <c r="D410" s="1022"/>
      <c r="E410" s="1022"/>
      <c r="F410" s="1022"/>
      <c r="G410" s="1022"/>
      <c r="V410" s="1022"/>
      <c r="W410" s="1022"/>
      <c r="X410" s="981"/>
      <c r="Y410" s="981"/>
      <c r="Z410" s="981"/>
    </row>
    <row r="411" spans="1:26">
      <c r="A411" s="981"/>
      <c r="B411" s="1022"/>
      <c r="C411" s="1022"/>
      <c r="D411" s="1022"/>
      <c r="E411" s="1022"/>
      <c r="F411" s="1022"/>
      <c r="G411" s="1022"/>
      <c r="V411" s="1022"/>
      <c r="W411" s="1022"/>
      <c r="X411" s="981"/>
      <c r="Y411" s="981"/>
      <c r="Z411" s="981"/>
    </row>
    <row r="412" spans="1:26">
      <c r="A412" s="981"/>
      <c r="B412" s="1022"/>
      <c r="C412" s="1022"/>
      <c r="D412" s="1022"/>
      <c r="E412" s="1022"/>
      <c r="F412" s="1022"/>
      <c r="G412" s="1022"/>
      <c r="V412" s="1022"/>
      <c r="W412" s="1022"/>
      <c r="X412" s="981"/>
      <c r="Y412" s="981"/>
      <c r="Z412" s="981"/>
    </row>
    <row r="413" spans="1:26">
      <c r="A413" s="981"/>
      <c r="B413" s="1022"/>
      <c r="C413" s="1022"/>
      <c r="D413" s="1022"/>
      <c r="E413" s="1022"/>
      <c r="F413" s="1022"/>
      <c r="G413" s="1022"/>
      <c r="V413" s="1022"/>
      <c r="W413" s="1022"/>
      <c r="X413" s="981"/>
      <c r="Y413" s="981"/>
      <c r="Z413" s="981"/>
    </row>
    <row r="414" spans="1:26">
      <c r="A414" s="981"/>
      <c r="B414" s="1022"/>
      <c r="C414" s="1022"/>
      <c r="D414" s="1022"/>
      <c r="E414" s="1022"/>
      <c r="F414" s="1022"/>
      <c r="G414" s="1022"/>
      <c r="V414" s="1022"/>
      <c r="W414" s="1022"/>
      <c r="X414" s="981"/>
      <c r="Y414" s="981"/>
      <c r="Z414" s="981"/>
    </row>
    <row r="415" spans="1:26">
      <c r="A415" s="981"/>
      <c r="B415" s="1022"/>
      <c r="C415" s="1022"/>
      <c r="D415" s="1022"/>
      <c r="E415" s="1022"/>
      <c r="F415" s="1022"/>
      <c r="G415" s="1022"/>
      <c r="V415" s="1022"/>
      <c r="W415" s="1022"/>
      <c r="X415" s="981"/>
      <c r="Y415" s="981"/>
      <c r="Z415" s="981"/>
    </row>
    <row r="416" spans="1:26">
      <c r="A416" s="981"/>
      <c r="B416" s="1022"/>
      <c r="C416" s="1022"/>
      <c r="D416" s="1022"/>
      <c r="E416" s="1022"/>
      <c r="F416" s="1022"/>
      <c r="G416" s="1022"/>
      <c r="V416" s="1022"/>
      <c r="W416" s="1022"/>
      <c r="X416" s="981"/>
      <c r="Y416" s="981"/>
      <c r="Z416" s="981"/>
    </row>
    <row r="417" spans="1:26">
      <c r="A417" s="981"/>
      <c r="B417" s="1022"/>
      <c r="C417" s="1022"/>
      <c r="D417" s="1022"/>
      <c r="E417" s="1022"/>
      <c r="F417" s="1022"/>
      <c r="G417" s="1022"/>
      <c r="V417" s="1022"/>
      <c r="W417" s="1022"/>
      <c r="X417" s="981"/>
      <c r="Y417" s="981"/>
      <c r="Z417" s="981"/>
    </row>
    <row r="418" spans="1:26">
      <c r="A418" s="981"/>
      <c r="B418" s="1022"/>
      <c r="C418" s="1022"/>
      <c r="D418" s="1022"/>
      <c r="E418" s="1022"/>
      <c r="F418" s="1022"/>
      <c r="G418" s="1022"/>
      <c r="V418" s="1022"/>
      <c r="W418" s="1022"/>
      <c r="X418" s="981"/>
      <c r="Y418" s="981"/>
      <c r="Z418" s="981"/>
    </row>
    <row r="419" spans="1:26">
      <c r="A419" s="981"/>
      <c r="B419" s="1022"/>
      <c r="C419" s="1022"/>
      <c r="D419" s="1022"/>
      <c r="E419" s="1022"/>
      <c r="F419" s="1022"/>
      <c r="G419" s="1022"/>
      <c r="V419" s="1022"/>
      <c r="W419" s="1022"/>
      <c r="X419" s="981"/>
      <c r="Y419" s="981"/>
      <c r="Z419" s="981"/>
    </row>
    <row r="420" spans="1:26">
      <c r="A420" s="981"/>
      <c r="B420" s="1022"/>
      <c r="C420" s="1022"/>
      <c r="D420" s="1022"/>
      <c r="E420" s="1022"/>
      <c r="F420" s="1022"/>
      <c r="G420" s="1022"/>
      <c r="V420" s="1022"/>
      <c r="W420" s="1022"/>
      <c r="X420" s="981"/>
      <c r="Y420" s="981"/>
      <c r="Z420" s="981"/>
    </row>
    <row r="421" spans="1:26">
      <c r="A421" s="981"/>
      <c r="B421" s="1022"/>
      <c r="C421" s="1022"/>
      <c r="D421" s="1022"/>
      <c r="E421" s="1022"/>
      <c r="F421" s="1022"/>
      <c r="G421" s="1022"/>
      <c r="V421" s="1022"/>
      <c r="W421" s="1022"/>
      <c r="X421" s="981"/>
      <c r="Y421" s="981"/>
      <c r="Z421" s="981"/>
    </row>
    <row r="422" spans="1:26">
      <c r="A422" s="981"/>
      <c r="B422" s="1022"/>
      <c r="C422" s="1022"/>
      <c r="D422" s="1022"/>
      <c r="E422" s="1022"/>
      <c r="F422" s="1022"/>
      <c r="G422" s="1022"/>
      <c r="V422" s="1022"/>
      <c r="W422" s="1022"/>
      <c r="X422" s="981"/>
      <c r="Y422" s="981"/>
      <c r="Z422" s="981"/>
    </row>
    <row r="423" spans="1:26">
      <c r="A423" s="981"/>
      <c r="B423" s="1022"/>
      <c r="C423" s="1022"/>
      <c r="D423" s="1022"/>
      <c r="E423" s="1022"/>
      <c r="F423" s="1022"/>
      <c r="G423" s="1022"/>
      <c r="V423" s="1022"/>
      <c r="W423" s="1022"/>
      <c r="X423" s="981"/>
      <c r="Y423" s="981"/>
      <c r="Z423" s="981"/>
    </row>
    <row r="424" spans="1:26">
      <c r="A424" s="981"/>
      <c r="B424" s="1022"/>
      <c r="C424" s="1022"/>
      <c r="D424" s="1022"/>
      <c r="E424" s="1022"/>
      <c r="F424" s="1022"/>
      <c r="G424" s="1022"/>
      <c r="V424" s="1022"/>
      <c r="W424" s="1022"/>
      <c r="X424" s="981"/>
      <c r="Y424" s="981"/>
      <c r="Z424" s="981"/>
    </row>
    <row r="425" spans="1:26">
      <c r="A425" s="981"/>
      <c r="B425" s="1022"/>
      <c r="C425" s="1022"/>
      <c r="D425" s="1022"/>
      <c r="E425" s="1022"/>
      <c r="F425" s="1022"/>
      <c r="G425" s="1022"/>
      <c r="V425" s="1022"/>
      <c r="W425" s="1022"/>
      <c r="X425" s="981"/>
      <c r="Y425" s="981"/>
      <c r="Z425" s="981"/>
    </row>
    <row r="426" spans="1:26">
      <c r="A426" s="981"/>
      <c r="B426" s="1022"/>
      <c r="C426" s="1022"/>
      <c r="D426" s="1022"/>
      <c r="E426" s="1022"/>
      <c r="F426" s="1022"/>
      <c r="G426" s="1022"/>
      <c r="V426" s="1022"/>
      <c r="W426" s="1022"/>
      <c r="X426" s="981"/>
      <c r="Y426" s="981"/>
      <c r="Z426" s="981"/>
    </row>
    <row r="427" spans="1:26">
      <c r="A427" s="981"/>
      <c r="B427" s="1022"/>
      <c r="C427" s="1022"/>
      <c r="D427" s="1022"/>
      <c r="E427" s="1022"/>
      <c r="F427" s="1022"/>
      <c r="G427" s="1022"/>
      <c r="V427" s="1022"/>
      <c r="W427" s="1022"/>
      <c r="X427" s="981"/>
      <c r="Y427" s="981"/>
      <c r="Z427" s="981"/>
    </row>
    <row r="428" spans="1:26">
      <c r="A428" s="981"/>
      <c r="B428" s="1022"/>
      <c r="C428" s="1022"/>
      <c r="D428" s="1022"/>
      <c r="E428" s="1022"/>
      <c r="F428" s="1022"/>
      <c r="G428" s="1022"/>
      <c r="V428" s="1022"/>
      <c r="W428" s="1022"/>
      <c r="X428" s="981"/>
      <c r="Y428" s="981"/>
      <c r="Z428" s="981"/>
    </row>
    <row r="429" spans="1:26">
      <c r="A429" s="981"/>
      <c r="B429" s="1022"/>
      <c r="C429" s="1022"/>
      <c r="D429" s="1022"/>
      <c r="E429" s="1022"/>
      <c r="F429" s="1022"/>
      <c r="G429" s="1022"/>
      <c r="V429" s="1022"/>
      <c r="W429" s="1022"/>
      <c r="X429" s="981"/>
      <c r="Y429" s="981"/>
      <c r="Z429" s="981"/>
    </row>
    <row r="430" spans="1:26">
      <c r="A430" s="981"/>
      <c r="B430" s="1022"/>
      <c r="C430" s="1022"/>
      <c r="D430" s="1022"/>
      <c r="E430" s="1022"/>
      <c r="F430" s="1022"/>
      <c r="G430" s="1022"/>
      <c r="V430" s="1022"/>
      <c r="W430" s="1022"/>
      <c r="X430" s="981"/>
      <c r="Y430" s="981"/>
      <c r="Z430" s="981"/>
    </row>
    <row r="431" spans="1:26">
      <c r="A431" s="981"/>
      <c r="B431" s="1022"/>
      <c r="C431" s="1022"/>
      <c r="D431" s="1022"/>
      <c r="E431" s="1022"/>
      <c r="F431" s="1022"/>
      <c r="G431" s="1022"/>
      <c r="V431" s="1022"/>
      <c r="W431" s="1022"/>
      <c r="X431" s="981"/>
      <c r="Y431" s="981"/>
      <c r="Z431" s="981"/>
    </row>
    <row r="432" spans="1:26">
      <c r="A432" s="981"/>
      <c r="B432" s="1022"/>
      <c r="C432" s="1022"/>
      <c r="D432" s="1022"/>
      <c r="E432" s="1022"/>
      <c r="F432" s="1022"/>
      <c r="G432" s="1022"/>
      <c r="V432" s="1022"/>
      <c r="W432" s="1022"/>
      <c r="X432" s="981"/>
      <c r="Y432" s="981"/>
      <c r="Z432" s="981"/>
    </row>
    <row r="433" spans="1:26">
      <c r="A433" s="981"/>
      <c r="B433" s="1022"/>
      <c r="C433" s="1022"/>
      <c r="D433" s="1022"/>
      <c r="E433" s="1022"/>
      <c r="F433" s="1022"/>
      <c r="G433" s="1022"/>
      <c r="V433" s="1022"/>
      <c r="W433" s="1022"/>
      <c r="X433" s="981"/>
      <c r="Y433" s="981"/>
      <c r="Z433" s="981"/>
    </row>
    <row r="434" spans="1:26">
      <c r="A434" s="981"/>
      <c r="B434" s="1022"/>
      <c r="C434" s="1022"/>
      <c r="D434" s="1022"/>
      <c r="E434" s="1022"/>
      <c r="F434" s="1022"/>
      <c r="G434" s="1022"/>
      <c r="V434" s="1022"/>
      <c r="W434" s="1022"/>
      <c r="X434" s="981"/>
      <c r="Y434" s="981"/>
      <c r="Z434" s="981"/>
    </row>
    <row r="435" spans="1:26">
      <c r="A435" s="981"/>
      <c r="B435" s="1022"/>
      <c r="C435" s="1022"/>
      <c r="D435" s="1022"/>
      <c r="E435" s="1022"/>
      <c r="F435" s="1022"/>
      <c r="G435" s="1022"/>
      <c r="V435" s="1022"/>
      <c r="W435" s="1022"/>
      <c r="X435" s="981"/>
      <c r="Y435" s="981"/>
      <c r="Z435" s="981"/>
    </row>
    <row r="436" spans="1:26">
      <c r="A436" s="981"/>
      <c r="B436" s="1022"/>
      <c r="C436" s="1022"/>
      <c r="D436" s="1022"/>
      <c r="E436" s="1022"/>
      <c r="F436" s="1022"/>
      <c r="G436" s="1022"/>
      <c r="V436" s="1022"/>
      <c r="W436" s="1022"/>
      <c r="X436" s="981"/>
      <c r="Y436" s="981"/>
      <c r="Z436" s="981"/>
    </row>
    <row r="437" spans="1:26">
      <c r="A437" s="981"/>
      <c r="B437" s="1022"/>
      <c r="C437" s="1022"/>
      <c r="D437" s="1022"/>
      <c r="E437" s="1022"/>
      <c r="F437" s="1022"/>
      <c r="G437" s="1022"/>
      <c r="V437" s="1022"/>
      <c r="W437" s="1022"/>
      <c r="X437" s="981"/>
      <c r="Y437" s="981"/>
      <c r="Z437" s="981"/>
    </row>
    <row r="438" spans="1:26">
      <c r="A438" s="981"/>
      <c r="B438" s="1022"/>
      <c r="C438" s="1022"/>
      <c r="D438" s="1022"/>
      <c r="E438" s="1022"/>
      <c r="F438" s="1022"/>
      <c r="G438" s="1022"/>
      <c r="V438" s="1022"/>
      <c r="W438" s="1022"/>
      <c r="X438" s="981"/>
      <c r="Y438" s="981"/>
      <c r="Z438" s="981"/>
    </row>
    <row r="439" spans="1:26">
      <c r="A439" s="981"/>
      <c r="B439" s="1022"/>
      <c r="C439" s="1022"/>
      <c r="D439" s="1022"/>
      <c r="E439" s="1022"/>
      <c r="F439" s="1022"/>
      <c r="G439" s="1022"/>
      <c r="V439" s="1022"/>
      <c r="W439" s="1022"/>
      <c r="X439" s="981"/>
      <c r="Y439" s="981"/>
      <c r="Z439" s="981"/>
    </row>
    <row r="440" spans="1:26">
      <c r="A440" s="981"/>
      <c r="B440" s="1022"/>
      <c r="C440" s="1022"/>
      <c r="D440" s="1022"/>
      <c r="E440" s="1022"/>
      <c r="F440" s="1022"/>
      <c r="G440" s="1022"/>
      <c r="V440" s="1022"/>
      <c r="W440" s="1022"/>
      <c r="X440" s="981"/>
      <c r="Y440" s="981"/>
      <c r="Z440" s="981"/>
    </row>
    <row r="441" spans="1:26">
      <c r="A441" s="981"/>
      <c r="B441" s="1022"/>
      <c r="C441" s="1022"/>
      <c r="D441" s="1022"/>
      <c r="E441" s="1022"/>
      <c r="F441" s="1022"/>
      <c r="G441" s="1022"/>
      <c r="V441" s="1022"/>
      <c r="W441" s="1022"/>
      <c r="X441" s="981"/>
      <c r="Y441" s="981"/>
      <c r="Z441" s="981"/>
    </row>
    <row r="442" spans="1:26">
      <c r="A442" s="981"/>
      <c r="B442" s="1022"/>
      <c r="C442" s="1022"/>
      <c r="D442" s="1022"/>
      <c r="E442" s="1022"/>
      <c r="F442" s="1022"/>
      <c r="G442" s="1022"/>
      <c r="V442" s="1022"/>
      <c r="W442" s="1022"/>
      <c r="X442" s="981"/>
      <c r="Y442" s="981"/>
      <c r="Z442" s="981"/>
    </row>
    <row r="443" spans="1:26">
      <c r="A443" s="981"/>
      <c r="B443" s="1022"/>
      <c r="C443" s="1022"/>
      <c r="D443" s="1022"/>
      <c r="E443" s="1022"/>
      <c r="F443" s="1022"/>
      <c r="G443" s="1022"/>
      <c r="V443" s="1022"/>
      <c r="W443" s="1022"/>
      <c r="X443" s="981"/>
      <c r="Y443" s="981"/>
      <c r="Z443" s="981"/>
    </row>
    <row r="444" spans="1:26">
      <c r="A444" s="981"/>
      <c r="B444" s="1022"/>
      <c r="C444" s="1022"/>
      <c r="D444" s="1022"/>
      <c r="E444" s="1022"/>
      <c r="F444" s="1022"/>
      <c r="G444" s="1022"/>
      <c r="V444" s="1022"/>
      <c r="W444" s="1022"/>
      <c r="X444" s="981"/>
      <c r="Y444" s="981"/>
      <c r="Z444" s="981"/>
    </row>
    <row r="445" spans="1:26">
      <c r="A445" s="981"/>
      <c r="B445" s="1022"/>
      <c r="C445" s="1022"/>
      <c r="D445" s="1022"/>
      <c r="E445" s="1022"/>
      <c r="F445" s="1022"/>
      <c r="G445" s="1022"/>
      <c r="V445" s="1022"/>
      <c r="W445" s="1022"/>
      <c r="X445" s="981"/>
      <c r="Y445" s="981"/>
      <c r="Z445" s="981"/>
    </row>
    <row r="446" spans="1:26">
      <c r="A446" s="981"/>
      <c r="B446" s="1022"/>
      <c r="C446" s="1022"/>
      <c r="D446" s="1022"/>
      <c r="E446" s="1022"/>
      <c r="F446" s="1022"/>
      <c r="G446" s="1022"/>
      <c r="V446" s="1022"/>
      <c r="W446" s="1022"/>
      <c r="X446" s="981"/>
      <c r="Y446" s="981"/>
      <c r="Z446" s="981"/>
    </row>
    <row r="447" spans="1:26">
      <c r="A447" s="981"/>
      <c r="B447" s="1022"/>
      <c r="C447" s="1022"/>
      <c r="D447" s="1022"/>
      <c r="E447" s="1022"/>
      <c r="F447" s="1022"/>
      <c r="G447" s="1022"/>
      <c r="V447" s="1022"/>
      <c r="W447" s="1022"/>
      <c r="X447" s="981"/>
      <c r="Y447" s="981"/>
      <c r="Z447" s="981"/>
    </row>
    <row r="448" spans="1:26">
      <c r="A448" s="981"/>
      <c r="B448" s="1022"/>
      <c r="C448" s="1022"/>
      <c r="D448" s="1022"/>
      <c r="E448" s="1022"/>
      <c r="F448" s="1022"/>
      <c r="G448" s="1022"/>
      <c r="V448" s="1022"/>
      <c r="W448" s="1022"/>
      <c r="X448" s="981"/>
      <c r="Y448" s="981"/>
      <c r="Z448" s="981"/>
    </row>
    <row r="449" spans="1:26">
      <c r="A449" s="981"/>
      <c r="B449" s="1022"/>
      <c r="C449" s="1022"/>
      <c r="D449" s="1022"/>
      <c r="E449" s="1022"/>
      <c r="F449" s="1022"/>
      <c r="G449" s="1022"/>
      <c r="V449" s="1022"/>
      <c r="W449" s="1022"/>
      <c r="X449" s="981"/>
      <c r="Y449" s="981"/>
      <c r="Z449" s="981"/>
    </row>
    <row r="450" spans="1:26">
      <c r="A450" s="981"/>
      <c r="B450" s="1022"/>
      <c r="C450" s="1022"/>
      <c r="D450" s="1022"/>
      <c r="E450" s="1022"/>
      <c r="F450" s="1022"/>
      <c r="G450" s="1022"/>
      <c r="V450" s="1022"/>
      <c r="W450" s="1022"/>
      <c r="X450" s="981"/>
      <c r="Y450" s="981"/>
      <c r="Z450" s="981"/>
    </row>
    <row r="451" spans="1:26">
      <c r="A451" s="981"/>
      <c r="B451" s="1022"/>
      <c r="C451" s="1022"/>
      <c r="D451" s="1022"/>
      <c r="E451" s="1022"/>
      <c r="F451" s="1022"/>
      <c r="G451" s="1022"/>
      <c r="V451" s="1022"/>
      <c r="W451" s="1022"/>
      <c r="X451" s="981"/>
      <c r="Y451" s="981"/>
      <c r="Z451" s="981"/>
    </row>
    <row r="452" spans="1:26">
      <c r="A452" s="981"/>
      <c r="B452" s="1022"/>
      <c r="C452" s="1022"/>
      <c r="D452" s="1022"/>
      <c r="E452" s="1022"/>
      <c r="F452" s="1022"/>
      <c r="G452" s="1022"/>
      <c r="V452" s="1022"/>
      <c r="W452" s="1022"/>
      <c r="X452" s="981"/>
      <c r="Y452" s="981"/>
      <c r="Z452" s="981"/>
    </row>
    <row r="453" spans="1:26">
      <c r="A453" s="981"/>
      <c r="B453" s="1022"/>
      <c r="C453" s="1022"/>
      <c r="D453" s="1022"/>
      <c r="E453" s="1022"/>
      <c r="F453" s="1022"/>
      <c r="G453" s="1022"/>
      <c r="V453" s="1022"/>
      <c r="W453" s="1022"/>
      <c r="X453" s="981"/>
      <c r="Y453" s="981"/>
      <c r="Z453" s="981"/>
    </row>
    <row r="454" spans="1:26">
      <c r="A454" s="981"/>
      <c r="B454" s="1022"/>
      <c r="C454" s="1022"/>
      <c r="D454" s="1022"/>
      <c r="E454" s="1022"/>
      <c r="F454" s="1022"/>
      <c r="G454" s="1022"/>
      <c r="V454" s="1022"/>
      <c r="W454" s="1022"/>
      <c r="X454" s="981"/>
      <c r="Y454" s="981"/>
      <c r="Z454" s="981"/>
    </row>
    <row r="455" spans="1:26">
      <c r="A455" s="981"/>
      <c r="B455" s="1022"/>
      <c r="C455" s="1022"/>
      <c r="D455" s="1022"/>
      <c r="E455" s="1022"/>
      <c r="F455" s="1022"/>
      <c r="G455" s="1022"/>
      <c r="V455" s="1022"/>
      <c r="W455" s="1022"/>
      <c r="X455" s="981"/>
      <c r="Y455" s="981"/>
      <c r="Z455" s="981"/>
    </row>
    <row r="456" spans="1:26">
      <c r="A456" s="981"/>
      <c r="B456" s="1022"/>
      <c r="C456" s="1022"/>
      <c r="D456" s="1022"/>
      <c r="E456" s="1022"/>
      <c r="F456" s="1022"/>
      <c r="G456" s="1022"/>
      <c r="V456" s="1022"/>
      <c r="W456" s="1022"/>
      <c r="X456" s="981"/>
      <c r="Y456" s="981"/>
      <c r="Z456" s="981"/>
    </row>
    <row r="457" spans="1:26">
      <c r="A457" s="981"/>
      <c r="B457" s="1022"/>
      <c r="C457" s="1022"/>
      <c r="D457" s="1022"/>
      <c r="E457" s="1022"/>
      <c r="F457" s="1022"/>
      <c r="G457" s="1022"/>
      <c r="V457" s="1022"/>
      <c r="W457" s="1022"/>
      <c r="X457" s="981"/>
      <c r="Y457" s="981"/>
      <c r="Z457" s="981"/>
    </row>
    <row r="458" spans="1:26">
      <c r="A458" s="981"/>
      <c r="B458" s="1022"/>
      <c r="C458" s="1022"/>
      <c r="D458" s="1022"/>
      <c r="E458" s="1022"/>
      <c r="F458" s="1022"/>
      <c r="G458" s="1022"/>
      <c r="V458" s="1022"/>
      <c r="W458" s="1022"/>
      <c r="X458" s="981"/>
      <c r="Y458" s="981"/>
      <c r="Z458" s="981"/>
    </row>
    <row r="459" spans="1:26">
      <c r="A459" s="981"/>
      <c r="B459" s="1022"/>
      <c r="C459" s="1022"/>
      <c r="D459" s="1022"/>
      <c r="E459" s="1022"/>
      <c r="F459" s="1022"/>
      <c r="G459" s="1022"/>
      <c r="V459" s="1022"/>
      <c r="W459" s="1022"/>
      <c r="X459" s="981"/>
      <c r="Y459" s="981"/>
      <c r="Z459" s="981"/>
    </row>
    <row r="460" spans="1:26">
      <c r="A460" s="981"/>
      <c r="B460" s="1022"/>
      <c r="C460" s="1022"/>
      <c r="D460" s="1022"/>
      <c r="E460" s="1022"/>
      <c r="F460" s="1022"/>
      <c r="G460" s="1022"/>
      <c r="V460" s="1022"/>
      <c r="W460" s="1022"/>
      <c r="X460" s="981"/>
      <c r="Y460" s="981"/>
      <c r="Z460" s="981"/>
    </row>
    <row r="461" spans="1:26">
      <c r="A461" s="981"/>
      <c r="B461" s="1022"/>
      <c r="C461" s="1022"/>
      <c r="D461" s="1022"/>
      <c r="E461" s="1022"/>
      <c r="F461" s="1022"/>
      <c r="G461" s="1022"/>
      <c r="V461" s="1022"/>
      <c r="W461" s="1022"/>
      <c r="X461" s="981"/>
      <c r="Y461" s="981"/>
      <c r="Z461" s="981"/>
    </row>
    <row r="462" spans="1:26">
      <c r="A462" s="981"/>
      <c r="B462" s="1022"/>
      <c r="C462" s="1022"/>
      <c r="D462" s="1022"/>
      <c r="E462" s="1022"/>
      <c r="F462" s="1022"/>
      <c r="G462" s="1022"/>
      <c r="V462" s="1022"/>
      <c r="W462" s="1022"/>
      <c r="X462" s="981"/>
      <c r="Y462" s="981"/>
      <c r="Z462" s="981"/>
    </row>
    <row r="463" spans="1:26">
      <c r="A463" s="981"/>
      <c r="B463" s="1022"/>
      <c r="C463" s="1022"/>
      <c r="D463" s="1022"/>
      <c r="E463" s="1022"/>
      <c r="F463" s="1022"/>
      <c r="G463" s="1022"/>
      <c r="V463" s="1022"/>
      <c r="W463" s="1022"/>
      <c r="X463" s="981"/>
      <c r="Y463" s="981"/>
      <c r="Z463" s="981"/>
    </row>
    <row r="464" spans="1:26">
      <c r="A464" s="981"/>
      <c r="B464" s="1022"/>
      <c r="C464" s="1022"/>
      <c r="D464" s="1022"/>
      <c r="E464" s="1022"/>
      <c r="F464" s="1022"/>
      <c r="G464" s="1022"/>
      <c r="V464" s="1022"/>
      <c r="W464" s="1022"/>
      <c r="X464" s="981"/>
      <c r="Y464" s="981"/>
      <c r="Z464" s="981"/>
    </row>
    <row r="465" spans="1:26">
      <c r="A465" s="981"/>
      <c r="B465" s="1022"/>
      <c r="C465" s="1022"/>
      <c r="D465" s="1022"/>
      <c r="E465" s="1022"/>
      <c r="F465" s="1022"/>
      <c r="G465" s="1022"/>
      <c r="V465" s="1022"/>
      <c r="W465" s="1022"/>
      <c r="X465" s="981"/>
      <c r="Y465" s="981"/>
      <c r="Z465" s="981"/>
    </row>
    <row r="466" spans="1:26">
      <c r="A466" s="981"/>
      <c r="B466" s="1022"/>
      <c r="C466" s="1022"/>
      <c r="D466" s="1022"/>
      <c r="E466" s="1022"/>
      <c r="F466" s="1022"/>
      <c r="G466" s="1022"/>
      <c r="V466" s="1022"/>
      <c r="W466" s="1022"/>
      <c r="X466" s="981"/>
      <c r="Y466" s="981"/>
      <c r="Z466" s="981"/>
    </row>
    <row r="467" spans="1:26">
      <c r="A467" s="981"/>
      <c r="B467" s="1022"/>
      <c r="C467" s="1022"/>
      <c r="D467" s="1022"/>
      <c r="E467" s="1022"/>
      <c r="F467" s="1022"/>
      <c r="G467" s="1022"/>
      <c r="V467" s="1022"/>
      <c r="W467" s="1022"/>
      <c r="X467" s="981"/>
      <c r="Y467" s="981"/>
      <c r="Z467" s="981"/>
    </row>
    <row r="468" spans="1:26">
      <c r="A468" s="981"/>
      <c r="B468" s="1022"/>
      <c r="C468" s="1022"/>
      <c r="D468" s="1022"/>
      <c r="E468" s="1022"/>
      <c r="F468" s="1022"/>
      <c r="G468" s="1022"/>
      <c r="V468" s="1022"/>
      <c r="W468" s="1022"/>
      <c r="X468" s="981"/>
      <c r="Y468" s="981"/>
      <c r="Z468" s="981"/>
    </row>
    <row r="469" spans="1:26">
      <c r="A469" s="981"/>
      <c r="B469" s="1022"/>
      <c r="C469" s="1022"/>
      <c r="D469" s="1022"/>
      <c r="E469" s="1022"/>
      <c r="F469" s="1022"/>
      <c r="G469" s="1022"/>
      <c r="V469" s="1022"/>
      <c r="W469" s="1022"/>
      <c r="X469" s="981"/>
      <c r="Y469" s="981"/>
      <c r="Z469" s="981"/>
    </row>
    <row r="470" spans="1:26">
      <c r="A470" s="981"/>
      <c r="B470" s="1022"/>
      <c r="C470" s="1022"/>
      <c r="D470" s="1022"/>
      <c r="E470" s="1022"/>
      <c r="F470" s="1022"/>
      <c r="G470" s="1022"/>
      <c r="V470" s="1022"/>
      <c r="W470" s="1022"/>
      <c r="X470" s="981"/>
      <c r="Y470" s="981"/>
      <c r="Z470" s="981"/>
    </row>
    <row r="471" spans="1:26">
      <c r="A471" s="981"/>
      <c r="B471" s="1022"/>
      <c r="C471" s="1022"/>
      <c r="D471" s="1022"/>
      <c r="E471" s="1022"/>
      <c r="F471" s="1022"/>
      <c r="G471" s="1022"/>
      <c r="V471" s="1022"/>
      <c r="W471" s="1022"/>
      <c r="X471" s="981"/>
      <c r="Y471" s="981"/>
      <c r="Z471" s="981"/>
    </row>
    <row r="472" spans="1:26">
      <c r="A472" s="981"/>
      <c r="B472" s="1022"/>
      <c r="C472" s="1022"/>
      <c r="D472" s="1022"/>
      <c r="E472" s="1022"/>
      <c r="F472" s="1022"/>
      <c r="G472" s="1022"/>
      <c r="V472" s="1022"/>
      <c r="W472" s="1022"/>
      <c r="X472" s="981"/>
      <c r="Y472" s="981"/>
      <c r="Z472" s="981"/>
    </row>
    <row r="473" spans="1:26">
      <c r="A473" s="981"/>
      <c r="B473" s="1022"/>
      <c r="C473" s="1022"/>
      <c r="D473" s="1022"/>
      <c r="E473" s="1022"/>
      <c r="F473" s="1022"/>
      <c r="G473" s="1022"/>
      <c r="V473" s="1022"/>
      <c r="W473" s="1022"/>
      <c r="X473" s="981"/>
      <c r="Y473" s="981"/>
      <c r="Z473" s="981"/>
    </row>
    <row r="474" spans="1:26">
      <c r="A474" s="981"/>
      <c r="B474" s="1022"/>
      <c r="C474" s="1022"/>
      <c r="D474" s="1022"/>
      <c r="E474" s="1022"/>
      <c r="F474" s="1022"/>
      <c r="G474" s="1022"/>
      <c r="V474" s="1022"/>
      <c r="W474" s="1022"/>
      <c r="X474" s="981"/>
      <c r="Y474" s="981"/>
      <c r="Z474" s="981"/>
    </row>
    <row r="475" spans="1:26">
      <c r="A475" s="981"/>
      <c r="B475" s="1022"/>
      <c r="C475" s="1022"/>
      <c r="D475" s="1022"/>
      <c r="E475" s="1022"/>
      <c r="F475" s="1022"/>
      <c r="G475" s="1022"/>
      <c r="V475" s="1022"/>
      <c r="W475" s="1022"/>
      <c r="X475" s="981"/>
      <c r="Y475" s="981"/>
      <c r="Z475" s="981"/>
    </row>
    <row r="476" spans="1:26">
      <c r="A476" s="981"/>
      <c r="B476" s="1022"/>
      <c r="C476" s="1022"/>
      <c r="D476" s="1022"/>
      <c r="E476" s="1022"/>
      <c r="F476" s="1022"/>
      <c r="G476" s="1022"/>
      <c r="V476" s="1022"/>
      <c r="W476" s="1022"/>
      <c r="X476" s="981"/>
      <c r="Y476" s="981"/>
      <c r="Z476" s="981"/>
    </row>
    <row r="477" spans="1:26">
      <c r="A477" s="981"/>
      <c r="B477" s="1022"/>
      <c r="C477" s="1022"/>
      <c r="D477" s="1022"/>
      <c r="E477" s="1022"/>
      <c r="F477" s="1022"/>
      <c r="G477" s="1022"/>
      <c r="V477" s="1022"/>
      <c r="W477" s="1022"/>
      <c r="X477" s="981"/>
      <c r="Y477" s="981"/>
      <c r="Z477" s="981"/>
    </row>
    <row r="478" spans="1:26">
      <c r="A478" s="981"/>
      <c r="B478" s="1022"/>
      <c r="C478" s="1022"/>
      <c r="D478" s="1022"/>
      <c r="E478" s="1022"/>
      <c r="F478" s="1022"/>
      <c r="G478" s="1022"/>
      <c r="V478" s="1022"/>
      <c r="W478" s="1022"/>
      <c r="X478" s="981"/>
      <c r="Y478" s="981"/>
      <c r="Z478" s="981"/>
    </row>
    <row r="479" spans="1:26">
      <c r="A479" s="981"/>
      <c r="B479" s="1022"/>
      <c r="C479" s="1022"/>
      <c r="D479" s="1022"/>
      <c r="E479" s="1022"/>
      <c r="F479" s="1022"/>
      <c r="G479" s="1022"/>
      <c r="V479" s="1022"/>
      <c r="W479" s="1022"/>
      <c r="X479" s="981"/>
      <c r="Y479" s="981"/>
      <c r="Z479" s="981"/>
    </row>
    <row r="480" spans="1:26">
      <c r="A480" s="981"/>
      <c r="B480" s="1022"/>
      <c r="C480" s="1022"/>
      <c r="D480" s="1022"/>
      <c r="E480" s="1022"/>
      <c r="F480" s="1022"/>
      <c r="G480" s="1022"/>
      <c r="V480" s="1022"/>
      <c r="W480" s="1022"/>
      <c r="X480" s="981"/>
      <c r="Y480" s="981"/>
      <c r="Z480" s="981"/>
    </row>
    <row r="481" spans="1:26">
      <c r="A481" s="981"/>
      <c r="B481" s="1022"/>
      <c r="C481" s="1022"/>
      <c r="D481" s="1022"/>
      <c r="E481" s="1022"/>
      <c r="F481" s="1022"/>
      <c r="G481" s="1022"/>
      <c r="V481" s="1022"/>
      <c r="W481" s="1022"/>
      <c r="X481" s="981"/>
      <c r="Y481" s="981"/>
      <c r="Z481" s="981"/>
    </row>
    <row r="482" spans="1:26">
      <c r="A482" s="981"/>
      <c r="B482" s="1022"/>
      <c r="C482" s="1022"/>
      <c r="D482" s="1022"/>
      <c r="E482" s="1022"/>
      <c r="F482" s="1022"/>
      <c r="G482" s="1022"/>
      <c r="V482" s="1022"/>
      <c r="W482" s="1022"/>
      <c r="X482" s="981"/>
      <c r="Y482" s="981"/>
      <c r="Z482" s="981"/>
    </row>
    <row r="483" spans="1:26">
      <c r="A483" s="981"/>
      <c r="B483" s="1022"/>
      <c r="C483" s="1022"/>
      <c r="D483" s="1022"/>
      <c r="E483" s="1022"/>
      <c r="F483" s="1022"/>
      <c r="G483" s="1022"/>
      <c r="V483" s="1022"/>
      <c r="W483" s="1022"/>
      <c r="X483" s="981"/>
      <c r="Y483" s="981"/>
      <c r="Z483" s="981"/>
    </row>
    <row r="484" spans="1:26">
      <c r="A484" s="981"/>
      <c r="B484" s="1022"/>
      <c r="C484" s="1022"/>
      <c r="D484" s="1022"/>
      <c r="E484" s="1022"/>
      <c r="F484" s="1022"/>
      <c r="G484" s="1022"/>
      <c r="V484" s="1022"/>
      <c r="W484" s="1022"/>
      <c r="X484" s="981"/>
      <c r="Y484" s="981"/>
      <c r="Z484" s="981"/>
    </row>
    <row r="485" spans="1:26">
      <c r="A485" s="981"/>
      <c r="B485" s="1022"/>
      <c r="C485" s="1022"/>
      <c r="D485" s="1022"/>
      <c r="E485" s="1022"/>
      <c r="F485" s="1022"/>
      <c r="G485" s="1022"/>
      <c r="V485" s="1022"/>
      <c r="W485" s="1022"/>
      <c r="X485" s="981"/>
      <c r="Y485" s="981"/>
      <c r="Z485" s="981"/>
    </row>
    <row r="486" spans="1:26">
      <c r="A486" s="981"/>
      <c r="B486" s="1022"/>
      <c r="C486" s="1022"/>
      <c r="D486" s="1022"/>
      <c r="E486" s="1022"/>
      <c r="F486" s="1022"/>
      <c r="G486" s="1022"/>
      <c r="V486" s="1022"/>
      <c r="W486" s="1022"/>
      <c r="X486" s="981"/>
      <c r="Y486" s="981"/>
      <c r="Z486" s="981"/>
    </row>
    <row r="487" spans="1:26">
      <c r="A487" s="981"/>
      <c r="B487" s="1022"/>
      <c r="C487" s="1022"/>
      <c r="D487" s="1022"/>
      <c r="E487" s="1022"/>
      <c r="F487" s="1022"/>
      <c r="G487" s="1022"/>
      <c r="V487" s="1022"/>
      <c r="W487" s="1022"/>
      <c r="X487" s="981"/>
      <c r="Y487" s="981"/>
      <c r="Z487" s="981"/>
    </row>
    <row r="488" spans="1:26">
      <c r="A488" s="981"/>
      <c r="B488" s="1022"/>
      <c r="C488" s="1022"/>
      <c r="D488" s="1022"/>
      <c r="E488" s="1022"/>
      <c r="F488" s="1022"/>
      <c r="G488" s="1022"/>
      <c r="V488" s="1022"/>
      <c r="W488" s="1022"/>
      <c r="X488" s="981"/>
      <c r="Y488" s="981"/>
      <c r="Z488" s="981"/>
    </row>
    <row r="489" spans="1:26">
      <c r="A489" s="981"/>
      <c r="B489" s="1022"/>
      <c r="C489" s="1022"/>
      <c r="D489" s="1022"/>
      <c r="E489" s="1022"/>
      <c r="F489" s="1022"/>
      <c r="G489" s="1022"/>
      <c r="V489" s="1022"/>
      <c r="W489" s="1022"/>
      <c r="X489" s="981"/>
      <c r="Y489" s="981"/>
      <c r="Z489" s="981"/>
    </row>
    <row r="490" spans="1:26">
      <c r="A490" s="981"/>
      <c r="B490" s="1022"/>
      <c r="C490" s="1022"/>
      <c r="D490" s="1022"/>
      <c r="E490" s="1022"/>
      <c r="F490" s="1022"/>
      <c r="G490" s="1022"/>
      <c r="V490" s="1022"/>
      <c r="W490" s="1022"/>
      <c r="X490" s="981"/>
      <c r="Y490" s="981"/>
      <c r="Z490" s="981"/>
    </row>
    <row r="491" spans="1:26">
      <c r="A491" s="981"/>
      <c r="B491" s="1022"/>
      <c r="C491" s="1022"/>
      <c r="D491" s="1022"/>
      <c r="E491" s="1022"/>
      <c r="F491" s="1022"/>
      <c r="G491" s="1022"/>
      <c r="V491" s="1022"/>
      <c r="W491" s="1022"/>
      <c r="X491" s="981"/>
      <c r="Y491" s="981"/>
      <c r="Z491" s="981"/>
    </row>
    <row r="492" spans="1:26">
      <c r="A492" s="981"/>
      <c r="B492" s="1022"/>
      <c r="C492" s="1022"/>
      <c r="D492" s="1022"/>
      <c r="E492" s="1022"/>
      <c r="F492" s="1022"/>
      <c r="G492" s="1022"/>
      <c r="V492" s="1022"/>
      <c r="W492" s="1022"/>
      <c r="X492" s="981"/>
      <c r="Y492" s="981"/>
      <c r="Z492" s="981"/>
    </row>
    <row r="493" spans="1:26">
      <c r="A493" s="981"/>
      <c r="B493" s="1022"/>
      <c r="C493" s="1022"/>
      <c r="D493" s="1022"/>
      <c r="E493" s="1022"/>
      <c r="F493" s="1022"/>
      <c r="G493" s="1022"/>
      <c r="V493" s="1022"/>
      <c r="W493" s="1022"/>
      <c r="X493" s="981"/>
      <c r="Y493" s="981"/>
      <c r="Z493" s="981"/>
    </row>
    <row r="494" spans="1:26">
      <c r="A494" s="981"/>
      <c r="B494" s="1022"/>
      <c r="C494" s="1022"/>
      <c r="D494" s="1022"/>
      <c r="E494" s="1022"/>
      <c r="F494" s="1022"/>
      <c r="G494" s="1022"/>
      <c r="V494" s="1022"/>
      <c r="W494" s="1022"/>
      <c r="X494" s="981"/>
      <c r="Y494" s="981"/>
      <c r="Z494" s="981"/>
    </row>
    <row r="495" spans="1:26">
      <c r="A495" s="981"/>
      <c r="B495" s="1022"/>
      <c r="C495" s="1022"/>
      <c r="D495" s="1022"/>
      <c r="E495" s="1022"/>
      <c r="F495" s="1022"/>
      <c r="G495" s="1022"/>
      <c r="V495" s="1022"/>
      <c r="W495" s="1022"/>
      <c r="X495" s="981"/>
      <c r="Y495" s="981"/>
      <c r="Z495" s="981"/>
    </row>
    <row r="496" spans="1:26">
      <c r="A496" s="981"/>
      <c r="B496" s="1022"/>
      <c r="C496" s="1022"/>
      <c r="D496" s="1022"/>
      <c r="E496" s="1022"/>
      <c r="F496" s="1022"/>
      <c r="G496" s="1022"/>
      <c r="V496" s="1022"/>
      <c r="W496" s="1022"/>
      <c r="X496" s="981"/>
      <c r="Y496" s="981"/>
      <c r="Z496" s="981"/>
    </row>
    <row r="497" spans="1:26">
      <c r="A497" s="981"/>
      <c r="B497" s="1022"/>
      <c r="C497" s="1022"/>
      <c r="D497" s="1022"/>
      <c r="E497" s="1022"/>
      <c r="F497" s="1022"/>
      <c r="G497" s="1022"/>
      <c r="V497" s="1022"/>
      <c r="W497" s="1022"/>
      <c r="X497" s="981"/>
      <c r="Y497" s="981"/>
      <c r="Z497" s="981"/>
    </row>
    <row r="498" spans="1:26">
      <c r="A498" s="981"/>
      <c r="B498" s="1022"/>
      <c r="C498" s="1022"/>
      <c r="D498" s="1022"/>
      <c r="E498" s="1022"/>
      <c r="F498" s="1022"/>
      <c r="G498" s="1022"/>
      <c r="V498" s="1022"/>
      <c r="W498" s="1022"/>
      <c r="X498" s="981"/>
      <c r="Y498" s="981"/>
      <c r="Z498" s="981"/>
    </row>
    <row r="499" spans="1:26">
      <c r="A499" s="981"/>
      <c r="B499" s="1022"/>
      <c r="C499" s="1022"/>
      <c r="D499" s="1022"/>
      <c r="E499" s="1022"/>
      <c r="F499" s="1022"/>
      <c r="G499" s="1022"/>
      <c r="V499" s="1022"/>
      <c r="W499" s="1022"/>
      <c r="X499" s="981"/>
      <c r="Y499" s="981"/>
      <c r="Z499" s="981"/>
    </row>
    <row r="500" spans="1:26">
      <c r="A500" s="981"/>
      <c r="B500" s="1022"/>
      <c r="C500" s="1022"/>
      <c r="D500" s="1022"/>
      <c r="E500" s="1022"/>
      <c r="F500" s="1022"/>
      <c r="G500" s="1022"/>
      <c r="V500" s="1022"/>
      <c r="W500" s="1022"/>
      <c r="X500" s="981"/>
      <c r="Y500" s="981"/>
      <c r="Z500" s="981"/>
    </row>
    <row r="501" spans="1:26">
      <c r="A501" s="981"/>
      <c r="B501" s="1022"/>
      <c r="C501" s="1022"/>
      <c r="D501" s="1022"/>
      <c r="E501" s="1022"/>
      <c r="F501" s="1022"/>
      <c r="G501" s="1022"/>
      <c r="V501" s="1022"/>
      <c r="W501" s="1022"/>
      <c r="X501" s="981"/>
      <c r="Y501" s="981"/>
      <c r="Z501" s="981"/>
    </row>
    <row r="502" spans="1:26">
      <c r="A502" s="981"/>
      <c r="B502" s="1022"/>
      <c r="C502" s="1022"/>
      <c r="D502" s="1022"/>
      <c r="E502" s="1022"/>
      <c r="F502" s="1022"/>
      <c r="G502" s="1022"/>
      <c r="V502" s="1022"/>
      <c r="W502" s="1022"/>
      <c r="X502" s="981"/>
      <c r="Y502" s="981"/>
      <c r="Z502" s="981"/>
    </row>
    <row r="503" spans="1:26">
      <c r="A503" s="981"/>
      <c r="B503" s="1022"/>
      <c r="C503" s="1022"/>
      <c r="D503" s="1022"/>
      <c r="E503" s="1022"/>
      <c r="F503" s="1022"/>
      <c r="G503" s="1022"/>
      <c r="V503" s="1022"/>
      <c r="W503" s="1022"/>
      <c r="X503" s="981"/>
      <c r="Y503" s="981"/>
      <c r="Z503" s="981"/>
    </row>
    <row r="504" spans="1:26">
      <c r="A504" s="981"/>
      <c r="B504" s="1022"/>
      <c r="C504" s="1022"/>
      <c r="D504" s="1022"/>
      <c r="E504" s="1022"/>
      <c r="F504" s="1022"/>
      <c r="G504" s="1022"/>
      <c r="V504" s="1022"/>
      <c r="W504" s="1022"/>
      <c r="X504" s="981"/>
      <c r="Y504" s="981"/>
      <c r="Z504" s="981"/>
    </row>
    <row r="505" spans="1:26">
      <c r="A505" s="981"/>
      <c r="B505" s="1022"/>
      <c r="C505" s="1022"/>
      <c r="D505" s="1022"/>
      <c r="E505" s="1022"/>
      <c r="F505" s="1022"/>
      <c r="G505" s="1022"/>
      <c r="V505" s="1022"/>
      <c r="W505" s="1022"/>
      <c r="X505" s="981"/>
      <c r="Y505" s="981"/>
      <c r="Z505" s="981"/>
    </row>
    <row r="506" spans="1:26">
      <c r="A506" s="981"/>
      <c r="B506" s="1022"/>
      <c r="C506" s="1022"/>
      <c r="D506" s="1022"/>
      <c r="E506" s="1022"/>
      <c r="F506" s="1022"/>
      <c r="G506" s="1022"/>
      <c r="V506" s="1022"/>
      <c r="W506" s="1022"/>
      <c r="X506" s="981"/>
      <c r="Y506" s="981"/>
      <c r="Z506" s="981"/>
    </row>
    <row r="507" spans="1:26">
      <c r="A507" s="981"/>
      <c r="B507" s="1022"/>
      <c r="C507" s="1022"/>
      <c r="D507" s="1022"/>
      <c r="E507" s="1022"/>
      <c r="F507" s="1022"/>
      <c r="G507" s="1022"/>
      <c r="V507" s="1022"/>
      <c r="W507" s="1022"/>
      <c r="X507" s="981"/>
      <c r="Y507" s="981"/>
      <c r="Z507" s="981"/>
    </row>
    <row r="508" spans="1:26">
      <c r="A508" s="981"/>
      <c r="B508" s="1022"/>
      <c r="C508" s="1022"/>
      <c r="D508" s="1022"/>
      <c r="E508" s="1022"/>
      <c r="F508" s="1022"/>
      <c r="G508" s="1022"/>
      <c r="V508" s="1022"/>
      <c r="W508" s="1022"/>
      <c r="X508" s="981"/>
      <c r="Y508" s="981"/>
      <c r="Z508" s="981"/>
    </row>
    <row r="509" spans="1:26">
      <c r="A509" s="981"/>
      <c r="B509" s="1022"/>
      <c r="C509" s="1022"/>
      <c r="D509" s="1022"/>
      <c r="E509" s="1022"/>
      <c r="F509" s="1022"/>
      <c r="G509" s="1022"/>
      <c r="V509" s="1022"/>
      <c r="W509" s="1022"/>
      <c r="X509" s="981"/>
      <c r="Y509" s="981"/>
      <c r="Z509" s="981"/>
    </row>
    <row r="510" spans="1:26">
      <c r="A510" s="981"/>
      <c r="B510" s="1022"/>
      <c r="C510" s="1022"/>
      <c r="D510" s="1022"/>
      <c r="E510" s="1022"/>
      <c r="F510" s="1022"/>
      <c r="G510" s="1022"/>
      <c r="V510" s="1022"/>
      <c r="W510" s="1022"/>
      <c r="X510" s="981"/>
      <c r="Y510" s="981"/>
      <c r="Z510" s="981"/>
    </row>
    <row r="511" spans="1:26">
      <c r="A511" s="981"/>
      <c r="B511" s="1022"/>
      <c r="C511" s="1022"/>
      <c r="D511" s="1022"/>
      <c r="E511" s="1022"/>
      <c r="F511" s="1022"/>
      <c r="G511" s="1022"/>
      <c r="V511" s="1022"/>
      <c r="W511" s="1022"/>
      <c r="X511" s="981"/>
      <c r="Y511" s="981"/>
      <c r="Z511" s="981"/>
    </row>
    <row r="512" spans="1:26">
      <c r="A512" s="981"/>
      <c r="B512" s="1022"/>
      <c r="C512" s="1022"/>
      <c r="D512" s="1022"/>
      <c r="E512" s="1022"/>
      <c r="F512" s="1022"/>
      <c r="G512" s="1022"/>
      <c r="V512" s="1022"/>
      <c r="W512" s="1022"/>
      <c r="X512" s="981"/>
      <c r="Y512" s="981"/>
      <c r="Z512" s="981"/>
    </row>
    <row r="513" spans="1:26">
      <c r="A513" s="981"/>
      <c r="B513" s="1022"/>
      <c r="C513" s="1022"/>
      <c r="D513" s="1022"/>
      <c r="E513" s="1022"/>
      <c r="F513" s="1022"/>
      <c r="G513" s="1022"/>
      <c r="V513" s="1022"/>
      <c r="W513" s="1022"/>
      <c r="X513" s="981"/>
      <c r="Y513" s="981"/>
      <c r="Z513" s="981"/>
    </row>
    <row r="514" spans="1:26">
      <c r="A514" s="981"/>
      <c r="B514" s="1022"/>
      <c r="C514" s="1022"/>
      <c r="D514" s="1022"/>
      <c r="E514" s="1022"/>
      <c r="F514" s="1022"/>
      <c r="G514" s="1022"/>
      <c r="V514" s="1022"/>
      <c r="W514" s="1022"/>
      <c r="X514" s="981"/>
      <c r="Y514" s="981"/>
      <c r="Z514" s="981"/>
    </row>
    <row r="515" spans="1:26">
      <c r="A515" s="981"/>
      <c r="B515" s="1022"/>
      <c r="C515" s="1022"/>
      <c r="D515" s="1022"/>
      <c r="E515" s="1022"/>
      <c r="F515" s="1022"/>
      <c r="G515" s="1022"/>
      <c r="V515" s="1022"/>
      <c r="W515" s="1022"/>
      <c r="X515" s="981"/>
      <c r="Y515" s="981"/>
      <c r="Z515" s="981"/>
    </row>
    <row r="516" spans="1:26">
      <c r="A516" s="981"/>
      <c r="B516" s="1022"/>
      <c r="C516" s="1022"/>
      <c r="D516" s="1022"/>
      <c r="E516" s="1022"/>
      <c r="F516" s="1022"/>
      <c r="G516" s="1022"/>
      <c r="V516" s="1022"/>
      <c r="W516" s="1022"/>
      <c r="X516" s="981"/>
      <c r="Y516" s="981"/>
      <c r="Z516" s="981"/>
    </row>
    <row r="517" spans="1:26">
      <c r="A517" s="981"/>
      <c r="B517" s="1022"/>
      <c r="C517" s="1022"/>
      <c r="D517" s="1022"/>
      <c r="E517" s="1022"/>
      <c r="F517" s="1022"/>
      <c r="G517" s="1022"/>
      <c r="V517" s="1022"/>
      <c r="W517" s="1022"/>
      <c r="X517" s="981"/>
      <c r="Y517" s="981"/>
      <c r="Z517" s="981"/>
    </row>
    <row r="518" spans="1:26">
      <c r="A518" s="981"/>
      <c r="B518" s="1022"/>
      <c r="C518" s="1022"/>
      <c r="D518" s="1022"/>
      <c r="E518" s="1022"/>
      <c r="F518" s="1022"/>
      <c r="G518" s="1022"/>
      <c r="V518" s="1022"/>
      <c r="W518" s="1022"/>
      <c r="X518" s="981"/>
      <c r="Y518" s="981"/>
      <c r="Z518" s="981"/>
    </row>
    <row r="519" spans="1:26">
      <c r="A519" s="981"/>
      <c r="B519" s="1022"/>
      <c r="C519" s="1022"/>
      <c r="D519" s="1022"/>
      <c r="E519" s="1022"/>
      <c r="F519" s="1022"/>
      <c r="G519" s="1022"/>
      <c r="V519" s="1022"/>
      <c r="W519" s="1022"/>
      <c r="X519" s="981"/>
      <c r="Y519" s="981"/>
      <c r="Z519" s="981"/>
    </row>
    <row r="520" spans="1:26">
      <c r="A520" s="981"/>
      <c r="B520" s="1022"/>
      <c r="C520" s="1022"/>
      <c r="D520" s="1022"/>
      <c r="E520" s="1022"/>
      <c r="F520" s="1022"/>
      <c r="G520" s="1022"/>
      <c r="V520" s="1022"/>
      <c r="W520" s="1022"/>
      <c r="X520" s="981"/>
      <c r="Y520" s="981"/>
      <c r="Z520" s="981"/>
    </row>
    <row r="521" spans="1:26">
      <c r="A521" s="981"/>
      <c r="B521" s="1022"/>
      <c r="C521" s="1022"/>
      <c r="D521" s="1022"/>
      <c r="E521" s="1022"/>
      <c r="F521" s="1022"/>
      <c r="G521" s="1022"/>
      <c r="V521" s="1022"/>
      <c r="W521" s="1022"/>
      <c r="X521" s="981"/>
      <c r="Y521" s="981"/>
      <c r="Z521" s="981"/>
    </row>
    <row r="522" spans="1:26">
      <c r="A522" s="981"/>
      <c r="B522" s="1022"/>
      <c r="C522" s="1022"/>
      <c r="D522" s="1022"/>
      <c r="E522" s="1022"/>
      <c r="F522" s="1022"/>
      <c r="G522" s="1022"/>
      <c r="V522" s="1022"/>
      <c r="W522" s="1022"/>
      <c r="X522" s="981"/>
      <c r="Y522" s="981"/>
      <c r="Z522" s="981"/>
    </row>
    <row r="523" spans="1:26">
      <c r="A523" s="981"/>
      <c r="B523" s="1022"/>
      <c r="C523" s="1022"/>
      <c r="D523" s="1022"/>
      <c r="E523" s="1022"/>
      <c r="F523" s="1022"/>
      <c r="G523" s="1022"/>
      <c r="V523" s="1022"/>
      <c r="W523" s="1022"/>
      <c r="X523" s="981"/>
      <c r="Y523" s="981"/>
      <c r="Z523" s="981"/>
    </row>
    <row r="524" spans="1:26">
      <c r="A524" s="981"/>
      <c r="B524" s="1022"/>
      <c r="C524" s="1022"/>
      <c r="D524" s="1022"/>
      <c r="E524" s="1022"/>
      <c r="F524" s="1022"/>
      <c r="G524" s="1022"/>
      <c r="V524" s="1022"/>
      <c r="W524" s="1022"/>
      <c r="X524" s="981"/>
      <c r="Y524" s="981"/>
      <c r="Z524" s="981"/>
    </row>
    <row r="525" spans="1:26">
      <c r="A525" s="981"/>
      <c r="B525" s="1022"/>
      <c r="C525" s="1022"/>
      <c r="D525" s="1022"/>
      <c r="E525" s="1022"/>
      <c r="F525" s="1022"/>
      <c r="G525" s="1022"/>
      <c r="V525" s="1022"/>
      <c r="W525" s="1022"/>
      <c r="X525" s="981"/>
      <c r="Y525" s="981"/>
      <c r="Z525" s="981"/>
    </row>
    <row r="526" spans="1:26">
      <c r="A526" s="981"/>
      <c r="B526" s="1022"/>
      <c r="C526" s="1022"/>
      <c r="D526" s="1022"/>
      <c r="E526" s="1022"/>
      <c r="F526" s="1022"/>
      <c r="G526" s="1022"/>
      <c r="V526" s="1022"/>
      <c r="W526" s="1022"/>
      <c r="X526" s="981"/>
      <c r="Y526" s="981"/>
      <c r="Z526" s="981"/>
    </row>
    <row r="527" spans="1:26">
      <c r="A527" s="981"/>
      <c r="B527" s="1022"/>
      <c r="C527" s="1022"/>
      <c r="D527" s="1022"/>
      <c r="E527" s="1022"/>
      <c r="F527" s="1022"/>
      <c r="G527" s="1022"/>
      <c r="V527" s="1022"/>
      <c r="W527" s="1022"/>
      <c r="X527" s="981"/>
      <c r="Y527" s="981"/>
      <c r="Z527" s="981"/>
    </row>
    <row r="528" spans="1:26">
      <c r="A528" s="981"/>
      <c r="B528" s="1022"/>
      <c r="C528" s="1022"/>
      <c r="D528" s="1022"/>
      <c r="E528" s="1022"/>
      <c r="F528" s="1022"/>
      <c r="G528" s="1022"/>
      <c r="V528" s="1022"/>
      <c r="W528" s="1022"/>
      <c r="X528" s="981"/>
      <c r="Y528" s="981"/>
      <c r="Z528" s="981"/>
    </row>
    <row r="529" spans="1:26">
      <c r="A529" s="981"/>
      <c r="B529" s="1022"/>
      <c r="C529" s="1022"/>
      <c r="D529" s="1022"/>
      <c r="E529" s="1022"/>
      <c r="F529" s="1022"/>
      <c r="G529" s="1022"/>
      <c r="V529" s="1022"/>
      <c r="W529" s="1022"/>
      <c r="X529" s="981"/>
      <c r="Y529" s="981"/>
      <c r="Z529" s="981"/>
    </row>
    <row r="530" spans="1:26">
      <c r="A530" s="981"/>
      <c r="B530" s="1022"/>
      <c r="C530" s="1022"/>
      <c r="D530" s="1022"/>
      <c r="E530" s="1022"/>
      <c r="F530" s="1022"/>
      <c r="G530" s="1022"/>
      <c r="V530" s="1022"/>
      <c r="W530" s="1022"/>
      <c r="X530" s="981"/>
      <c r="Y530" s="981"/>
      <c r="Z530" s="981"/>
    </row>
    <row r="531" spans="1:26">
      <c r="A531" s="981"/>
      <c r="B531" s="1022"/>
      <c r="C531" s="1022"/>
      <c r="D531" s="1022"/>
      <c r="E531" s="1022"/>
      <c r="F531" s="1022"/>
      <c r="G531" s="1022"/>
      <c r="V531" s="1022"/>
      <c r="W531" s="1022"/>
      <c r="X531" s="981"/>
      <c r="Y531" s="981"/>
      <c r="Z531" s="981"/>
    </row>
    <row r="532" spans="1:26">
      <c r="A532" s="981"/>
      <c r="B532" s="1022"/>
      <c r="C532" s="1022"/>
      <c r="D532" s="1022"/>
      <c r="E532" s="1022"/>
      <c r="F532" s="1022"/>
      <c r="G532" s="1022"/>
      <c r="V532" s="1022"/>
      <c r="W532" s="1022"/>
      <c r="X532" s="981"/>
      <c r="Y532" s="981"/>
      <c r="Z532" s="981"/>
    </row>
    <row r="533" spans="1:26">
      <c r="A533" s="981"/>
      <c r="B533" s="1022"/>
      <c r="C533" s="1022"/>
      <c r="D533" s="1022"/>
      <c r="E533" s="1022"/>
      <c r="F533" s="1022"/>
      <c r="G533" s="1022"/>
      <c r="V533" s="1022"/>
      <c r="W533" s="1022"/>
      <c r="X533" s="981"/>
      <c r="Y533" s="981"/>
      <c r="Z533" s="981"/>
    </row>
    <row r="534" spans="1:26">
      <c r="A534" s="981"/>
      <c r="B534" s="1022"/>
      <c r="C534" s="1022"/>
      <c r="D534" s="1022"/>
      <c r="E534" s="1022"/>
      <c r="F534" s="1022"/>
      <c r="G534" s="1022"/>
      <c r="V534" s="1022"/>
      <c r="W534" s="1022"/>
      <c r="X534" s="981"/>
      <c r="Y534" s="981"/>
      <c r="Z534" s="981"/>
    </row>
    <row r="535" spans="1:26">
      <c r="A535" s="981"/>
      <c r="B535" s="1022"/>
      <c r="C535" s="1022"/>
      <c r="D535" s="1022"/>
      <c r="E535" s="1022"/>
      <c r="F535" s="1022"/>
      <c r="G535" s="1022"/>
      <c r="V535" s="1022"/>
      <c r="W535" s="1022"/>
      <c r="X535" s="981"/>
      <c r="Y535" s="981"/>
      <c r="Z535" s="981"/>
    </row>
    <row r="536" spans="1:26">
      <c r="A536" s="981"/>
      <c r="B536" s="1022"/>
      <c r="C536" s="1022"/>
      <c r="D536" s="1022"/>
      <c r="E536" s="1022"/>
      <c r="F536" s="1022"/>
      <c r="G536" s="1022"/>
      <c r="V536" s="1022"/>
      <c r="W536" s="1022"/>
      <c r="X536" s="981"/>
      <c r="Y536" s="981"/>
      <c r="Z536" s="981"/>
    </row>
    <row r="537" spans="1:26">
      <c r="A537" s="981"/>
      <c r="B537" s="1022"/>
      <c r="C537" s="1022"/>
      <c r="D537" s="1022"/>
      <c r="E537" s="1022"/>
      <c r="F537" s="1022"/>
      <c r="G537" s="1022"/>
      <c r="V537" s="1022"/>
      <c r="W537" s="1022"/>
      <c r="X537" s="981"/>
      <c r="Y537" s="981"/>
      <c r="Z537" s="981"/>
    </row>
    <row r="538" spans="1:26">
      <c r="A538" s="981"/>
      <c r="B538" s="1022"/>
      <c r="C538" s="1022"/>
      <c r="D538" s="1022"/>
      <c r="E538" s="1022"/>
      <c r="F538" s="1022"/>
      <c r="G538" s="1022"/>
      <c r="V538" s="1022"/>
      <c r="W538" s="1022"/>
      <c r="X538" s="981"/>
      <c r="Y538" s="981"/>
      <c r="Z538" s="981"/>
    </row>
    <row r="539" spans="1:26">
      <c r="A539" s="981"/>
      <c r="B539" s="1022"/>
      <c r="C539" s="1022"/>
      <c r="D539" s="1022"/>
      <c r="E539" s="1022"/>
      <c r="F539" s="1022"/>
      <c r="G539" s="1022"/>
      <c r="V539" s="1022"/>
      <c r="W539" s="1022"/>
      <c r="X539" s="981"/>
      <c r="Y539" s="981"/>
      <c r="Z539" s="981"/>
    </row>
    <row r="540" spans="1:26">
      <c r="A540" s="981"/>
      <c r="B540" s="1022"/>
      <c r="C540" s="1022"/>
      <c r="D540" s="1022"/>
      <c r="E540" s="1022"/>
      <c r="F540" s="1022"/>
      <c r="G540" s="1022"/>
      <c r="V540" s="1022"/>
      <c r="W540" s="1022"/>
      <c r="X540" s="981"/>
      <c r="Y540" s="981"/>
      <c r="Z540" s="981"/>
    </row>
    <row r="541" spans="1:26">
      <c r="A541" s="981"/>
      <c r="B541" s="1022"/>
      <c r="C541" s="1022"/>
      <c r="D541" s="1022"/>
      <c r="E541" s="1022"/>
      <c r="F541" s="1022"/>
      <c r="G541" s="1022"/>
      <c r="V541" s="1022"/>
      <c r="W541" s="1022"/>
      <c r="X541" s="981"/>
      <c r="Y541" s="981"/>
      <c r="Z541" s="981"/>
    </row>
    <row r="542" spans="1:26">
      <c r="A542" s="981"/>
      <c r="B542" s="1022"/>
      <c r="C542" s="1022"/>
      <c r="D542" s="1022"/>
      <c r="E542" s="1022"/>
      <c r="F542" s="1022"/>
      <c r="G542" s="1022"/>
      <c r="V542" s="1022"/>
      <c r="W542" s="1022"/>
      <c r="X542" s="981"/>
      <c r="Y542" s="981"/>
      <c r="Z542" s="981"/>
    </row>
    <row r="543" spans="1:26">
      <c r="A543" s="981"/>
      <c r="B543" s="1022"/>
      <c r="C543" s="1022"/>
      <c r="D543" s="1022"/>
      <c r="E543" s="1022"/>
      <c r="F543" s="1022"/>
      <c r="G543" s="1022"/>
      <c r="V543" s="1022"/>
      <c r="W543" s="1022"/>
      <c r="X543" s="981"/>
      <c r="Y543" s="981"/>
      <c r="Z543" s="981"/>
    </row>
    <row r="544" spans="1:26">
      <c r="A544" s="981"/>
      <c r="B544" s="1022"/>
      <c r="C544" s="1022"/>
      <c r="D544" s="1022"/>
      <c r="E544" s="1022"/>
      <c r="F544" s="1022"/>
      <c r="G544" s="1022"/>
      <c r="V544" s="1022"/>
      <c r="W544" s="1022"/>
      <c r="X544" s="981"/>
      <c r="Y544" s="981"/>
      <c r="Z544" s="981"/>
    </row>
    <row r="545" spans="1:26">
      <c r="A545" s="981"/>
      <c r="B545" s="1022"/>
      <c r="C545" s="1022"/>
      <c r="D545" s="1022"/>
      <c r="E545" s="1022"/>
      <c r="F545" s="1022"/>
      <c r="G545" s="1022"/>
      <c r="V545" s="1022"/>
      <c r="W545" s="1022"/>
      <c r="X545" s="981"/>
      <c r="Y545" s="981"/>
      <c r="Z545" s="981"/>
    </row>
    <row r="546" spans="1:26">
      <c r="A546" s="981"/>
      <c r="B546" s="1022"/>
      <c r="C546" s="1022"/>
      <c r="D546" s="1022"/>
      <c r="E546" s="1022"/>
      <c r="F546" s="1022"/>
      <c r="G546" s="1022"/>
      <c r="V546" s="1022"/>
      <c r="W546" s="1022"/>
      <c r="X546" s="981"/>
      <c r="Y546" s="981"/>
      <c r="Z546" s="981"/>
    </row>
    <row r="547" spans="1:26">
      <c r="A547" s="981"/>
      <c r="B547" s="1022"/>
      <c r="C547" s="1022"/>
      <c r="D547" s="1022"/>
      <c r="E547" s="1022"/>
      <c r="F547" s="1022"/>
      <c r="G547" s="1022"/>
      <c r="V547" s="1022"/>
      <c r="W547" s="1022"/>
      <c r="X547" s="981"/>
      <c r="Y547" s="981"/>
      <c r="Z547" s="981"/>
    </row>
    <row r="548" spans="1:26">
      <c r="A548" s="981"/>
      <c r="B548" s="1022"/>
      <c r="C548" s="1022"/>
      <c r="D548" s="1022"/>
      <c r="E548" s="1022"/>
      <c r="F548" s="1022"/>
      <c r="G548" s="1022"/>
      <c r="V548" s="1022"/>
      <c r="W548" s="1022"/>
      <c r="X548" s="981"/>
      <c r="Y548" s="981"/>
      <c r="Z548" s="981"/>
    </row>
    <row r="549" spans="1:26">
      <c r="A549" s="981"/>
      <c r="B549" s="1022"/>
      <c r="C549" s="1022"/>
      <c r="D549" s="1022"/>
      <c r="E549" s="1022"/>
      <c r="F549" s="1022"/>
      <c r="G549" s="1022"/>
      <c r="V549" s="1022"/>
      <c r="W549" s="1022"/>
      <c r="X549" s="981"/>
      <c r="Y549" s="981"/>
      <c r="Z549" s="981"/>
    </row>
    <row r="550" spans="1:26">
      <c r="A550" s="981"/>
      <c r="B550" s="1022"/>
      <c r="C550" s="1022"/>
      <c r="D550" s="1022"/>
      <c r="E550" s="1022"/>
      <c r="F550" s="1022"/>
      <c r="G550" s="1022"/>
      <c r="V550" s="1022"/>
      <c r="W550" s="1022"/>
      <c r="X550" s="981"/>
      <c r="Y550" s="981"/>
      <c r="Z550" s="981"/>
    </row>
    <row r="551" spans="1:26">
      <c r="A551" s="981"/>
      <c r="B551" s="1022"/>
      <c r="C551" s="1022"/>
      <c r="D551" s="1022"/>
      <c r="E551" s="1022"/>
      <c r="F551" s="1022"/>
      <c r="G551" s="1022"/>
      <c r="V551" s="1022"/>
      <c r="W551" s="1022"/>
      <c r="X551" s="981"/>
      <c r="Y551" s="981"/>
      <c r="Z551" s="981"/>
    </row>
    <row r="552" spans="1:26">
      <c r="A552" s="981"/>
      <c r="B552" s="1022"/>
      <c r="C552" s="1022"/>
      <c r="D552" s="1022"/>
      <c r="E552" s="1022"/>
      <c r="F552" s="1022"/>
      <c r="G552" s="1022"/>
      <c r="V552" s="1022"/>
      <c r="W552" s="1022"/>
      <c r="X552" s="981"/>
      <c r="Y552" s="981"/>
      <c r="Z552" s="981"/>
    </row>
    <row r="553" spans="1:26">
      <c r="A553" s="981"/>
      <c r="B553" s="1022"/>
      <c r="C553" s="1022"/>
      <c r="D553" s="1022"/>
      <c r="E553" s="1022"/>
      <c r="F553" s="1022"/>
      <c r="G553" s="1022"/>
      <c r="V553" s="1022"/>
      <c r="W553" s="1022"/>
      <c r="X553" s="981"/>
      <c r="Y553" s="981"/>
      <c r="Z553" s="981"/>
    </row>
    <row r="554" spans="1:26">
      <c r="A554" s="981"/>
      <c r="B554" s="1022"/>
      <c r="C554" s="1022"/>
      <c r="D554" s="1022"/>
      <c r="E554" s="1022"/>
      <c r="F554" s="1022"/>
      <c r="G554" s="1022"/>
      <c r="V554" s="1022"/>
      <c r="W554" s="1022"/>
      <c r="X554" s="981"/>
      <c r="Y554" s="981"/>
      <c r="Z554" s="981"/>
    </row>
    <row r="555" spans="1:26">
      <c r="A555" s="981"/>
      <c r="B555" s="1022"/>
      <c r="C555" s="1022"/>
      <c r="D555" s="1022"/>
      <c r="E555" s="1022"/>
      <c r="F555" s="1022"/>
      <c r="G555" s="1022"/>
      <c r="V555" s="1022"/>
      <c r="W555" s="1022"/>
      <c r="X555" s="981"/>
      <c r="Y555" s="981"/>
      <c r="Z555" s="981"/>
    </row>
    <row r="556" spans="1:26">
      <c r="A556" s="981"/>
      <c r="B556" s="1022"/>
      <c r="C556" s="1022"/>
      <c r="D556" s="1022"/>
      <c r="E556" s="1022"/>
      <c r="F556" s="1022"/>
      <c r="G556" s="1022"/>
      <c r="V556" s="1022"/>
      <c r="W556" s="1022"/>
      <c r="X556" s="981"/>
      <c r="Y556" s="981"/>
      <c r="Z556" s="981"/>
    </row>
    <row r="557" spans="1:26">
      <c r="A557" s="981"/>
      <c r="B557" s="1022"/>
      <c r="C557" s="1022"/>
      <c r="D557" s="1022"/>
      <c r="E557" s="1022"/>
      <c r="F557" s="1022"/>
      <c r="G557" s="1022"/>
      <c r="V557" s="1022"/>
      <c r="W557" s="1022"/>
      <c r="X557" s="981"/>
      <c r="Y557" s="981"/>
      <c r="Z557" s="981"/>
    </row>
    <row r="558" spans="1:26">
      <c r="A558" s="981"/>
      <c r="B558" s="1022"/>
      <c r="C558" s="1022"/>
      <c r="D558" s="1022"/>
      <c r="E558" s="1022"/>
      <c r="F558" s="1022"/>
      <c r="G558" s="1022"/>
      <c r="V558" s="1022"/>
      <c r="W558" s="1022"/>
      <c r="X558" s="981"/>
      <c r="Y558" s="981"/>
      <c r="Z558" s="981"/>
    </row>
    <row r="559" spans="1:26">
      <c r="A559" s="981"/>
      <c r="B559" s="1022"/>
      <c r="C559" s="1022"/>
      <c r="D559" s="1022"/>
      <c r="E559" s="1022"/>
      <c r="F559" s="1022"/>
      <c r="G559" s="1022"/>
      <c r="V559" s="1022"/>
      <c r="W559" s="1022"/>
      <c r="X559" s="981"/>
      <c r="Y559" s="981"/>
      <c r="Z559" s="981"/>
    </row>
    <row r="560" spans="1:26">
      <c r="A560" s="981"/>
      <c r="B560" s="1022"/>
      <c r="C560" s="1022"/>
      <c r="D560" s="1022"/>
      <c r="E560" s="1022"/>
      <c r="F560" s="1022"/>
      <c r="G560" s="1022"/>
      <c r="V560" s="1022"/>
      <c r="W560" s="1022"/>
      <c r="X560" s="981"/>
      <c r="Y560" s="981"/>
      <c r="Z560" s="981"/>
    </row>
    <row r="561" spans="1:26">
      <c r="A561" s="981"/>
      <c r="B561" s="1022"/>
      <c r="C561" s="1022"/>
      <c r="D561" s="1022"/>
      <c r="E561" s="1022"/>
      <c r="F561" s="1022"/>
      <c r="G561" s="1022"/>
      <c r="V561" s="1022"/>
      <c r="W561" s="1022"/>
      <c r="X561" s="981"/>
      <c r="Y561" s="981"/>
      <c r="Z561" s="981"/>
    </row>
    <row r="562" spans="1:26">
      <c r="A562" s="981"/>
      <c r="B562" s="1022"/>
      <c r="C562" s="1022"/>
      <c r="D562" s="1022"/>
      <c r="E562" s="1022"/>
      <c r="F562" s="1022"/>
      <c r="G562" s="1022"/>
      <c r="V562" s="1022"/>
      <c r="W562" s="1022"/>
      <c r="X562" s="981"/>
      <c r="Y562" s="981"/>
      <c r="Z562" s="981"/>
    </row>
    <row r="563" spans="1:26">
      <c r="A563" s="981"/>
      <c r="B563" s="1022"/>
      <c r="C563" s="1022"/>
      <c r="D563" s="1022"/>
      <c r="E563" s="1022"/>
      <c r="F563" s="1022"/>
      <c r="G563" s="1022"/>
      <c r="V563" s="1022"/>
      <c r="W563" s="1022"/>
      <c r="X563" s="981"/>
      <c r="Y563" s="981"/>
      <c r="Z563" s="981"/>
    </row>
    <row r="564" spans="1:26">
      <c r="A564" s="981"/>
      <c r="B564" s="1022"/>
      <c r="C564" s="1022"/>
      <c r="D564" s="1022"/>
      <c r="E564" s="1022"/>
      <c r="F564" s="1022"/>
      <c r="G564" s="1022"/>
      <c r="V564" s="1022"/>
      <c r="W564" s="1022"/>
      <c r="X564" s="981"/>
      <c r="Y564" s="981"/>
      <c r="Z564" s="981"/>
    </row>
    <row r="565" spans="1:26">
      <c r="A565" s="981"/>
      <c r="B565" s="1022"/>
      <c r="C565" s="1022"/>
      <c r="D565" s="1022"/>
      <c r="E565" s="1022"/>
      <c r="F565" s="1022"/>
      <c r="G565" s="1022"/>
      <c r="V565" s="1022"/>
      <c r="W565" s="1022"/>
      <c r="X565" s="981"/>
      <c r="Y565" s="981"/>
      <c r="Z565" s="981"/>
    </row>
    <row r="566" spans="1:26">
      <c r="A566" s="981"/>
      <c r="B566" s="1022"/>
      <c r="C566" s="1022"/>
      <c r="D566" s="1022"/>
      <c r="E566" s="1022"/>
      <c r="F566" s="1022"/>
      <c r="G566" s="1022"/>
      <c r="V566" s="1022"/>
      <c r="W566" s="1022"/>
      <c r="X566" s="981"/>
      <c r="Y566" s="981"/>
      <c r="Z566" s="981"/>
    </row>
    <row r="567" spans="1:26">
      <c r="A567" s="981"/>
      <c r="B567" s="1022"/>
      <c r="C567" s="1022"/>
      <c r="D567" s="1022"/>
      <c r="E567" s="1022"/>
      <c r="F567" s="1022"/>
      <c r="G567" s="1022"/>
      <c r="V567" s="1022"/>
      <c r="W567" s="1022"/>
      <c r="X567" s="981"/>
      <c r="Y567" s="981"/>
      <c r="Z567" s="981"/>
    </row>
    <row r="568" spans="1:26">
      <c r="A568" s="981"/>
      <c r="B568" s="1022"/>
      <c r="C568" s="1022"/>
      <c r="D568" s="1022"/>
      <c r="E568" s="1022"/>
      <c r="F568" s="1022"/>
      <c r="G568" s="1022"/>
      <c r="V568" s="1022"/>
      <c r="W568" s="1022"/>
      <c r="X568" s="981"/>
      <c r="Y568" s="981"/>
      <c r="Z568" s="981"/>
    </row>
    <row r="569" spans="1:26">
      <c r="A569" s="981"/>
      <c r="B569" s="1022"/>
      <c r="C569" s="1022"/>
      <c r="D569" s="1022"/>
      <c r="E569" s="1022"/>
      <c r="F569" s="1022"/>
      <c r="G569" s="1022"/>
      <c r="V569" s="1022"/>
      <c r="W569" s="1022"/>
      <c r="X569" s="981"/>
      <c r="Y569" s="981"/>
      <c r="Z569" s="981"/>
    </row>
    <row r="570" spans="1:26">
      <c r="A570" s="981"/>
      <c r="B570" s="1022"/>
      <c r="C570" s="1022"/>
      <c r="D570" s="1022"/>
      <c r="E570" s="1022"/>
      <c r="F570" s="1022"/>
      <c r="G570" s="1022"/>
      <c r="V570" s="1022"/>
      <c r="W570" s="1022"/>
      <c r="X570" s="981"/>
      <c r="Y570" s="981"/>
      <c r="Z570" s="981"/>
    </row>
    <row r="571" spans="1:26">
      <c r="A571" s="981"/>
      <c r="B571" s="1022"/>
      <c r="C571" s="1022"/>
      <c r="D571" s="1022"/>
      <c r="E571" s="1022"/>
      <c r="F571" s="1022"/>
      <c r="G571" s="1022"/>
      <c r="V571" s="1022"/>
      <c r="W571" s="1022"/>
      <c r="X571" s="981"/>
      <c r="Y571" s="981"/>
      <c r="Z571" s="981"/>
    </row>
    <row r="572" spans="1:26">
      <c r="A572" s="981"/>
      <c r="B572" s="1022"/>
      <c r="C572" s="1022"/>
      <c r="D572" s="1022"/>
      <c r="E572" s="1022"/>
      <c r="F572" s="1022"/>
      <c r="G572" s="1022"/>
      <c r="V572" s="1022"/>
      <c r="W572" s="1022"/>
      <c r="X572" s="981"/>
      <c r="Y572" s="981"/>
      <c r="Z572" s="981"/>
    </row>
    <row r="573" spans="1:26">
      <c r="A573" s="981"/>
      <c r="B573" s="1022"/>
      <c r="C573" s="1022"/>
      <c r="D573" s="1022"/>
      <c r="E573" s="1022"/>
      <c r="F573" s="1022"/>
      <c r="G573" s="1022"/>
      <c r="V573" s="1022"/>
      <c r="W573" s="1022"/>
      <c r="X573" s="981"/>
      <c r="Y573" s="981"/>
      <c r="Z573" s="981"/>
    </row>
    <row r="574" spans="1:26">
      <c r="A574" s="981"/>
      <c r="B574" s="1022"/>
      <c r="C574" s="1022"/>
      <c r="D574" s="1022"/>
      <c r="E574" s="1022"/>
      <c r="F574" s="1022"/>
      <c r="G574" s="1022"/>
      <c r="V574" s="1022"/>
      <c r="W574" s="1022"/>
      <c r="X574" s="981"/>
      <c r="Y574" s="981"/>
      <c r="Z574" s="981"/>
    </row>
    <row r="575" spans="1:26">
      <c r="A575" s="981"/>
      <c r="B575" s="1022"/>
      <c r="C575" s="1022"/>
      <c r="D575" s="1022"/>
      <c r="E575" s="1022"/>
      <c r="F575" s="1022"/>
      <c r="G575" s="1022"/>
      <c r="V575" s="1022"/>
      <c r="W575" s="1022"/>
      <c r="X575" s="981"/>
      <c r="Y575" s="981"/>
      <c r="Z575" s="981"/>
    </row>
    <row r="576" spans="1:26">
      <c r="A576" s="981"/>
      <c r="B576" s="1022"/>
      <c r="C576" s="1022"/>
      <c r="D576" s="1022"/>
      <c r="E576" s="1022"/>
      <c r="F576" s="1022"/>
      <c r="G576" s="1022"/>
      <c r="V576" s="1022"/>
      <c r="W576" s="1022"/>
      <c r="X576" s="981"/>
      <c r="Y576" s="981"/>
      <c r="Z576" s="981"/>
    </row>
    <row r="577" spans="1:26">
      <c r="A577" s="981"/>
      <c r="B577" s="1022"/>
      <c r="C577" s="1022"/>
      <c r="D577" s="1022"/>
      <c r="E577" s="1022"/>
      <c r="F577" s="1022"/>
      <c r="G577" s="1022"/>
      <c r="V577" s="1022"/>
      <c r="W577" s="1022"/>
      <c r="X577" s="981"/>
      <c r="Y577" s="981"/>
      <c r="Z577" s="981"/>
    </row>
    <row r="578" spans="1:26">
      <c r="A578" s="981"/>
      <c r="B578" s="1022"/>
      <c r="C578" s="1022"/>
      <c r="D578" s="1022"/>
      <c r="E578" s="1022"/>
      <c r="F578" s="1022"/>
      <c r="G578" s="1022"/>
      <c r="V578" s="1022"/>
      <c r="W578" s="1022"/>
      <c r="X578" s="981"/>
      <c r="Y578" s="981"/>
      <c r="Z578" s="981"/>
    </row>
    <row r="579" spans="1:26">
      <c r="A579" s="981"/>
      <c r="B579" s="1022"/>
      <c r="C579" s="1022"/>
      <c r="D579" s="1022"/>
      <c r="E579" s="1022"/>
      <c r="F579" s="1022"/>
      <c r="G579" s="1022"/>
      <c r="V579" s="1022"/>
      <c r="W579" s="1022"/>
      <c r="X579" s="981"/>
      <c r="Y579" s="981"/>
      <c r="Z579" s="981"/>
    </row>
    <row r="580" spans="1:26">
      <c r="A580" s="981"/>
      <c r="B580" s="1022"/>
      <c r="C580" s="1022"/>
      <c r="D580" s="1022"/>
      <c r="E580" s="1022"/>
      <c r="F580" s="1022"/>
      <c r="G580" s="1022"/>
      <c r="V580" s="1022"/>
      <c r="W580" s="1022"/>
      <c r="X580" s="981"/>
      <c r="Y580" s="981"/>
      <c r="Z580" s="981"/>
    </row>
    <row r="581" spans="1:26">
      <c r="A581" s="981"/>
      <c r="B581" s="1022"/>
      <c r="C581" s="1022"/>
      <c r="D581" s="1022"/>
      <c r="E581" s="1022"/>
      <c r="F581" s="1022"/>
      <c r="G581" s="1022"/>
      <c r="V581" s="1022"/>
      <c r="W581" s="1022"/>
      <c r="X581" s="981"/>
      <c r="Y581" s="981"/>
      <c r="Z581" s="981"/>
    </row>
    <row r="582" spans="1:26">
      <c r="A582" s="981"/>
      <c r="B582" s="1022"/>
      <c r="C582" s="1022"/>
      <c r="D582" s="1022"/>
      <c r="E582" s="1022"/>
      <c r="F582" s="1022"/>
      <c r="G582" s="1022"/>
      <c r="V582" s="1022"/>
      <c r="W582" s="1022"/>
      <c r="X582" s="981"/>
      <c r="Y582" s="981"/>
      <c r="Z582" s="981"/>
    </row>
    <row r="583" spans="1:26">
      <c r="A583" s="981"/>
      <c r="B583" s="1022"/>
      <c r="C583" s="1022"/>
      <c r="D583" s="1022"/>
      <c r="E583" s="1022"/>
      <c r="F583" s="1022"/>
      <c r="G583" s="1022"/>
      <c r="V583" s="1022"/>
      <c r="W583" s="1022"/>
      <c r="X583" s="981"/>
      <c r="Y583" s="981"/>
      <c r="Z583" s="981"/>
    </row>
    <row r="584" spans="1:26">
      <c r="A584" s="981"/>
      <c r="B584" s="1022"/>
      <c r="C584" s="1022"/>
      <c r="D584" s="1022"/>
      <c r="E584" s="1022"/>
      <c r="F584" s="1022"/>
      <c r="G584" s="1022"/>
      <c r="V584" s="1022"/>
      <c r="W584" s="1022"/>
      <c r="X584" s="981"/>
      <c r="Y584" s="981"/>
      <c r="Z584" s="981"/>
    </row>
    <row r="585" spans="1:26">
      <c r="A585" s="981"/>
      <c r="B585" s="1022"/>
      <c r="C585" s="1022"/>
      <c r="D585" s="1022"/>
      <c r="E585" s="1022"/>
      <c r="F585" s="1022"/>
      <c r="G585" s="1022"/>
      <c r="V585" s="1022"/>
      <c r="W585" s="1022"/>
      <c r="X585" s="981"/>
      <c r="Y585" s="981"/>
      <c r="Z585" s="981"/>
    </row>
    <row r="586" spans="1:26">
      <c r="A586" s="981"/>
      <c r="B586" s="1022"/>
      <c r="C586" s="1022"/>
      <c r="D586" s="1022"/>
      <c r="E586" s="1022"/>
      <c r="F586" s="1022"/>
      <c r="G586" s="1022"/>
      <c r="V586" s="1022"/>
      <c r="W586" s="1022"/>
      <c r="X586" s="981"/>
      <c r="Y586" s="981"/>
      <c r="Z586" s="981"/>
    </row>
    <row r="587" spans="1:26">
      <c r="A587" s="981"/>
      <c r="B587" s="1022"/>
      <c r="C587" s="1022"/>
      <c r="D587" s="1022"/>
      <c r="E587" s="1022"/>
      <c r="F587" s="1022"/>
      <c r="G587" s="1022"/>
      <c r="V587" s="1022"/>
      <c r="W587" s="1022"/>
      <c r="X587" s="981"/>
      <c r="Y587" s="981"/>
      <c r="Z587" s="981"/>
    </row>
    <row r="588" spans="1:26">
      <c r="A588" s="981"/>
      <c r="B588" s="1022"/>
      <c r="C588" s="1022"/>
      <c r="D588" s="1022"/>
      <c r="E588" s="1022"/>
      <c r="F588" s="1022"/>
      <c r="G588" s="1022"/>
      <c r="V588" s="1022"/>
      <c r="W588" s="1022"/>
      <c r="X588" s="981"/>
      <c r="Y588" s="981"/>
      <c r="Z588" s="981"/>
    </row>
    <row r="589" spans="1:26">
      <c r="A589" s="981"/>
      <c r="B589" s="1022"/>
      <c r="C589" s="1022"/>
      <c r="D589" s="1022"/>
      <c r="E589" s="1022"/>
      <c r="F589" s="1022"/>
      <c r="G589" s="1022"/>
      <c r="V589" s="1022"/>
      <c r="W589" s="1022"/>
      <c r="X589" s="981"/>
      <c r="Y589" s="981"/>
      <c r="Z589" s="981"/>
    </row>
    <row r="590" spans="1:26">
      <c r="A590" s="981"/>
      <c r="B590" s="1022"/>
      <c r="C590" s="1022"/>
      <c r="D590" s="1022"/>
      <c r="E590" s="1022"/>
      <c r="F590" s="1022"/>
      <c r="G590" s="1022"/>
      <c r="V590" s="1022"/>
      <c r="W590" s="1022"/>
      <c r="X590" s="981"/>
      <c r="Y590" s="981"/>
      <c r="Z590" s="981"/>
    </row>
    <row r="591" spans="1:26">
      <c r="A591" s="981"/>
      <c r="B591" s="1022"/>
      <c r="C591" s="1022"/>
      <c r="D591" s="1022"/>
      <c r="E591" s="1022"/>
      <c r="F591" s="1022"/>
      <c r="G591" s="1022"/>
      <c r="V591" s="1022"/>
      <c r="W591" s="1022"/>
      <c r="X591" s="981"/>
      <c r="Y591" s="981"/>
      <c r="Z591" s="981"/>
    </row>
    <row r="592" spans="1:26">
      <c r="A592" s="981"/>
      <c r="B592" s="1022"/>
      <c r="C592" s="1022"/>
      <c r="D592" s="1022"/>
      <c r="E592" s="1022"/>
      <c r="F592" s="1022"/>
      <c r="G592" s="1022"/>
      <c r="V592" s="1022"/>
      <c r="W592" s="1022"/>
      <c r="X592" s="981"/>
      <c r="Y592" s="981"/>
      <c r="Z592" s="981"/>
    </row>
    <row r="593" spans="1:26">
      <c r="A593" s="981"/>
      <c r="B593" s="1022"/>
      <c r="C593" s="1022"/>
      <c r="D593" s="1022"/>
      <c r="E593" s="1022"/>
      <c r="F593" s="1022"/>
      <c r="G593" s="1022"/>
      <c r="V593" s="1022"/>
      <c r="W593" s="1022"/>
      <c r="X593" s="981"/>
      <c r="Y593" s="981"/>
      <c r="Z593" s="981"/>
    </row>
    <row r="594" spans="1:26">
      <c r="A594" s="981"/>
      <c r="B594" s="1022"/>
      <c r="C594" s="1022"/>
      <c r="D594" s="1022"/>
      <c r="E594" s="1022"/>
      <c r="F594" s="1022"/>
      <c r="G594" s="1022"/>
      <c r="V594" s="1022"/>
      <c r="W594" s="1022"/>
      <c r="X594" s="981"/>
      <c r="Y594" s="981"/>
      <c r="Z594" s="981"/>
    </row>
    <row r="595" spans="1:26">
      <c r="A595" s="981"/>
      <c r="B595" s="1022"/>
      <c r="C595" s="1022"/>
      <c r="D595" s="1022"/>
      <c r="E595" s="1022"/>
      <c r="F595" s="1022"/>
      <c r="G595" s="1022"/>
      <c r="V595" s="1022"/>
      <c r="W595" s="1022"/>
      <c r="X595" s="981"/>
      <c r="Y595" s="981"/>
      <c r="Z595" s="981"/>
    </row>
    <row r="596" spans="1:26">
      <c r="A596" s="981"/>
      <c r="B596" s="1022"/>
      <c r="C596" s="1022"/>
      <c r="D596" s="1022"/>
      <c r="E596" s="1022"/>
      <c r="F596" s="1022"/>
      <c r="G596" s="1022"/>
      <c r="V596" s="1022"/>
      <c r="W596" s="1022"/>
      <c r="X596" s="981"/>
      <c r="Y596" s="981"/>
      <c r="Z596" s="981"/>
    </row>
    <row r="597" spans="1:26">
      <c r="A597" s="981"/>
      <c r="B597" s="1022"/>
      <c r="C597" s="1022"/>
      <c r="D597" s="1022"/>
      <c r="E597" s="1022"/>
      <c r="F597" s="1022"/>
      <c r="G597" s="1022"/>
      <c r="V597" s="1022"/>
      <c r="W597" s="1022"/>
      <c r="X597" s="981"/>
      <c r="Y597" s="981"/>
      <c r="Z597" s="981"/>
    </row>
    <row r="598" spans="1:26">
      <c r="A598" s="981"/>
      <c r="B598" s="1022"/>
      <c r="C598" s="1022"/>
      <c r="D598" s="1022"/>
      <c r="E598" s="1022"/>
      <c r="F598" s="1022"/>
      <c r="G598" s="1022"/>
      <c r="V598" s="1022"/>
      <c r="W598" s="1022"/>
      <c r="X598" s="981"/>
      <c r="Y598" s="981"/>
      <c r="Z598" s="981"/>
    </row>
    <row r="599" spans="1:26">
      <c r="A599" s="981"/>
      <c r="B599" s="1022"/>
      <c r="C599" s="1022"/>
      <c r="D599" s="1022"/>
      <c r="E599" s="1022"/>
      <c r="F599" s="1022"/>
      <c r="G599" s="1022"/>
      <c r="V599" s="1022"/>
      <c r="W599" s="1022"/>
      <c r="X599" s="981"/>
      <c r="Y599" s="981"/>
      <c r="Z599" s="981"/>
    </row>
    <row r="600" spans="1:26">
      <c r="A600" s="981"/>
      <c r="B600" s="1022"/>
      <c r="C600" s="1022"/>
      <c r="D600" s="1022"/>
      <c r="E600" s="1022"/>
      <c r="F600" s="1022"/>
      <c r="G600" s="1022"/>
      <c r="V600" s="1022"/>
      <c r="W600" s="1022"/>
      <c r="X600" s="981"/>
      <c r="Y600" s="981"/>
      <c r="Z600" s="981"/>
    </row>
    <row r="601" spans="1:26">
      <c r="A601" s="981"/>
      <c r="B601" s="1022"/>
      <c r="C601" s="1022"/>
      <c r="D601" s="1022"/>
      <c r="E601" s="1022"/>
      <c r="F601" s="1022"/>
      <c r="G601" s="1022"/>
      <c r="V601" s="1022"/>
      <c r="W601" s="1022"/>
      <c r="X601" s="981"/>
      <c r="Y601" s="981"/>
      <c r="Z601" s="981"/>
    </row>
    <row r="602" spans="1:26">
      <c r="A602" s="981"/>
      <c r="B602" s="1022"/>
      <c r="C602" s="1022"/>
      <c r="D602" s="1022"/>
      <c r="E602" s="1022"/>
      <c r="F602" s="1022"/>
      <c r="G602" s="1022"/>
      <c r="V602" s="1022"/>
      <c r="W602" s="1022"/>
      <c r="X602" s="981"/>
      <c r="Y602" s="981"/>
      <c r="Z602" s="981"/>
    </row>
    <row r="603" spans="1:26">
      <c r="A603" s="981"/>
      <c r="B603" s="1022"/>
      <c r="C603" s="1022"/>
      <c r="D603" s="1022"/>
      <c r="E603" s="1022"/>
      <c r="F603" s="1022"/>
      <c r="G603" s="1022"/>
      <c r="V603" s="1022"/>
      <c r="W603" s="1022"/>
      <c r="X603" s="981"/>
      <c r="Y603" s="981"/>
      <c r="Z603" s="981"/>
    </row>
    <row r="604" spans="1:26">
      <c r="A604" s="981"/>
      <c r="B604" s="1022"/>
      <c r="C604" s="1022"/>
      <c r="D604" s="1022"/>
      <c r="E604" s="1022"/>
      <c r="F604" s="1022"/>
      <c r="G604" s="1022"/>
      <c r="V604" s="1022"/>
      <c r="W604" s="1022"/>
      <c r="X604" s="981"/>
      <c r="Y604" s="981"/>
      <c r="Z604" s="981"/>
    </row>
    <row r="605" spans="1:26">
      <c r="A605" s="981"/>
      <c r="B605" s="1022"/>
      <c r="C605" s="1022"/>
      <c r="D605" s="1022"/>
      <c r="E605" s="1022"/>
      <c r="F605" s="1022"/>
      <c r="G605" s="1022"/>
      <c r="V605" s="1022"/>
      <c r="W605" s="1022"/>
      <c r="X605" s="981"/>
      <c r="Y605" s="981"/>
      <c r="Z605" s="981"/>
    </row>
    <row r="606" spans="1:26">
      <c r="A606" s="981"/>
      <c r="B606" s="1022"/>
      <c r="C606" s="1022"/>
      <c r="D606" s="1022"/>
      <c r="E606" s="1022"/>
      <c r="F606" s="1022"/>
      <c r="G606" s="1022"/>
      <c r="V606" s="1022"/>
      <c r="W606" s="1022"/>
      <c r="X606" s="981"/>
      <c r="Y606" s="981"/>
      <c r="Z606" s="981"/>
    </row>
    <row r="607" spans="1:26">
      <c r="A607" s="981"/>
      <c r="B607" s="1022"/>
      <c r="C607" s="1022"/>
      <c r="D607" s="1022"/>
      <c r="E607" s="1022"/>
      <c r="F607" s="1022"/>
      <c r="G607" s="1022"/>
      <c r="V607" s="1022"/>
      <c r="W607" s="1022"/>
      <c r="X607" s="981"/>
      <c r="Y607" s="981"/>
      <c r="Z607" s="981"/>
    </row>
    <row r="608" spans="1:26">
      <c r="A608" s="981"/>
      <c r="B608" s="1022"/>
      <c r="C608" s="1022"/>
      <c r="D608" s="1022"/>
      <c r="E608" s="1022"/>
      <c r="F608" s="1022"/>
      <c r="G608" s="1022"/>
      <c r="V608" s="1022"/>
      <c r="W608" s="1022"/>
      <c r="X608" s="981"/>
      <c r="Y608" s="981"/>
      <c r="Z608" s="981"/>
    </row>
    <row r="609" spans="1:26">
      <c r="A609" s="981"/>
      <c r="B609" s="1022"/>
      <c r="C609" s="1022"/>
      <c r="D609" s="1022"/>
      <c r="E609" s="1022"/>
      <c r="F609" s="1022"/>
      <c r="G609" s="1022"/>
      <c r="V609" s="1022"/>
      <c r="W609" s="1022"/>
      <c r="X609" s="981"/>
      <c r="Y609" s="981"/>
      <c r="Z609" s="981"/>
    </row>
    <row r="610" spans="1:26">
      <c r="A610" s="981"/>
      <c r="B610" s="1022"/>
      <c r="C610" s="1022"/>
      <c r="D610" s="1022"/>
      <c r="E610" s="1022"/>
      <c r="F610" s="1022"/>
      <c r="G610" s="1022"/>
      <c r="V610" s="1022"/>
      <c r="W610" s="1022"/>
      <c r="X610" s="981"/>
      <c r="Y610" s="981"/>
      <c r="Z610" s="981"/>
    </row>
    <row r="611" spans="1:26">
      <c r="A611" s="981"/>
      <c r="B611" s="1022"/>
      <c r="C611" s="1022"/>
      <c r="D611" s="1022"/>
      <c r="E611" s="1022"/>
      <c r="F611" s="1022"/>
      <c r="G611" s="1022"/>
      <c r="V611" s="1022"/>
      <c r="W611" s="1022"/>
      <c r="X611" s="981"/>
      <c r="Y611" s="981"/>
      <c r="Z611" s="981"/>
    </row>
    <row r="612" spans="1:26">
      <c r="A612" s="981"/>
      <c r="B612" s="1022"/>
      <c r="C612" s="1022"/>
      <c r="D612" s="1022"/>
      <c r="E612" s="1022"/>
      <c r="F612" s="1022"/>
      <c r="G612" s="1022"/>
      <c r="V612" s="1022"/>
      <c r="W612" s="1022"/>
      <c r="X612" s="981"/>
      <c r="Y612" s="981"/>
      <c r="Z612" s="981"/>
    </row>
    <row r="613" spans="1:26">
      <c r="A613" s="981"/>
      <c r="B613" s="1022"/>
      <c r="C613" s="1022"/>
      <c r="D613" s="1022"/>
      <c r="E613" s="1022"/>
      <c r="F613" s="1022"/>
      <c r="G613" s="1022"/>
      <c r="V613" s="1022"/>
      <c r="W613" s="1022"/>
      <c r="X613" s="981"/>
      <c r="Y613" s="981"/>
      <c r="Z613" s="981"/>
    </row>
    <row r="614" spans="1:26">
      <c r="A614" s="981"/>
      <c r="B614" s="1022"/>
      <c r="C614" s="1022"/>
      <c r="D614" s="1022"/>
      <c r="E614" s="1022"/>
      <c r="F614" s="1022"/>
      <c r="G614" s="1022"/>
      <c r="V614" s="1022"/>
      <c r="W614" s="1022"/>
      <c r="X614" s="981"/>
      <c r="Y614" s="981"/>
      <c r="Z614" s="981"/>
    </row>
    <row r="615" spans="1:26">
      <c r="A615" s="981"/>
      <c r="B615" s="1022"/>
      <c r="C615" s="1022"/>
      <c r="D615" s="1022"/>
      <c r="E615" s="1022"/>
      <c r="F615" s="1022"/>
      <c r="G615" s="1022"/>
      <c r="V615" s="1022"/>
      <c r="W615" s="1022"/>
      <c r="X615" s="981"/>
      <c r="Y615" s="981"/>
      <c r="Z615" s="981"/>
    </row>
    <row r="616" spans="1:26">
      <c r="A616" s="981"/>
      <c r="B616" s="1022"/>
      <c r="C616" s="1022"/>
      <c r="D616" s="1022"/>
      <c r="E616" s="1022"/>
      <c r="F616" s="1022"/>
      <c r="G616" s="1022"/>
      <c r="V616" s="1022"/>
      <c r="W616" s="1022"/>
      <c r="X616" s="981"/>
      <c r="Y616" s="981"/>
      <c r="Z616" s="981"/>
    </row>
    <row r="617" spans="1:26">
      <c r="A617" s="981"/>
      <c r="B617" s="1022"/>
      <c r="C617" s="1022"/>
      <c r="D617" s="1022"/>
      <c r="E617" s="1022"/>
      <c r="F617" s="1022"/>
      <c r="G617" s="1022"/>
      <c r="V617" s="1022"/>
      <c r="W617" s="1022"/>
      <c r="X617" s="981"/>
      <c r="Y617" s="981"/>
      <c r="Z617" s="981"/>
    </row>
    <row r="618" spans="1:26">
      <c r="A618" s="981"/>
      <c r="B618" s="1022"/>
      <c r="C618" s="1022"/>
      <c r="D618" s="1022"/>
      <c r="E618" s="1022"/>
      <c r="F618" s="1022"/>
      <c r="G618" s="1022"/>
      <c r="V618" s="1022"/>
      <c r="W618" s="1022"/>
      <c r="X618" s="981"/>
      <c r="Y618" s="981"/>
      <c r="Z618" s="981"/>
    </row>
    <row r="619" spans="1:26">
      <c r="A619" s="981"/>
      <c r="B619" s="1022"/>
      <c r="C619" s="1022"/>
      <c r="D619" s="1022"/>
      <c r="E619" s="1022"/>
      <c r="F619" s="1022"/>
      <c r="G619" s="1022"/>
      <c r="V619" s="1022"/>
      <c r="W619" s="1022"/>
      <c r="X619" s="981"/>
      <c r="Y619" s="981"/>
      <c r="Z619" s="981"/>
    </row>
    <row r="620" spans="1:26">
      <c r="A620" s="981"/>
      <c r="B620" s="1022"/>
      <c r="C620" s="1022"/>
      <c r="D620" s="1022"/>
      <c r="E620" s="1022"/>
      <c r="F620" s="1022"/>
      <c r="G620" s="1022"/>
      <c r="V620" s="1022"/>
      <c r="W620" s="1022"/>
      <c r="X620" s="981"/>
      <c r="Y620" s="981"/>
      <c r="Z620" s="981"/>
    </row>
    <row r="621" spans="1:26">
      <c r="A621" s="981"/>
      <c r="B621" s="1022"/>
      <c r="C621" s="1022"/>
      <c r="D621" s="1022"/>
      <c r="E621" s="1022"/>
      <c r="F621" s="1022"/>
      <c r="G621" s="1022"/>
      <c r="V621" s="1022"/>
      <c r="W621" s="1022"/>
      <c r="X621" s="981"/>
      <c r="Y621" s="981"/>
      <c r="Z621" s="981"/>
    </row>
    <row r="622" spans="1:26">
      <c r="A622" s="981"/>
      <c r="B622" s="1022"/>
      <c r="C622" s="1022"/>
      <c r="D622" s="1022"/>
      <c r="E622" s="1022"/>
      <c r="F622" s="1022"/>
      <c r="G622" s="1022"/>
      <c r="V622" s="1022"/>
      <c r="W622" s="1022"/>
      <c r="X622" s="981"/>
      <c r="Y622" s="981"/>
      <c r="Z622" s="981"/>
    </row>
    <row r="623" spans="1:26">
      <c r="A623" s="981"/>
      <c r="B623" s="1022"/>
      <c r="C623" s="1022"/>
      <c r="D623" s="1022"/>
      <c r="E623" s="1022"/>
      <c r="F623" s="1022"/>
      <c r="G623" s="1022"/>
      <c r="V623" s="1022"/>
      <c r="W623" s="1022"/>
      <c r="X623" s="981"/>
      <c r="Y623" s="981"/>
      <c r="Z623" s="981"/>
    </row>
    <row r="624" spans="1:26">
      <c r="A624" s="981"/>
      <c r="B624" s="1022"/>
      <c r="C624" s="1022"/>
      <c r="D624" s="1022"/>
      <c r="E624" s="1022"/>
      <c r="F624" s="1022"/>
      <c r="G624" s="1022"/>
      <c r="V624" s="1022"/>
      <c r="W624" s="1022"/>
      <c r="X624" s="981"/>
      <c r="Y624" s="981"/>
      <c r="Z624" s="981"/>
    </row>
    <row r="625" spans="1:26">
      <c r="A625" s="981"/>
      <c r="B625" s="1022"/>
      <c r="C625" s="1022"/>
      <c r="D625" s="1022"/>
      <c r="E625" s="1022"/>
      <c r="F625" s="1022"/>
      <c r="G625" s="1022"/>
      <c r="V625" s="1022"/>
      <c r="W625" s="1022"/>
      <c r="X625" s="981"/>
      <c r="Y625" s="981"/>
      <c r="Z625" s="981"/>
    </row>
    <row r="626" spans="1:26">
      <c r="A626" s="981"/>
      <c r="B626" s="1022"/>
      <c r="C626" s="1022"/>
      <c r="D626" s="1022"/>
      <c r="E626" s="1022"/>
      <c r="F626" s="1022"/>
      <c r="G626" s="1022"/>
      <c r="V626" s="1022"/>
      <c r="W626" s="1022"/>
      <c r="X626" s="981"/>
      <c r="Y626" s="981"/>
      <c r="Z626" s="981"/>
    </row>
    <row r="627" spans="1:26">
      <c r="A627" s="981"/>
      <c r="B627" s="1022"/>
      <c r="C627" s="1022"/>
      <c r="D627" s="1022"/>
      <c r="E627" s="1022"/>
      <c r="F627" s="1022"/>
      <c r="G627" s="1022"/>
      <c r="V627" s="1022"/>
      <c r="W627" s="1022"/>
      <c r="X627" s="981"/>
      <c r="Y627" s="981"/>
      <c r="Z627" s="981"/>
    </row>
    <row r="628" spans="1:26">
      <c r="A628" s="981"/>
      <c r="B628" s="1022"/>
      <c r="C628" s="1022"/>
      <c r="D628" s="1022"/>
      <c r="E628" s="1022"/>
      <c r="F628" s="1022"/>
      <c r="G628" s="1022"/>
      <c r="V628" s="1022"/>
      <c r="W628" s="1022"/>
      <c r="X628" s="981"/>
      <c r="Y628" s="981"/>
      <c r="Z628" s="981"/>
    </row>
    <row r="629" spans="1:26">
      <c r="A629" s="981"/>
      <c r="B629" s="1022"/>
      <c r="C629" s="1022"/>
      <c r="D629" s="1022"/>
      <c r="E629" s="1022"/>
      <c r="F629" s="1022"/>
      <c r="G629" s="1022"/>
      <c r="V629" s="1022"/>
      <c r="W629" s="1022"/>
      <c r="X629" s="981"/>
      <c r="Y629" s="981"/>
      <c r="Z629" s="981"/>
    </row>
    <row r="630" spans="1:26">
      <c r="A630" s="981"/>
      <c r="B630" s="1022"/>
      <c r="C630" s="1022"/>
      <c r="D630" s="1022"/>
      <c r="E630" s="1022"/>
      <c r="F630" s="1022"/>
      <c r="G630" s="1022"/>
      <c r="V630" s="1022"/>
      <c r="W630" s="1022"/>
      <c r="X630" s="981"/>
      <c r="Y630" s="981"/>
      <c r="Z630" s="981"/>
    </row>
    <row r="631" spans="1:26">
      <c r="A631" s="981"/>
      <c r="B631" s="1022"/>
      <c r="C631" s="1022"/>
      <c r="D631" s="1022"/>
      <c r="E631" s="1022"/>
      <c r="F631" s="1022"/>
      <c r="G631" s="1022"/>
      <c r="V631" s="1022"/>
      <c r="W631" s="1022"/>
      <c r="X631" s="981"/>
      <c r="Y631" s="981"/>
      <c r="Z631" s="981"/>
    </row>
    <row r="632" spans="1:26">
      <c r="A632" s="981"/>
      <c r="B632" s="1022"/>
      <c r="C632" s="1022"/>
      <c r="D632" s="1022"/>
      <c r="E632" s="1022"/>
      <c r="F632" s="1022"/>
      <c r="G632" s="1022"/>
      <c r="V632" s="1022"/>
      <c r="W632" s="1022"/>
      <c r="X632" s="981"/>
      <c r="Y632" s="981"/>
      <c r="Z632" s="981"/>
    </row>
    <row r="633" spans="1:26">
      <c r="A633" s="981"/>
      <c r="B633" s="1022"/>
      <c r="C633" s="1022"/>
      <c r="D633" s="1022"/>
      <c r="E633" s="1022"/>
      <c r="F633" s="1022"/>
      <c r="G633" s="1022"/>
      <c r="V633" s="1022"/>
      <c r="W633" s="1022"/>
      <c r="X633" s="981"/>
      <c r="Y633" s="981"/>
      <c r="Z633" s="981"/>
    </row>
    <row r="634" spans="1:26">
      <c r="A634" s="981"/>
      <c r="B634" s="1022"/>
      <c r="C634" s="1022"/>
      <c r="D634" s="1022"/>
      <c r="E634" s="1022"/>
      <c r="F634" s="1022"/>
      <c r="G634" s="1022"/>
      <c r="V634" s="1022"/>
      <c r="W634" s="1022"/>
      <c r="X634" s="981"/>
      <c r="Y634" s="981"/>
      <c r="Z634" s="981"/>
    </row>
    <row r="635" spans="1:26">
      <c r="A635" s="981"/>
      <c r="B635" s="1022"/>
      <c r="C635" s="1022"/>
      <c r="D635" s="1022"/>
      <c r="E635" s="1022"/>
      <c r="F635" s="1022"/>
      <c r="G635" s="1022"/>
      <c r="V635" s="1022"/>
      <c r="W635" s="1022"/>
      <c r="X635" s="981"/>
      <c r="Y635" s="981"/>
      <c r="Z635" s="981"/>
    </row>
    <row r="636" spans="1:26">
      <c r="A636" s="981"/>
      <c r="B636" s="1022"/>
      <c r="C636" s="1022"/>
      <c r="D636" s="1022"/>
      <c r="E636" s="1022"/>
      <c r="F636" s="1022"/>
      <c r="G636" s="1022"/>
      <c r="V636" s="1022"/>
      <c r="W636" s="1022"/>
      <c r="X636" s="981"/>
      <c r="Y636" s="981"/>
      <c r="Z636" s="981"/>
    </row>
    <row r="637" spans="1:26">
      <c r="A637" s="981"/>
      <c r="B637" s="1022"/>
      <c r="C637" s="1022"/>
      <c r="D637" s="1022"/>
      <c r="E637" s="1022"/>
      <c r="F637" s="1022"/>
      <c r="G637" s="1022"/>
      <c r="V637" s="1022"/>
      <c r="W637" s="1022"/>
      <c r="X637" s="981"/>
      <c r="Y637" s="981"/>
      <c r="Z637" s="981"/>
    </row>
    <row r="638" spans="1:26">
      <c r="A638" s="981"/>
      <c r="B638" s="1022"/>
      <c r="C638" s="1022"/>
      <c r="D638" s="1022"/>
      <c r="E638" s="1022"/>
      <c r="F638" s="1022"/>
      <c r="G638" s="1022"/>
      <c r="V638" s="1022"/>
      <c r="W638" s="1022"/>
      <c r="X638" s="981"/>
      <c r="Y638" s="981"/>
      <c r="Z638" s="981"/>
    </row>
    <row r="639" spans="1:26">
      <c r="A639" s="981"/>
      <c r="B639" s="1022"/>
      <c r="C639" s="1022"/>
      <c r="D639" s="1022"/>
      <c r="E639" s="1022"/>
      <c r="F639" s="1022"/>
      <c r="G639" s="1022"/>
      <c r="V639" s="1022"/>
      <c r="W639" s="1022"/>
      <c r="X639" s="981"/>
      <c r="Y639" s="981"/>
      <c r="Z639" s="981"/>
    </row>
    <row r="640" spans="1:26">
      <c r="A640" s="981"/>
      <c r="B640" s="1022"/>
      <c r="C640" s="1022"/>
      <c r="D640" s="1022"/>
      <c r="E640" s="1022"/>
      <c r="F640" s="1022"/>
      <c r="G640" s="1022"/>
      <c r="V640" s="1022"/>
      <c r="W640" s="1022"/>
      <c r="X640" s="981"/>
      <c r="Y640" s="981"/>
      <c r="Z640" s="981"/>
    </row>
    <row r="641" spans="1:26">
      <c r="A641" s="981"/>
      <c r="B641" s="1022"/>
      <c r="C641" s="1022"/>
      <c r="D641" s="1022"/>
      <c r="E641" s="1022"/>
      <c r="F641" s="1022"/>
      <c r="G641" s="1022"/>
      <c r="V641" s="1022"/>
      <c r="W641" s="1022"/>
      <c r="X641" s="981"/>
      <c r="Y641" s="981"/>
      <c r="Z641" s="981"/>
    </row>
    <row r="642" spans="1:26">
      <c r="A642" s="981"/>
      <c r="B642" s="1022"/>
      <c r="C642" s="1022"/>
      <c r="D642" s="1022"/>
      <c r="E642" s="1022"/>
      <c r="F642" s="1022"/>
      <c r="G642" s="1022"/>
      <c r="V642" s="1022"/>
      <c r="W642" s="1022"/>
      <c r="X642" s="981"/>
      <c r="Y642" s="981"/>
      <c r="Z642" s="981"/>
    </row>
    <row r="643" spans="1:26">
      <c r="A643" s="981"/>
      <c r="B643" s="1022"/>
      <c r="C643" s="1022"/>
      <c r="D643" s="1022"/>
      <c r="E643" s="1022"/>
      <c r="F643" s="1022"/>
      <c r="G643" s="1022"/>
      <c r="V643" s="1022"/>
      <c r="W643" s="1022"/>
      <c r="X643" s="981"/>
      <c r="Y643" s="981"/>
      <c r="Z643" s="981"/>
    </row>
    <row r="644" spans="1:26">
      <c r="A644" s="981"/>
      <c r="B644" s="1022"/>
      <c r="C644" s="1022"/>
      <c r="D644" s="1022"/>
      <c r="E644" s="1022"/>
      <c r="F644" s="1022"/>
      <c r="G644" s="1022"/>
      <c r="V644" s="1022"/>
      <c r="W644" s="1022"/>
      <c r="X644" s="981"/>
      <c r="Y644" s="981"/>
      <c r="Z644" s="981"/>
    </row>
    <row r="645" spans="1:26">
      <c r="A645" s="981"/>
      <c r="B645" s="1022"/>
      <c r="C645" s="1022"/>
      <c r="D645" s="1022"/>
      <c r="E645" s="1022"/>
      <c r="F645" s="1022"/>
      <c r="G645" s="1022"/>
      <c r="V645" s="1022"/>
      <c r="W645" s="1022"/>
      <c r="X645" s="981"/>
      <c r="Y645" s="981"/>
      <c r="Z645" s="981"/>
    </row>
    <row r="646" spans="1:26">
      <c r="A646" s="981"/>
      <c r="B646" s="1022"/>
      <c r="C646" s="1022"/>
      <c r="D646" s="1022"/>
      <c r="E646" s="1022"/>
      <c r="F646" s="1022"/>
      <c r="G646" s="1022"/>
      <c r="V646" s="1022"/>
      <c r="W646" s="1022"/>
      <c r="X646" s="981"/>
      <c r="Y646" s="981"/>
      <c r="Z646" s="981"/>
    </row>
    <row r="647" spans="1:26">
      <c r="A647" s="981"/>
      <c r="B647" s="1022"/>
      <c r="C647" s="1022"/>
      <c r="D647" s="1022"/>
      <c r="E647" s="1022"/>
      <c r="F647" s="1022"/>
      <c r="G647" s="1022"/>
      <c r="V647" s="1022"/>
      <c r="W647" s="1022"/>
      <c r="X647" s="981"/>
      <c r="Y647" s="981"/>
      <c r="Z647" s="981"/>
    </row>
    <row r="648" spans="1:26">
      <c r="A648" s="981"/>
      <c r="B648" s="1022"/>
      <c r="C648" s="1022"/>
      <c r="D648" s="1022"/>
      <c r="E648" s="1022"/>
      <c r="F648" s="1022"/>
      <c r="G648" s="1022"/>
      <c r="V648" s="1022"/>
      <c r="W648" s="1022"/>
      <c r="X648" s="981"/>
      <c r="Y648" s="981"/>
      <c r="Z648" s="981"/>
    </row>
    <row r="649" spans="1:26">
      <c r="A649" s="981"/>
      <c r="B649" s="1022"/>
      <c r="C649" s="1022"/>
      <c r="D649" s="1022"/>
      <c r="E649" s="1022"/>
      <c r="F649" s="1022"/>
      <c r="G649" s="1022"/>
      <c r="V649" s="1022"/>
      <c r="W649" s="1022"/>
      <c r="X649" s="981"/>
      <c r="Y649" s="981"/>
      <c r="Z649" s="981"/>
    </row>
    <row r="650" spans="1:26">
      <c r="A650" s="981"/>
      <c r="B650" s="1022"/>
      <c r="C650" s="1022"/>
      <c r="D650" s="1022"/>
      <c r="E650" s="1022"/>
      <c r="F650" s="1022"/>
      <c r="G650" s="1022"/>
      <c r="V650" s="1022"/>
      <c r="W650" s="1022"/>
      <c r="X650" s="981"/>
      <c r="Y650" s="981"/>
      <c r="Z650" s="981"/>
    </row>
    <row r="651" spans="1:26">
      <c r="A651" s="981"/>
      <c r="B651" s="1022"/>
      <c r="C651" s="1022"/>
      <c r="D651" s="1022"/>
      <c r="E651" s="1022"/>
      <c r="F651" s="1022"/>
      <c r="G651" s="1022"/>
      <c r="V651" s="1022"/>
      <c r="W651" s="1022"/>
      <c r="X651" s="981"/>
      <c r="Y651" s="981"/>
      <c r="Z651" s="981"/>
    </row>
    <row r="652" spans="1:26">
      <c r="A652" s="981"/>
      <c r="B652" s="1022"/>
      <c r="C652" s="1022"/>
      <c r="D652" s="1022"/>
      <c r="E652" s="1022"/>
      <c r="F652" s="1022"/>
      <c r="G652" s="1022"/>
      <c r="V652" s="1022"/>
      <c r="W652" s="1022"/>
      <c r="X652" s="981"/>
      <c r="Y652" s="981"/>
      <c r="Z652" s="981"/>
    </row>
    <row r="653" spans="1:26">
      <c r="A653" s="981"/>
      <c r="B653" s="1022"/>
      <c r="C653" s="1022"/>
      <c r="D653" s="1022"/>
      <c r="E653" s="1022"/>
      <c r="F653" s="1022"/>
      <c r="G653" s="1022"/>
      <c r="V653" s="1022"/>
      <c r="W653" s="1022"/>
      <c r="X653" s="981"/>
      <c r="Y653" s="981"/>
      <c r="Z653" s="981"/>
    </row>
    <row r="654" spans="1:26">
      <c r="A654" s="981"/>
      <c r="B654" s="1022"/>
      <c r="C654" s="1022"/>
      <c r="D654" s="1022"/>
      <c r="E654" s="1022"/>
      <c r="F654" s="1022"/>
      <c r="G654" s="1022"/>
      <c r="V654" s="1022"/>
      <c r="W654" s="1022"/>
      <c r="X654" s="981"/>
      <c r="Y654" s="981"/>
      <c r="Z654" s="981"/>
    </row>
    <row r="655" spans="1:26">
      <c r="A655" s="981"/>
      <c r="B655" s="1022"/>
      <c r="C655" s="1022"/>
      <c r="D655" s="1022"/>
      <c r="E655" s="1022"/>
      <c r="F655" s="1022"/>
      <c r="G655" s="1022"/>
      <c r="V655" s="1022"/>
      <c r="W655" s="1022"/>
      <c r="X655" s="981"/>
      <c r="Y655" s="981"/>
      <c r="Z655" s="981"/>
    </row>
    <row r="656" spans="1:26">
      <c r="A656" s="981"/>
      <c r="B656" s="1022"/>
      <c r="C656" s="1022"/>
      <c r="D656" s="1022"/>
      <c r="E656" s="1022"/>
      <c r="F656" s="1022"/>
      <c r="G656" s="1022"/>
      <c r="V656" s="1022"/>
      <c r="W656" s="1022"/>
      <c r="X656" s="981"/>
      <c r="Y656" s="981"/>
      <c r="Z656" s="981"/>
    </row>
    <row r="657" spans="1:26">
      <c r="A657" s="981"/>
      <c r="B657" s="1022"/>
      <c r="C657" s="1022"/>
      <c r="D657" s="1022"/>
      <c r="E657" s="1022"/>
      <c r="F657" s="1022"/>
      <c r="G657" s="1022"/>
      <c r="V657" s="1022"/>
      <c r="W657" s="1022"/>
      <c r="X657" s="981"/>
      <c r="Y657" s="981"/>
      <c r="Z657" s="981"/>
    </row>
    <row r="658" spans="1:26">
      <c r="A658" s="981"/>
      <c r="B658" s="1022"/>
      <c r="C658" s="1022"/>
      <c r="D658" s="1022"/>
      <c r="E658" s="1022"/>
      <c r="F658" s="1022"/>
      <c r="G658" s="1022"/>
      <c r="V658" s="1022"/>
      <c r="W658" s="1022"/>
      <c r="X658" s="981"/>
      <c r="Y658" s="981"/>
      <c r="Z658" s="981"/>
    </row>
    <row r="659" spans="1:26">
      <c r="A659" s="981"/>
      <c r="B659" s="1022"/>
      <c r="C659" s="1022"/>
      <c r="D659" s="1022"/>
      <c r="E659" s="1022"/>
      <c r="F659" s="1022"/>
      <c r="G659" s="1022"/>
      <c r="V659" s="1022"/>
      <c r="W659" s="1022"/>
      <c r="X659" s="981"/>
      <c r="Y659" s="981"/>
      <c r="Z659" s="981"/>
    </row>
    <row r="660" spans="1:26">
      <c r="A660" s="981"/>
      <c r="B660" s="1022"/>
      <c r="C660" s="1022"/>
      <c r="D660" s="1022"/>
      <c r="E660" s="1022"/>
      <c r="F660" s="1022"/>
      <c r="G660" s="1022"/>
      <c r="V660" s="1022"/>
      <c r="W660" s="1022"/>
      <c r="X660" s="981"/>
      <c r="Y660" s="981"/>
      <c r="Z660" s="981"/>
    </row>
    <row r="661" spans="1:26">
      <c r="A661" s="981"/>
      <c r="B661" s="1022"/>
      <c r="C661" s="1022"/>
      <c r="D661" s="1022"/>
      <c r="E661" s="1022"/>
      <c r="F661" s="1022"/>
      <c r="G661" s="1022"/>
      <c r="V661" s="1022"/>
      <c r="W661" s="1022"/>
      <c r="X661" s="981"/>
      <c r="Y661" s="981"/>
      <c r="Z661" s="981"/>
    </row>
    <row r="662" spans="1:26">
      <c r="A662" s="981"/>
      <c r="B662" s="1022"/>
      <c r="C662" s="1022"/>
      <c r="D662" s="1022"/>
      <c r="E662" s="1022"/>
      <c r="F662" s="1022"/>
      <c r="G662" s="1022"/>
      <c r="V662" s="1022"/>
      <c r="W662" s="1022"/>
      <c r="X662" s="981"/>
      <c r="Y662" s="981"/>
      <c r="Z662" s="981"/>
    </row>
    <row r="663" spans="1:26">
      <c r="A663" s="981"/>
      <c r="B663" s="1022"/>
      <c r="C663" s="1022"/>
      <c r="D663" s="1022"/>
      <c r="E663" s="1022"/>
      <c r="F663" s="1022"/>
      <c r="G663" s="1022"/>
      <c r="V663" s="1022"/>
      <c r="W663" s="1022"/>
      <c r="X663" s="981"/>
      <c r="Y663" s="981"/>
      <c r="Z663" s="981"/>
    </row>
    <row r="664" spans="1:26">
      <c r="A664" s="981"/>
      <c r="B664" s="1022"/>
      <c r="C664" s="1022"/>
      <c r="D664" s="1022"/>
      <c r="E664" s="1022"/>
      <c r="F664" s="1022"/>
      <c r="G664" s="1022"/>
      <c r="V664" s="1022"/>
      <c r="W664" s="1022"/>
      <c r="X664" s="981"/>
      <c r="Y664" s="981"/>
      <c r="Z664" s="981"/>
    </row>
    <row r="665" spans="1:26">
      <c r="A665" s="981"/>
      <c r="B665" s="1022"/>
      <c r="C665" s="1022"/>
      <c r="D665" s="1022"/>
      <c r="E665" s="1022"/>
      <c r="F665" s="1022"/>
      <c r="G665" s="1022"/>
      <c r="V665" s="1022"/>
      <c r="W665" s="1022"/>
      <c r="X665" s="981"/>
      <c r="Y665" s="981"/>
      <c r="Z665" s="981"/>
    </row>
    <row r="666" spans="1:26">
      <c r="A666" s="981"/>
      <c r="B666" s="1022"/>
      <c r="C666" s="1022"/>
      <c r="D666" s="1022"/>
      <c r="E666" s="1022"/>
      <c r="F666" s="1022"/>
      <c r="G666" s="1022"/>
      <c r="V666" s="1022"/>
      <c r="W666" s="1022"/>
      <c r="X666" s="981"/>
      <c r="Y666" s="981"/>
      <c r="Z666" s="981"/>
    </row>
    <row r="667" spans="1:26">
      <c r="A667" s="981"/>
      <c r="B667" s="1022"/>
      <c r="C667" s="1022"/>
      <c r="D667" s="1022"/>
      <c r="E667" s="1022"/>
      <c r="F667" s="1022"/>
      <c r="G667" s="1022"/>
      <c r="V667" s="1022"/>
      <c r="W667" s="1022"/>
      <c r="X667" s="981"/>
      <c r="Y667" s="981"/>
      <c r="Z667" s="981"/>
    </row>
    <row r="668" spans="1:26">
      <c r="A668" s="981"/>
      <c r="B668" s="1022"/>
      <c r="C668" s="1022"/>
      <c r="D668" s="1022"/>
      <c r="E668" s="1022"/>
      <c r="F668" s="1022"/>
      <c r="G668" s="1022"/>
      <c r="V668" s="1022"/>
      <c r="W668" s="1022"/>
      <c r="X668" s="981"/>
      <c r="Y668" s="981"/>
      <c r="Z668" s="981"/>
    </row>
    <row r="669" spans="1:26">
      <c r="A669" s="981"/>
      <c r="B669" s="1022"/>
      <c r="C669" s="1022"/>
      <c r="D669" s="1022"/>
      <c r="E669" s="1022"/>
      <c r="F669" s="1022"/>
      <c r="G669" s="1022"/>
      <c r="V669" s="1022"/>
      <c r="W669" s="1022"/>
      <c r="X669" s="981"/>
      <c r="Y669" s="981"/>
      <c r="Z669" s="981"/>
    </row>
    <row r="670" spans="1:26">
      <c r="A670" s="981"/>
      <c r="B670" s="1022"/>
      <c r="C670" s="1022"/>
      <c r="D670" s="1022"/>
      <c r="E670" s="1022"/>
      <c r="F670" s="1022"/>
      <c r="G670" s="1022"/>
      <c r="V670" s="1022"/>
      <c r="W670" s="1022"/>
      <c r="X670" s="981"/>
      <c r="Y670" s="981"/>
      <c r="Z670" s="981"/>
    </row>
    <row r="671" spans="1:26">
      <c r="A671" s="981"/>
      <c r="B671" s="1022"/>
      <c r="C671" s="1022"/>
      <c r="D671" s="1022"/>
      <c r="E671" s="1022"/>
      <c r="F671" s="1022"/>
      <c r="G671" s="1022"/>
      <c r="V671" s="1022"/>
      <c r="W671" s="1022"/>
      <c r="X671" s="981"/>
      <c r="Y671" s="981"/>
      <c r="Z671" s="981"/>
    </row>
    <row r="672" spans="1:26">
      <c r="A672" s="981"/>
      <c r="B672" s="1022"/>
      <c r="C672" s="1022"/>
      <c r="D672" s="1022"/>
      <c r="E672" s="1022"/>
      <c r="F672" s="1022"/>
      <c r="G672" s="1022"/>
      <c r="V672" s="1022"/>
      <c r="W672" s="1022"/>
      <c r="X672" s="981"/>
      <c r="Y672" s="981"/>
      <c r="Z672" s="981"/>
    </row>
    <row r="673" spans="1:26">
      <c r="A673" s="981"/>
      <c r="B673" s="1022"/>
      <c r="C673" s="1022"/>
      <c r="D673" s="1022"/>
      <c r="E673" s="1022"/>
      <c r="F673" s="1022"/>
      <c r="G673" s="1022"/>
      <c r="V673" s="1022"/>
      <c r="W673" s="1022"/>
      <c r="X673" s="981"/>
      <c r="Y673" s="981"/>
      <c r="Z673" s="981"/>
    </row>
    <row r="674" spans="1:26">
      <c r="A674" s="981"/>
      <c r="B674" s="1022"/>
      <c r="C674" s="1022"/>
      <c r="D674" s="1022"/>
      <c r="E674" s="1022"/>
      <c r="F674" s="1022"/>
      <c r="G674" s="1022"/>
      <c r="V674" s="1022"/>
      <c r="W674" s="1022"/>
      <c r="X674" s="981"/>
      <c r="Y674" s="981"/>
      <c r="Z674" s="981"/>
    </row>
    <row r="675" spans="1:26">
      <c r="A675" s="981"/>
      <c r="B675" s="1022"/>
      <c r="C675" s="1022"/>
      <c r="D675" s="1022"/>
      <c r="E675" s="1022"/>
      <c r="F675" s="1022"/>
      <c r="G675" s="1022"/>
      <c r="V675" s="1022"/>
      <c r="W675" s="1022"/>
      <c r="X675" s="981"/>
      <c r="Y675" s="981"/>
      <c r="Z675" s="981"/>
    </row>
    <row r="676" spans="1:26">
      <c r="A676" s="981"/>
      <c r="B676" s="1022"/>
      <c r="C676" s="1022"/>
      <c r="D676" s="1022"/>
      <c r="E676" s="1022"/>
      <c r="F676" s="1022"/>
      <c r="G676" s="1022"/>
      <c r="V676" s="1022"/>
      <c r="W676" s="1022"/>
      <c r="X676" s="981"/>
      <c r="Y676" s="981"/>
      <c r="Z676" s="981"/>
    </row>
    <row r="677" spans="1:26">
      <c r="A677" s="981"/>
      <c r="B677" s="1022"/>
      <c r="C677" s="1022"/>
      <c r="D677" s="1022"/>
      <c r="E677" s="1022"/>
      <c r="F677" s="1022"/>
      <c r="G677" s="1022"/>
      <c r="V677" s="1022"/>
      <c r="W677" s="1022"/>
      <c r="X677" s="981"/>
      <c r="Y677" s="981"/>
      <c r="Z677" s="981"/>
    </row>
    <row r="678" spans="1:26">
      <c r="A678" s="981"/>
      <c r="B678" s="1022"/>
      <c r="C678" s="1022"/>
      <c r="D678" s="1022"/>
      <c r="E678" s="1022"/>
      <c r="F678" s="1022"/>
      <c r="G678" s="1022"/>
      <c r="V678" s="1022"/>
      <c r="W678" s="1022"/>
      <c r="X678" s="981"/>
      <c r="Y678" s="981"/>
      <c r="Z678" s="981"/>
    </row>
    <row r="679" spans="1:26">
      <c r="A679" s="981"/>
      <c r="B679" s="1022"/>
      <c r="C679" s="1022"/>
      <c r="D679" s="1022"/>
      <c r="E679" s="1022"/>
      <c r="F679" s="1022"/>
      <c r="G679" s="1022"/>
      <c r="V679" s="1022"/>
      <c r="W679" s="1022"/>
      <c r="X679" s="981"/>
      <c r="Y679" s="981"/>
      <c r="Z679" s="981"/>
    </row>
    <row r="680" spans="1:26">
      <c r="A680" s="981"/>
      <c r="B680" s="1022"/>
      <c r="C680" s="1022"/>
      <c r="D680" s="1022"/>
      <c r="E680" s="1022"/>
      <c r="F680" s="1022"/>
      <c r="G680" s="1022"/>
      <c r="V680" s="1022"/>
      <c r="W680" s="1022"/>
      <c r="X680" s="981"/>
      <c r="Y680" s="981"/>
      <c r="Z680" s="981"/>
    </row>
    <row r="681" spans="1:26">
      <c r="A681" s="981"/>
      <c r="B681" s="1022"/>
      <c r="C681" s="1022"/>
      <c r="D681" s="1022"/>
      <c r="E681" s="1022"/>
      <c r="F681" s="1022"/>
      <c r="G681" s="1022"/>
      <c r="V681" s="1022"/>
      <c r="W681" s="1022"/>
      <c r="X681" s="981"/>
      <c r="Y681" s="981"/>
      <c r="Z681" s="981"/>
    </row>
    <row r="682" spans="1:26">
      <c r="A682" s="981"/>
      <c r="B682" s="1022"/>
      <c r="C682" s="1022"/>
      <c r="D682" s="1022"/>
      <c r="E682" s="1022"/>
      <c r="F682" s="1022"/>
      <c r="G682" s="1022"/>
      <c r="V682" s="1022"/>
      <c r="W682" s="1022"/>
      <c r="X682" s="981"/>
      <c r="Y682" s="981"/>
      <c r="Z682" s="981"/>
    </row>
    <row r="683" spans="1:26">
      <c r="A683" s="981"/>
      <c r="B683" s="1022"/>
      <c r="C683" s="1022"/>
      <c r="D683" s="1022"/>
      <c r="E683" s="1022"/>
      <c r="F683" s="1022"/>
      <c r="G683" s="1022"/>
      <c r="V683" s="1022"/>
      <c r="W683" s="1022"/>
      <c r="X683" s="981"/>
      <c r="Y683" s="981"/>
      <c r="Z683" s="981"/>
    </row>
    <row r="684" spans="1:26">
      <c r="A684" s="981"/>
      <c r="B684" s="1022"/>
      <c r="C684" s="1022"/>
      <c r="D684" s="1022"/>
      <c r="E684" s="1022"/>
      <c r="F684" s="1022"/>
      <c r="G684" s="1022"/>
      <c r="V684" s="1022"/>
      <c r="W684" s="1022"/>
      <c r="X684" s="981"/>
      <c r="Y684" s="981"/>
      <c r="Z684" s="981"/>
    </row>
    <row r="685" spans="1:26">
      <c r="A685" s="981"/>
      <c r="B685" s="1022"/>
      <c r="C685" s="1022"/>
      <c r="D685" s="1022"/>
      <c r="E685" s="1022"/>
      <c r="F685" s="1022"/>
      <c r="G685" s="1022"/>
      <c r="V685" s="1022"/>
      <c r="W685" s="1022"/>
      <c r="X685" s="981"/>
      <c r="Y685" s="981"/>
      <c r="Z685" s="981"/>
    </row>
    <row r="686" spans="1:26">
      <c r="A686" s="981"/>
      <c r="B686" s="1022"/>
      <c r="C686" s="1022"/>
      <c r="D686" s="1022"/>
      <c r="E686" s="1022"/>
      <c r="F686" s="1022"/>
      <c r="G686" s="1022"/>
      <c r="V686" s="1022"/>
      <c r="W686" s="1022"/>
      <c r="X686" s="981"/>
      <c r="Y686" s="981"/>
      <c r="Z686" s="981"/>
    </row>
    <row r="687" spans="1:26">
      <c r="A687" s="981"/>
      <c r="B687" s="1022"/>
      <c r="C687" s="1022"/>
      <c r="D687" s="1022"/>
      <c r="E687" s="1022"/>
      <c r="F687" s="1022"/>
      <c r="G687" s="1022"/>
      <c r="V687" s="1022"/>
      <c r="W687" s="1022"/>
      <c r="X687" s="981"/>
      <c r="Y687" s="981"/>
      <c r="Z687" s="981"/>
    </row>
    <row r="688" spans="1:26">
      <c r="A688" s="981"/>
      <c r="B688" s="1022"/>
      <c r="C688" s="1022"/>
      <c r="D688" s="1022"/>
      <c r="E688" s="1022"/>
      <c r="F688" s="1022"/>
      <c r="G688" s="1022"/>
      <c r="V688" s="1022"/>
      <c r="W688" s="1022"/>
      <c r="X688" s="981"/>
      <c r="Y688" s="981"/>
      <c r="Z688" s="981"/>
    </row>
    <row r="689" spans="1:26">
      <c r="A689" s="981"/>
      <c r="B689" s="1022"/>
      <c r="C689" s="1022"/>
      <c r="D689" s="1022"/>
      <c r="E689" s="1022"/>
      <c r="F689" s="1022"/>
      <c r="G689" s="1022"/>
      <c r="V689" s="1022"/>
      <c r="W689" s="1022"/>
      <c r="X689" s="981"/>
      <c r="Y689" s="981"/>
      <c r="Z689" s="981"/>
    </row>
    <row r="690" spans="1:26">
      <c r="A690" s="981"/>
      <c r="B690" s="1022"/>
      <c r="C690" s="1022"/>
      <c r="D690" s="1022"/>
      <c r="E690" s="1022"/>
      <c r="F690" s="1022"/>
      <c r="G690" s="1022"/>
      <c r="V690" s="1022"/>
      <c r="W690" s="1022"/>
      <c r="X690" s="981"/>
      <c r="Y690" s="981"/>
      <c r="Z690" s="981"/>
    </row>
    <row r="691" spans="1:26">
      <c r="A691" s="981"/>
      <c r="B691" s="1022"/>
      <c r="C691" s="1022"/>
      <c r="D691" s="1022"/>
      <c r="E691" s="1022"/>
      <c r="F691" s="1022"/>
      <c r="G691" s="1022"/>
      <c r="V691" s="1022"/>
      <c r="W691" s="1022"/>
      <c r="X691" s="981"/>
      <c r="Y691" s="981"/>
      <c r="Z691" s="981"/>
    </row>
    <row r="692" spans="1:26">
      <c r="A692" s="981"/>
      <c r="B692" s="1022"/>
      <c r="C692" s="1022"/>
      <c r="D692" s="1022"/>
      <c r="E692" s="1022"/>
      <c r="F692" s="1022"/>
      <c r="G692" s="1022"/>
      <c r="V692" s="1022"/>
      <c r="W692" s="1022"/>
      <c r="X692" s="981"/>
      <c r="Y692" s="981"/>
      <c r="Z692" s="981"/>
    </row>
    <row r="693" spans="1:26">
      <c r="A693" s="981"/>
      <c r="B693" s="1022"/>
      <c r="C693" s="1022"/>
      <c r="D693" s="1022"/>
      <c r="E693" s="1022"/>
      <c r="F693" s="1022"/>
      <c r="G693" s="1022"/>
      <c r="V693" s="1022"/>
      <c r="W693" s="1022"/>
      <c r="X693" s="981"/>
      <c r="Y693" s="981"/>
      <c r="Z693" s="981"/>
    </row>
    <row r="694" spans="1:26">
      <c r="A694" s="981"/>
      <c r="B694" s="1022"/>
      <c r="C694" s="1022"/>
      <c r="D694" s="1022"/>
      <c r="E694" s="1022"/>
      <c r="F694" s="1022"/>
      <c r="G694" s="1022"/>
      <c r="V694" s="1022"/>
      <c r="W694" s="1022"/>
      <c r="X694" s="981"/>
      <c r="Y694" s="981"/>
      <c r="Z694" s="981"/>
    </row>
    <row r="695" spans="1:26">
      <c r="A695" s="981"/>
      <c r="B695" s="1022"/>
      <c r="C695" s="1022"/>
      <c r="D695" s="1022"/>
      <c r="E695" s="1022"/>
      <c r="F695" s="1022"/>
      <c r="G695" s="1022"/>
      <c r="V695" s="1022"/>
      <c r="W695" s="1022"/>
      <c r="X695" s="981"/>
      <c r="Y695" s="981"/>
      <c r="Z695" s="981"/>
    </row>
    <row r="696" spans="1:26">
      <c r="A696" s="981"/>
      <c r="B696" s="1022"/>
      <c r="C696" s="1022"/>
      <c r="D696" s="1022"/>
      <c r="E696" s="1022"/>
      <c r="F696" s="1022"/>
      <c r="G696" s="1022"/>
      <c r="V696" s="1022"/>
      <c r="W696" s="1022"/>
      <c r="X696" s="981"/>
      <c r="Y696" s="981"/>
      <c r="Z696" s="981"/>
    </row>
    <row r="697" spans="1:26">
      <c r="A697" s="981"/>
      <c r="B697" s="1022"/>
      <c r="C697" s="1022"/>
      <c r="D697" s="1022"/>
      <c r="E697" s="1022"/>
      <c r="F697" s="1022"/>
      <c r="G697" s="1022"/>
      <c r="V697" s="1022"/>
      <c r="W697" s="1022"/>
      <c r="X697" s="981"/>
      <c r="Y697" s="981"/>
      <c r="Z697" s="981"/>
    </row>
    <row r="698" spans="1:26">
      <c r="A698" s="981"/>
      <c r="B698" s="1022"/>
      <c r="C698" s="1022"/>
      <c r="D698" s="1022"/>
      <c r="E698" s="1022"/>
      <c r="F698" s="1022"/>
      <c r="G698" s="1022"/>
      <c r="V698" s="1022"/>
      <c r="W698" s="1022"/>
      <c r="X698" s="981"/>
      <c r="Y698" s="981"/>
      <c r="Z698" s="981"/>
    </row>
    <row r="699" spans="1:26">
      <c r="A699" s="981"/>
      <c r="B699" s="1022"/>
      <c r="C699" s="1022"/>
      <c r="D699" s="1022"/>
      <c r="E699" s="1022"/>
      <c r="F699" s="1022"/>
      <c r="G699" s="1022"/>
      <c r="V699" s="1022"/>
      <c r="W699" s="1022"/>
      <c r="X699" s="981"/>
      <c r="Y699" s="981"/>
      <c r="Z699" s="981"/>
    </row>
    <row r="700" spans="1:26">
      <c r="A700" s="981"/>
      <c r="B700" s="1022"/>
      <c r="C700" s="1022"/>
      <c r="D700" s="1022"/>
      <c r="E700" s="1022"/>
      <c r="F700" s="1022"/>
      <c r="G700" s="1022"/>
      <c r="V700" s="1022"/>
      <c r="W700" s="1022"/>
      <c r="X700" s="981"/>
      <c r="Y700" s="981"/>
      <c r="Z700" s="981"/>
    </row>
    <row r="701" spans="1:26">
      <c r="A701" s="981"/>
      <c r="B701" s="1022"/>
      <c r="C701" s="1022"/>
      <c r="D701" s="1022"/>
      <c r="E701" s="1022"/>
      <c r="F701" s="1022"/>
      <c r="G701" s="1022"/>
      <c r="V701" s="1022"/>
      <c r="W701" s="1022"/>
      <c r="X701" s="981"/>
      <c r="Y701" s="981"/>
      <c r="Z701" s="981"/>
    </row>
    <row r="702" spans="1:26">
      <c r="A702" s="981"/>
      <c r="B702" s="1022"/>
      <c r="C702" s="1022"/>
      <c r="D702" s="1022"/>
      <c r="E702" s="1022"/>
      <c r="F702" s="1022"/>
      <c r="G702" s="1022"/>
      <c r="V702" s="1022"/>
      <c r="W702" s="1022"/>
      <c r="X702" s="981"/>
      <c r="Y702" s="981"/>
      <c r="Z702" s="981"/>
    </row>
    <row r="703" spans="1:26">
      <c r="A703" s="981"/>
      <c r="B703" s="1022"/>
      <c r="C703" s="1022"/>
      <c r="D703" s="1022"/>
      <c r="E703" s="1022"/>
      <c r="F703" s="1022"/>
      <c r="G703" s="1022"/>
      <c r="V703" s="1022"/>
      <c r="W703" s="1022"/>
      <c r="X703" s="981"/>
      <c r="Y703" s="981"/>
      <c r="Z703" s="981"/>
    </row>
    <row r="704" spans="1:26">
      <c r="A704" s="981"/>
      <c r="B704" s="1022"/>
      <c r="C704" s="1022"/>
      <c r="D704" s="1022"/>
      <c r="E704" s="1022"/>
      <c r="F704" s="1022"/>
      <c r="G704" s="1022"/>
      <c r="V704" s="1022"/>
      <c r="W704" s="1022"/>
      <c r="X704" s="981"/>
      <c r="Y704" s="981"/>
      <c r="Z704" s="981"/>
    </row>
    <row r="705" spans="1:26">
      <c r="A705" s="981"/>
      <c r="B705" s="1022"/>
      <c r="C705" s="1022"/>
      <c r="D705" s="1022"/>
      <c r="E705" s="1022"/>
      <c r="F705" s="1022"/>
      <c r="G705" s="1022"/>
      <c r="V705" s="1022"/>
      <c r="W705" s="1022"/>
      <c r="X705" s="981"/>
      <c r="Y705" s="981"/>
      <c r="Z705" s="981"/>
    </row>
    <row r="706" spans="1:26">
      <c r="A706" s="981"/>
      <c r="B706" s="1022"/>
      <c r="C706" s="1022"/>
      <c r="D706" s="1022"/>
      <c r="E706" s="1022"/>
      <c r="F706" s="1022"/>
      <c r="G706" s="1022"/>
      <c r="V706" s="1022"/>
      <c r="W706" s="1022"/>
      <c r="X706" s="981"/>
      <c r="Y706" s="981"/>
      <c r="Z706" s="981"/>
    </row>
    <row r="707" spans="1:26">
      <c r="A707" s="981"/>
      <c r="B707" s="1022"/>
      <c r="C707" s="1022"/>
      <c r="D707" s="1022"/>
      <c r="E707" s="1022"/>
      <c r="F707" s="1022"/>
      <c r="G707" s="1022"/>
      <c r="V707" s="1022"/>
      <c r="W707" s="1022"/>
      <c r="X707" s="981"/>
      <c r="Y707" s="981"/>
      <c r="Z707" s="981"/>
    </row>
    <row r="708" spans="1:26">
      <c r="A708" s="981"/>
      <c r="B708" s="1022"/>
      <c r="C708" s="1022"/>
      <c r="D708" s="1022"/>
      <c r="E708" s="1022"/>
      <c r="F708" s="1022"/>
      <c r="G708" s="1022"/>
      <c r="V708" s="1022"/>
      <c r="W708" s="1022"/>
      <c r="X708" s="981"/>
      <c r="Y708" s="981"/>
      <c r="Z708" s="981"/>
    </row>
    <row r="709" spans="1:26">
      <c r="A709" s="981"/>
      <c r="B709" s="1022"/>
      <c r="C709" s="1022"/>
      <c r="D709" s="1022"/>
      <c r="E709" s="1022"/>
      <c r="F709" s="1022"/>
      <c r="G709" s="1022"/>
      <c r="V709" s="1022"/>
      <c r="W709" s="1022"/>
      <c r="X709" s="981"/>
      <c r="Y709" s="981"/>
      <c r="Z709" s="981"/>
    </row>
    <row r="710" spans="1:26">
      <c r="A710" s="981"/>
      <c r="B710" s="1022"/>
      <c r="C710" s="1022"/>
      <c r="D710" s="1022"/>
      <c r="E710" s="1022"/>
      <c r="F710" s="1022"/>
      <c r="G710" s="1022"/>
      <c r="V710" s="1022"/>
      <c r="W710" s="1022"/>
      <c r="X710" s="981"/>
      <c r="Y710" s="981"/>
      <c r="Z710" s="981"/>
    </row>
    <row r="711" spans="1:26">
      <c r="A711" s="981"/>
      <c r="B711" s="1022"/>
      <c r="C711" s="1022"/>
      <c r="D711" s="1022"/>
      <c r="E711" s="1022"/>
      <c r="F711" s="1022"/>
      <c r="G711" s="1022"/>
      <c r="V711" s="1022"/>
      <c r="W711" s="1022"/>
      <c r="X711" s="981"/>
      <c r="Y711" s="981"/>
      <c r="Z711" s="981"/>
    </row>
    <row r="712" spans="1:26">
      <c r="A712" s="981"/>
      <c r="B712" s="1022"/>
      <c r="C712" s="1022"/>
      <c r="D712" s="1022"/>
      <c r="E712" s="1022"/>
      <c r="F712" s="1022"/>
      <c r="G712" s="1022"/>
      <c r="V712" s="1022"/>
      <c r="W712" s="1022"/>
      <c r="X712" s="981"/>
      <c r="Y712" s="981"/>
      <c r="Z712" s="981"/>
    </row>
    <row r="713" spans="1:26">
      <c r="A713" s="981"/>
      <c r="B713" s="1022"/>
      <c r="C713" s="1022"/>
      <c r="D713" s="1022"/>
      <c r="E713" s="1022"/>
      <c r="F713" s="1022"/>
      <c r="G713" s="1022"/>
      <c r="V713" s="1022"/>
      <c r="W713" s="1022"/>
      <c r="X713" s="981"/>
      <c r="Y713" s="981"/>
      <c r="Z713" s="981"/>
    </row>
    <row r="714" spans="1:26">
      <c r="A714" s="981"/>
      <c r="B714" s="1022"/>
      <c r="C714" s="1022"/>
      <c r="D714" s="1022"/>
      <c r="E714" s="1022"/>
      <c r="F714" s="1022"/>
      <c r="G714" s="1022"/>
      <c r="V714" s="1022"/>
      <c r="W714" s="1022"/>
      <c r="X714" s="981"/>
      <c r="Y714" s="981"/>
      <c r="Z714" s="981"/>
    </row>
    <row r="715" spans="1:26">
      <c r="A715" s="981"/>
      <c r="B715" s="1022"/>
      <c r="C715" s="1022"/>
      <c r="D715" s="1022"/>
      <c r="E715" s="1022"/>
      <c r="F715" s="1022"/>
      <c r="G715" s="1022"/>
      <c r="V715" s="1022"/>
      <c r="W715" s="1022"/>
      <c r="X715" s="981"/>
      <c r="Y715" s="981"/>
      <c r="Z715" s="981"/>
    </row>
    <row r="716" spans="1:26">
      <c r="A716" s="981"/>
      <c r="B716" s="1022"/>
      <c r="C716" s="1022"/>
      <c r="D716" s="1022"/>
      <c r="E716" s="1022"/>
      <c r="F716" s="1022"/>
      <c r="G716" s="1022"/>
      <c r="V716" s="1022"/>
      <c r="W716" s="1022"/>
      <c r="X716" s="981"/>
      <c r="Y716" s="981"/>
      <c r="Z716" s="981"/>
    </row>
    <row r="717" spans="1:26">
      <c r="A717" s="981"/>
      <c r="B717" s="1022"/>
      <c r="C717" s="1022"/>
      <c r="D717" s="1022"/>
      <c r="E717" s="1022"/>
      <c r="F717" s="1022"/>
      <c r="G717" s="1022"/>
      <c r="V717" s="1022"/>
      <c r="W717" s="1022"/>
      <c r="X717" s="981"/>
      <c r="Y717" s="981"/>
      <c r="Z717" s="981"/>
    </row>
    <row r="718" spans="1:26">
      <c r="A718" s="981"/>
      <c r="B718" s="1022"/>
      <c r="C718" s="1022"/>
      <c r="D718" s="1022"/>
      <c r="E718" s="1022"/>
      <c r="F718" s="1022"/>
      <c r="G718" s="1022"/>
      <c r="V718" s="1022"/>
      <c r="W718" s="1022"/>
      <c r="X718" s="981"/>
      <c r="Y718" s="981"/>
      <c r="Z718" s="981"/>
    </row>
    <row r="719" spans="1:26">
      <c r="A719" s="981"/>
      <c r="B719" s="1022"/>
      <c r="C719" s="1022"/>
      <c r="D719" s="1022"/>
      <c r="E719" s="1022"/>
      <c r="F719" s="1022"/>
      <c r="G719" s="1022"/>
      <c r="V719" s="1022"/>
      <c r="W719" s="1022"/>
      <c r="X719" s="981"/>
      <c r="Y719" s="981"/>
      <c r="Z719" s="981"/>
    </row>
    <row r="720" spans="1:26">
      <c r="A720" s="981"/>
      <c r="B720" s="1022"/>
      <c r="C720" s="1022"/>
      <c r="D720" s="1022"/>
      <c r="E720" s="1022"/>
      <c r="F720" s="1022"/>
      <c r="G720" s="1022"/>
      <c r="V720" s="1022"/>
      <c r="W720" s="1022"/>
      <c r="X720" s="981"/>
      <c r="Y720" s="981"/>
      <c r="Z720" s="981"/>
    </row>
    <row r="721" spans="1:26">
      <c r="A721" s="981"/>
      <c r="B721" s="1022"/>
      <c r="C721" s="1022"/>
      <c r="D721" s="1022"/>
      <c r="E721" s="1022"/>
      <c r="F721" s="1022"/>
      <c r="G721" s="1022"/>
      <c r="V721" s="1022"/>
      <c r="W721" s="1022"/>
      <c r="X721" s="981"/>
      <c r="Y721" s="981"/>
      <c r="Z721" s="981"/>
    </row>
    <row r="722" spans="1:26">
      <c r="A722" s="981"/>
      <c r="B722" s="1022"/>
      <c r="C722" s="1022"/>
      <c r="D722" s="1022"/>
      <c r="E722" s="1022"/>
      <c r="F722" s="1022"/>
      <c r="G722" s="1022"/>
      <c r="V722" s="1022"/>
      <c r="W722" s="1022"/>
      <c r="X722" s="981"/>
      <c r="Y722" s="981"/>
      <c r="Z722" s="981"/>
    </row>
    <row r="723" spans="1:26">
      <c r="A723" s="981"/>
      <c r="B723" s="1022"/>
      <c r="C723" s="1022"/>
      <c r="D723" s="1022"/>
      <c r="E723" s="1022"/>
      <c r="F723" s="1022"/>
      <c r="G723" s="1022"/>
      <c r="V723" s="1022"/>
      <c r="W723" s="1022"/>
      <c r="X723" s="981"/>
      <c r="Y723" s="981"/>
      <c r="Z723" s="981"/>
    </row>
    <row r="724" spans="1:26">
      <c r="A724" s="981"/>
      <c r="B724" s="1022"/>
      <c r="C724" s="1022"/>
      <c r="D724" s="1022"/>
      <c r="E724" s="1022"/>
      <c r="F724" s="1022"/>
      <c r="G724" s="1022"/>
      <c r="V724" s="1022"/>
      <c r="W724" s="1022"/>
      <c r="X724" s="981"/>
      <c r="Y724" s="981"/>
      <c r="Z724" s="981"/>
    </row>
    <row r="725" spans="1:26">
      <c r="A725" s="981"/>
      <c r="B725" s="1022"/>
      <c r="C725" s="1022"/>
      <c r="D725" s="1022"/>
      <c r="E725" s="1022"/>
      <c r="F725" s="1022"/>
      <c r="G725" s="1022"/>
      <c r="V725" s="1022"/>
      <c r="W725" s="1022"/>
      <c r="X725" s="981"/>
      <c r="Y725" s="981"/>
      <c r="Z725" s="981"/>
    </row>
    <row r="726" spans="1:26">
      <c r="A726" s="981"/>
      <c r="B726" s="1022"/>
      <c r="C726" s="1022"/>
      <c r="D726" s="1022"/>
      <c r="E726" s="1022"/>
      <c r="F726" s="1022"/>
      <c r="G726" s="1022"/>
      <c r="V726" s="1022"/>
      <c r="W726" s="1022"/>
      <c r="X726" s="981"/>
      <c r="Y726" s="981"/>
      <c r="Z726" s="981"/>
    </row>
    <row r="727" spans="1:26">
      <c r="A727" s="981"/>
      <c r="B727" s="1022"/>
      <c r="C727" s="1022"/>
      <c r="D727" s="1022"/>
      <c r="E727" s="1022"/>
      <c r="F727" s="1022"/>
      <c r="G727" s="1022"/>
      <c r="V727" s="1022"/>
      <c r="W727" s="1022"/>
      <c r="X727" s="981"/>
      <c r="Y727" s="981"/>
      <c r="Z727" s="981"/>
    </row>
    <row r="728" spans="1:26">
      <c r="A728" s="981"/>
      <c r="B728" s="1022"/>
      <c r="C728" s="1022"/>
      <c r="D728" s="1022"/>
      <c r="E728" s="1022"/>
      <c r="F728" s="1022"/>
      <c r="G728" s="1022"/>
      <c r="V728" s="1022"/>
      <c r="W728" s="1022"/>
      <c r="X728" s="981"/>
      <c r="Y728" s="981"/>
      <c r="Z728" s="981"/>
    </row>
    <row r="729" spans="1:26">
      <c r="A729" s="981"/>
      <c r="B729" s="1022"/>
      <c r="C729" s="1022"/>
      <c r="D729" s="1022"/>
      <c r="E729" s="1022"/>
      <c r="F729" s="1022"/>
      <c r="G729" s="1022"/>
      <c r="V729" s="1022"/>
      <c r="W729" s="1022"/>
      <c r="X729" s="981"/>
      <c r="Y729" s="981"/>
      <c r="Z729" s="981"/>
    </row>
    <row r="730" spans="1:26">
      <c r="A730" s="981"/>
      <c r="B730" s="1022"/>
      <c r="C730" s="1022"/>
      <c r="D730" s="1022"/>
      <c r="E730" s="1022"/>
      <c r="F730" s="1022"/>
      <c r="G730" s="1022"/>
      <c r="V730" s="1022"/>
      <c r="W730" s="1022"/>
      <c r="X730" s="981"/>
      <c r="Y730" s="981"/>
      <c r="Z730" s="981"/>
    </row>
    <row r="731" spans="1:26">
      <c r="A731" s="981"/>
      <c r="B731" s="1022"/>
      <c r="C731" s="1022"/>
      <c r="D731" s="1022"/>
      <c r="E731" s="1022"/>
      <c r="F731" s="1022"/>
      <c r="G731" s="1022"/>
      <c r="V731" s="1022"/>
      <c r="W731" s="1022"/>
      <c r="X731" s="981"/>
      <c r="Y731" s="981"/>
      <c r="Z731" s="981"/>
    </row>
    <row r="732" spans="1:26">
      <c r="A732" s="981"/>
      <c r="B732" s="1022"/>
      <c r="C732" s="1022"/>
      <c r="D732" s="1022"/>
      <c r="E732" s="1022"/>
      <c r="F732" s="1022"/>
      <c r="G732" s="1022"/>
      <c r="V732" s="1022"/>
      <c r="W732" s="1022"/>
      <c r="X732" s="981"/>
      <c r="Y732" s="981"/>
      <c r="Z732" s="981"/>
    </row>
    <row r="733" spans="1:26">
      <c r="A733" s="981"/>
      <c r="B733" s="1022"/>
      <c r="C733" s="1022"/>
      <c r="D733" s="1022"/>
      <c r="E733" s="1022"/>
      <c r="F733" s="1022"/>
      <c r="G733" s="1022"/>
      <c r="V733" s="1022"/>
      <c r="W733" s="1022"/>
      <c r="X733" s="981"/>
      <c r="Y733" s="981"/>
      <c r="Z733" s="981"/>
    </row>
    <row r="734" spans="1:26">
      <c r="A734" s="981"/>
      <c r="B734" s="1022"/>
      <c r="C734" s="1022"/>
      <c r="D734" s="1022"/>
      <c r="E734" s="1022"/>
      <c r="F734" s="1022"/>
      <c r="G734" s="1022"/>
      <c r="V734" s="1022"/>
      <c r="W734" s="1022"/>
      <c r="X734" s="981"/>
      <c r="Y734" s="981"/>
      <c r="Z734" s="981"/>
    </row>
    <row r="735" spans="1:26">
      <c r="A735" s="981"/>
      <c r="B735" s="1022"/>
      <c r="C735" s="1022"/>
      <c r="D735" s="1022"/>
      <c r="E735" s="1022"/>
      <c r="F735" s="1022"/>
      <c r="G735" s="1022"/>
      <c r="V735" s="1022"/>
      <c r="W735" s="1022"/>
      <c r="X735" s="981"/>
      <c r="Y735" s="981"/>
      <c r="Z735" s="981"/>
    </row>
    <row r="736" spans="1:26">
      <c r="A736" s="981"/>
      <c r="B736" s="1022"/>
      <c r="C736" s="1022"/>
      <c r="D736" s="1022"/>
      <c r="E736" s="1022"/>
      <c r="F736" s="1022"/>
      <c r="G736" s="1022"/>
      <c r="V736" s="1022"/>
      <c r="W736" s="1022"/>
      <c r="X736" s="981"/>
      <c r="Y736" s="981"/>
      <c r="Z736" s="981"/>
    </row>
    <row r="737" spans="1:26">
      <c r="A737" s="981"/>
      <c r="B737" s="1022"/>
      <c r="C737" s="1022"/>
      <c r="D737" s="1022"/>
      <c r="E737" s="1022"/>
      <c r="F737" s="1022"/>
      <c r="G737" s="1022"/>
      <c r="V737" s="1022"/>
      <c r="W737" s="1022"/>
      <c r="X737" s="981"/>
      <c r="Y737" s="981"/>
      <c r="Z737" s="981"/>
    </row>
    <row r="738" spans="1:26">
      <c r="A738" s="981"/>
      <c r="B738" s="1022"/>
      <c r="C738" s="1022"/>
      <c r="D738" s="1022"/>
      <c r="E738" s="1022"/>
      <c r="F738" s="1022"/>
      <c r="G738" s="1022"/>
      <c r="V738" s="1022"/>
      <c r="W738" s="1022"/>
      <c r="X738" s="981"/>
      <c r="Y738" s="981"/>
      <c r="Z738" s="981"/>
    </row>
    <row r="739" spans="1:26">
      <c r="A739" s="981"/>
      <c r="B739" s="1022"/>
      <c r="C739" s="1022"/>
      <c r="D739" s="1022"/>
      <c r="E739" s="1022"/>
      <c r="F739" s="1022"/>
      <c r="G739" s="1022"/>
      <c r="V739" s="1022"/>
      <c r="W739" s="1022"/>
      <c r="X739" s="981"/>
      <c r="Y739" s="981"/>
      <c r="Z739" s="981"/>
    </row>
    <row r="740" spans="1:26">
      <c r="A740" s="981"/>
      <c r="B740" s="1022"/>
      <c r="C740" s="1022"/>
      <c r="D740" s="1022"/>
      <c r="E740" s="1022"/>
      <c r="F740" s="1022"/>
      <c r="G740" s="1022"/>
      <c r="V740" s="1022"/>
      <c r="W740" s="1022"/>
      <c r="X740" s="981"/>
      <c r="Y740" s="981"/>
      <c r="Z740" s="981"/>
    </row>
    <row r="741" spans="1:26">
      <c r="A741" s="981"/>
      <c r="B741" s="1022"/>
      <c r="C741" s="1022"/>
      <c r="D741" s="1022"/>
      <c r="E741" s="1022"/>
      <c r="F741" s="1022"/>
      <c r="G741" s="1022"/>
      <c r="V741" s="1022"/>
      <c r="W741" s="1022"/>
      <c r="X741" s="981"/>
      <c r="Y741" s="981"/>
      <c r="Z741" s="981"/>
    </row>
    <row r="742" spans="1:26">
      <c r="A742" s="981"/>
      <c r="B742" s="1022"/>
      <c r="C742" s="1022"/>
      <c r="D742" s="1022"/>
      <c r="E742" s="1022"/>
      <c r="F742" s="1022"/>
      <c r="G742" s="1022"/>
      <c r="V742" s="1022"/>
      <c r="W742" s="1022"/>
      <c r="X742" s="981"/>
      <c r="Y742" s="981"/>
      <c r="Z742" s="981"/>
    </row>
    <row r="743" spans="1:26">
      <c r="A743" s="981"/>
      <c r="B743" s="1022"/>
      <c r="C743" s="1022"/>
      <c r="D743" s="1022"/>
      <c r="E743" s="1022"/>
      <c r="F743" s="1022"/>
      <c r="G743" s="1022"/>
      <c r="V743" s="1022"/>
      <c r="W743" s="1022"/>
      <c r="X743" s="981"/>
      <c r="Y743" s="981"/>
      <c r="Z743" s="981"/>
    </row>
    <row r="744" spans="1:26">
      <c r="A744" s="981"/>
      <c r="B744" s="1022"/>
      <c r="C744" s="1022"/>
      <c r="D744" s="1022"/>
      <c r="E744" s="1022"/>
      <c r="F744" s="1022"/>
      <c r="G744" s="1022"/>
      <c r="V744" s="1022"/>
      <c r="W744" s="1022"/>
      <c r="X744" s="981"/>
      <c r="Y744" s="981"/>
      <c r="Z744" s="981"/>
    </row>
    <row r="745" spans="1:26">
      <c r="A745" s="981"/>
      <c r="B745" s="1022"/>
      <c r="C745" s="1022"/>
      <c r="D745" s="1022"/>
      <c r="E745" s="1022"/>
      <c r="F745" s="1022"/>
      <c r="G745" s="1022"/>
      <c r="V745" s="1022"/>
      <c r="W745" s="1022"/>
      <c r="X745" s="981"/>
      <c r="Y745" s="981"/>
      <c r="Z745" s="981"/>
    </row>
    <row r="746" spans="1:26">
      <c r="A746" s="981"/>
      <c r="B746" s="1022"/>
      <c r="C746" s="1022"/>
      <c r="D746" s="1022"/>
      <c r="E746" s="1022"/>
      <c r="F746" s="1022"/>
      <c r="G746" s="1022"/>
      <c r="V746" s="1022"/>
      <c r="W746" s="1022"/>
      <c r="X746" s="981"/>
      <c r="Y746" s="981"/>
      <c r="Z746" s="981"/>
    </row>
    <row r="747" spans="1:26">
      <c r="A747" s="981"/>
      <c r="B747" s="1022"/>
      <c r="C747" s="1022"/>
      <c r="D747" s="1022"/>
      <c r="E747" s="1022"/>
      <c r="F747" s="1022"/>
      <c r="G747" s="1022"/>
      <c r="V747" s="1022"/>
      <c r="W747" s="1022"/>
      <c r="X747" s="981"/>
      <c r="Y747" s="981"/>
      <c r="Z747" s="981"/>
    </row>
    <row r="748" spans="1:26">
      <c r="A748" s="981"/>
      <c r="B748" s="1022"/>
      <c r="C748" s="1022"/>
      <c r="D748" s="1022"/>
      <c r="E748" s="1022"/>
      <c r="F748" s="1022"/>
      <c r="G748" s="1022"/>
      <c r="V748" s="1022"/>
      <c r="W748" s="1022"/>
      <c r="X748" s="981"/>
      <c r="Y748" s="981"/>
      <c r="Z748" s="981"/>
    </row>
    <row r="749" spans="1:26">
      <c r="A749" s="981"/>
      <c r="B749" s="1022"/>
      <c r="C749" s="1022"/>
      <c r="D749" s="1022"/>
      <c r="E749" s="1022"/>
      <c r="F749" s="1022"/>
      <c r="G749" s="1022"/>
      <c r="V749" s="1022"/>
      <c r="W749" s="1022"/>
      <c r="X749" s="981"/>
      <c r="Y749" s="981"/>
      <c r="Z749" s="981"/>
    </row>
    <row r="750" spans="1:26">
      <c r="A750" s="981"/>
      <c r="B750" s="1022"/>
      <c r="C750" s="1022"/>
      <c r="D750" s="1022"/>
      <c r="E750" s="1022"/>
      <c r="F750" s="1022"/>
      <c r="G750" s="1022"/>
      <c r="V750" s="1022"/>
      <c r="W750" s="1022"/>
      <c r="X750" s="981"/>
      <c r="Y750" s="981"/>
      <c r="Z750" s="981"/>
    </row>
    <row r="751" spans="1:26">
      <c r="A751" s="981"/>
      <c r="B751" s="1022"/>
      <c r="C751" s="1022"/>
      <c r="D751" s="1022"/>
      <c r="E751" s="1022"/>
      <c r="F751" s="1022"/>
      <c r="G751" s="1022"/>
      <c r="V751" s="1022"/>
      <c r="W751" s="1022"/>
      <c r="X751" s="981"/>
      <c r="Y751" s="981"/>
      <c r="Z751" s="981"/>
    </row>
    <row r="752" spans="1:26">
      <c r="A752" s="981"/>
      <c r="B752" s="1022"/>
      <c r="C752" s="1022"/>
      <c r="D752" s="1022"/>
      <c r="E752" s="1022"/>
      <c r="F752" s="1022"/>
      <c r="G752" s="1022"/>
      <c r="V752" s="1022"/>
      <c r="W752" s="1022"/>
      <c r="X752" s="981"/>
      <c r="Y752" s="981"/>
      <c r="Z752" s="981"/>
    </row>
    <row r="753" spans="1:26">
      <c r="A753" s="981"/>
      <c r="B753" s="1022"/>
      <c r="C753" s="1022"/>
      <c r="D753" s="1022"/>
      <c r="E753" s="1022"/>
      <c r="F753" s="1022"/>
      <c r="G753" s="1022"/>
      <c r="V753" s="1022"/>
      <c r="W753" s="1022"/>
      <c r="X753" s="981"/>
      <c r="Y753" s="981"/>
      <c r="Z753" s="981"/>
    </row>
    <row r="754" spans="1:26">
      <c r="A754" s="981"/>
      <c r="B754" s="1022"/>
      <c r="C754" s="1022"/>
      <c r="D754" s="1022"/>
      <c r="E754" s="1022"/>
      <c r="F754" s="1022"/>
      <c r="G754" s="1022"/>
      <c r="V754" s="1022"/>
      <c r="W754" s="1022"/>
      <c r="X754" s="981"/>
      <c r="Y754" s="981"/>
      <c r="Z754" s="981"/>
    </row>
    <row r="755" spans="1:26">
      <c r="A755" s="981"/>
      <c r="B755" s="1022"/>
      <c r="C755" s="1022"/>
      <c r="D755" s="1022"/>
      <c r="E755" s="1022"/>
      <c r="F755" s="1022"/>
      <c r="G755" s="1022"/>
      <c r="V755" s="1022"/>
      <c r="W755" s="1022"/>
      <c r="X755" s="981"/>
      <c r="Y755" s="981"/>
      <c r="Z755" s="981"/>
    </row>
    <row r="756" spans="1:26">
      <c r="A756" s="981"/>
      <c r="B756" s="1022"/>
      <c r="C756" s="1022"/>
      <c r="D756" s="1022"/>
      <c r="E756" s="1022"/>
      <c r="F756" s="1022"/>
      <c r="G756" s="1022"/>
      <c r="V756" s="1022"/>
      <c r="W756" s="1022"/>
      <c r="X756" s="981"/>
      <c r="Y756" s="981"/>
      <c r="Z756" s="981"/>
    </row>
    <row r="757" spans="1:26">
      <c r="A757" s="981"/>
      <c r="B757" s="1022"/>
      <c r="C757" s="1022"/>
      <c r="D757" s="1022"/>
      <c r="E757" s="1022"/>
      <c r="F757" s="1022"/>
      <c r="G757" s="1022"/>
      <c r="V757" s="1022"/>
      <c r="W757" s="1022"/>
      <c r="X757" s="981"/>
      <c r="Y757" s="981"/>
      <c r="Z757" s="981"/>
    </row>
    <row r="758" spans="1:26">
      <c r="A758" s="981"/>
      <c r="B758" s="1022"/>
      <c r="C758" s="1022"/>
      <c r="D758" s="1022"/>
      <c r="E758" s="1022"/>
      <c r="F758" s="1022"/>
      <c r="G758" s="1022"/>
      <c r="V758" s="1022"/>
      <c r="W758" s="1022"/>
      <c r="X758" s="981"/>
      <c r="Y758" s="981"/>
      <c r="Z758" s="981"/>
    </row>
    <row r="759" spans="1:26">
      <c r="A759" s="981"/>
      <c r="B759" s="1022"/>
      <c r="C759" s="1022"/>
      <c r="D759" s="1022"/>
      <c r="E759" s="1022"/>
      <c r="F759" s="1022"/>
      <c r="G759" s="1022"/>
      <c r="V759" s="1022"/>
      <c r="W759" s="1022"/>
      <c r="X759" s="981"/>
      <c r="Y759" s="981"/>
      <c r="Z759" s="981"/>
    </row>
    <row r="760" spans="1:26">
      <c r="A760" s="981"/>
      <c r="B760" s="1022"/>
      <c r="C760" s="1022"/>
      <c r="D760" s="1022"/>
      <c r="E760" s="1022"/>
      <c r="F760" s="1022"/>
      <c r="G760" s="1022"/>
      <c r="V760" s="1022"/>
      <c r="W760" s="1022"/>
      <c r="X760" s="981"/>
      <c r="Y760" s="981"/>
      <c r="Z760" s="981"/>
    </row>
    <row r="761" spans="1:26">
      <c r="A761" s="981"/>
      <c r="B761" s="1022"/>
      <c r="C761" s="1022"/>
      <c r="D761" s="1022"/>
      <c r="E761" s="1022"/>
      <c r="F761" s="1022"/>
      <c r="G761" s="1022"/>
      <c r="V761" s="1022"/>
      <c r="W761" s="1022"/>
      <c r="X761" s="981"/>
      <c r="Y761" s="981"/>
      <c r="Z761" s="981"/>
    </row>
    <row r="762" spans="1:26">
      <c r="A762" s="981"/>
      <c r="B762" s="1022"/>
      <c r="C762" s="1022"/>
      <c r="D762" s="1022"/>
      <c r="E762" s="1022"/>
      <c r="F762" s="1022"/>
      <c r="G762" s="1022"/>
      <c r="V762" s="1022"/>
      <c r="W762" s="1022"/>
      <c r="X762" s="981"/>
      <c r="Y762" s="981"/>
      <c r="Z762" s="981"/>
    </row>
    <row r="763" spans="1:26">
      <c r="A763" s="981"/>
      <c r="B763" s="1022"/>
      <c r="C763" s="1022"/>
      <c r="D763" s="1022"/>
      <c r="E763" s="1022"/>
      <c r="F763" s="1022"/>
      <c r="G763" s="1022"/>
      <c r="V763" s="1022"/>
      <c r="W763" s="1022"/>
      <c r="X763" s="981"/>
      <c r="Y763" s="981"/>
      <c r="Z763" s="981"/>
    </row>
    <row r="764" spans="1:26">
      <c r="A764" s="981"/>
      <c r="B764" s="1022"/>
      <c r="C764" s="1022"/>
      <c r="D764" s="1022"/>
      <c r="E764" s="1022"/>
      <c r="F764" s="1022"/>
      <c r="G764" s="1022"/>
      <c r="V764" s="1022"/>
      <c r="W764" s="1022"/>
      <c r="X764" s="981"/>
      <c r="Y764" s="981"/>
      <c r="Z764" s="981"/>
    </row>
    <row r="765" spans="1:26">
      <c r="A765" s="981"/>
      <c r="B765" s="1022"/>
      <c r="C765" s="1022"/>
      <c r="D765" s="1022"/>
      <c r="E765" s="1022"/>
      <c r="F765" s="1022"/>
      <c r="G765" s="1022"/>
      <c r="V765" s="1022"/>
      <c r="W765" s="1022"/>
      <c r="X765" s="981"/>
      <c r="Y765" s="981"/>
      <c r="Z765" s="981"/>
    </row>
    <row r="766" spans="1:26">
      <c r="A766" s="981"/>
      <c r="B766" s="1022"/>
      <c r="C766" s="1022"/>
      <c r="D766" s="1022"/>
      <c r="E766" s="1022"/>
      <c r="F766" s="1022"/>
      <c r="G766" s="1022"/>
      <c r="V766" s="1022"/>
      <c r="W766" s="1022"/>
      <c r="X766" s="981"/>
      <c r="Y766" s="981"/>
      <c r="Z766" s="981"/>
    </row>
    <row r="767" spans="1:26">
      <c r="A767" s="981"/>
      <c r="B767" s="1022"/>
      <c r="C767" s="1022"/>
      <c r="D767" s="1022"/>
      <c r="E767" s="1022"/>
      <c r="F767" s="1022"/>
      <c r="G767" s="1022"/>
      <c r="V767" s="1022"/>
      <c r="W767" s="1022"/>
      <c r="X767" s="981"/>
      <c r="Y767" s="981"/>
      <c r="Z767" s="981"/>
    </row>
    <row r="768" spans="1:26">
      <c r="A768" s="981"/>
      <c r="B768" s="1022"/>
      <c r="C768" s="1022"/>
      <c r="D768" s="1022"/>
      <c r="E768" s="1022"/>
      <c r="F768" s="1022"/>
      <c r="G768" s="1022"/>
      <c r="V768" s="1022"/>
      <c r="W768" s="1022"/>
      <c r="X768" s="981"/>
      <c r="Y768" s="981"/>
      <c r="Z768" s="981"/>
    </row>
    <row r="769" spans="1:26">
      <c r="A769" s="981"/>
      <c r="B769" s="1022"/>
      <c r="C769" s="1022"/>
      <c r="D769" s="1022"/>
      <c r="E769" s="1022"/>
      <c r="F769" s="1022"/>
      <c r="G769" s="1022"/>
      <c r="V769" s="1022"/>
      <c r="W769" s="1022"/>
      <c r="X769" s="981"/>
      <c r="Y769" s="981"/>
      <c r="Z769" s="981"/>
    </row>
    <row r="770" spans="1:26">
      <c r="A770" s="981"/>
      <c r="B770" s="1022"/>
      <c r="C770" s="1022"/>
      <c r="D770" s="1022"/>
      <c r="E770" s="1022"/>
      <c r="F770" s="1022"/>
      <c r="G770" s="1022"/>
      <c r="V770" s="1022"/>
      <c r="W770" s="1022"/>
      <c r="X770" s="981"/>
      <c r="Y770" s="981"/>
      <c r="Z770" s="981"/>
    </row>
    <row r="771" spans="1:26">
      <c r="A771" s="981"/>
      <c r="B771" s="1022"/>
      <c r="C771" s="1022"/>
      <c r="D771" s="1022"/>
      <c r="E771" s="1022"/>
      <c r="F771" s="1022"/>
      <c r="G771" s="1022"/>
      <c r="V771" s="1022"/>
      <c r="W771" s="1022"/>
      <c r="X771" s="981"/>
      <c r="Y771" s="981"/>
      <c r="Z771" s="981"/>
    </row>
    <row r="772" spans="1:26">
      <c r="A772" s="981"/>
      <c r="B772" s="1022"/>
      <c r="C772" s="1022"/>
      <c r="D772" s="1022"/>
      <c r="E772" s="1022"/>
      <c r="F772" s="1022"/>
      <c r="G772" s="1022"/>
      <c r="V772" s="1022"/>
      <c r="W772" s="1022"/>
      <c r="X772" s="981"/>
      <c r="Y772" s="981"/>
      <c r="Z772" s="981"/>
    </row>
    <row r="773" spans="1:26">
      <c r="A773" s="981"/>
      <c r="B773" s="1022"/>
      <c r="C773" s="1022"/>
      <c r="D773" s="1022"/>
      <c r="E773" s="1022"/>
      <c r="F773" s="1022"/>
      <c r="G773" s="1022"/>
      <c r="V773" s="1022"/>
      <c r="W773" s="1022"/>
      <c r="X773" s="981"/>
      <c r="Y773" s="981"/>
      <c r="Z773" s="981"/>
    </row>
    <row r="774" spans="1:26">
      <c r="A774" s="981"/>
      <c r="B774" s="1022"/>
      <c r="C774" s="1022"/>
      <c r="D774" s="1022"/>
      <c r="E774" s="1022"/>
      <c r="F774" s="1022"/>
      <c r="G774" s="1022"/>
      <c r="V774" s="1022"/>
      <c r="W774" s="1022"/>
      <c r="X774" s="981"/>
      <c r="Y774" s="981"/>
      <c r="Z774" s="981"/>
    </row>
    <row r="775" spans="1:26">
      <c r="A775" s="981"/>
      <c r="B775" s="1022"/>
      <c r="C775" s="1022"/>
      <c r="D775" s="1022"/>
      <c r="E775" s="1022"/>
      <c r="F775" s="1022"/>
      <c r="G775" s="1022"/>
      <c r="V775" s="1022"/>
      <c r="W775" s="1022"/>
      <c r="X775" s="981"/>
      <c r="Y775" s="981"/>
      <c r="Z775" s="981"/>
    </row>
    <row r="776" spans="1:26">
      <c r="A776" s="981"/>
      <c r="B776" s="1022"/>
      <c r="C776" s="1022"/>
      <c r="D776" s="1022"/>
      <c r="E776" s="1022"/>
      <c r="F776" s="1022"/>
      <c r="G776" s="1022"/>
      <c r="V776" s="1022"/>
      <c r="W776" s="1022"/>
      <c r="X776" s="981"/>
      <c r="Y776" s="981"/>
      <c r="Z776" s="981"/>
    </row>
    <row r="777" spans="1:26">
      <c r="A777" s="981"/>
      <c r="B777" s="1022"/>
      <c r="C777" s="1022"/>
      <c r="D777" s="1022"/>
      <c r="E777" s="1022"/>
      <c r="F777" s="1022"/>
      <c r="G777" s="1022"/>
      <c r="V777" s="1022"/>
      <c r="W777" s="1022"/>
      <c r="X777" s="981"/>
      <c r="Y777" s="981"/>
      <c r="Z777" s="981"/>
    </row>
    <row r="778" spans="1:26">
      <c r="A778" s="981"/>
      <c r="B778" s="1022"/>
      <c r="C778" s="1022"/>
      <c r="D778" s="1022"/>
      <c r="E778" s="1022"/>
      <c r="F778" s="1022"/>
      <c r="G778" s="1022"/>
      <c r="V778" s="1022"/>
      <c r="W778" s="1022"/>
      <c r="X778" s="981"/>
      <c r="Y778" s="981"/>
      <c r="Z778" s="981"/>
    </row>
    <row r="779" spans="1:26">
      <c r="A779" s="981"/>
      <c r="B779" s="1022"/>
      <c r="C779" s="1022"/>
      <c r="D779" s="1022"/>
      <c r="E779" s="1022"/>
      <c r="F779" s="1022"/>
      <c r="G779" s="1022"/>
      <c r="V779" s="1022"/>
      <c r="W779" s="1022"/>
      <c r="X779" s="981"/>
      <c r="Y779" s="981"/>
      <c r="Z779" s="981"/>
    </row>
    <row r="780" spans="1:26">
      <c r="A780" s="981"/>
      <c r="B780" s="1022"/>
      <c r="C780" s="1022"/>
      <c r="D780" s="1022"/>
      <c r="E780" s="1022"/>
      <c r="F780" s="1022"/>
      <c r="G780" s="1022"/>
      <c r="V780" s="1022"/>
      <c r="W780" s="1022"/>
      <c r="X780" s="981"/>
      <c r="Y780" s="981"/>
      <c r="Z780" s="981"/>
    </row>
    <row r="781" spans="1:26">
      <c r="A781" s="981"/>
      <c r="B781" s="1022"/>
      <c r="C781" s="1022"/>
      <c r="D781" s="1022"/>
      <c r="E781" s="1022"/>
      <c r="F781" s="1022"/>
      <c r="G781" s="1022"/>
      <c r="V781" s="1022"/>
      <c r="W781" s="1022"/>
      <c r="X781" s="981"/>
      <c r="Y781" s="981"/>
      <c r="Z781" s="981"/>
    </row>
    <row r="782" spans="1:26">
      <c r="A782" s="981"/>
      <c r="B782" s="1022"/>
      <c r="C782" s="1022"/>
      <c r="D782" s="1022"/>
      <c r="E782" s="1022"/>
      <c r="F782" s="1022"/>
      <c r="G782" s="1022"/>
      <c r="V782" s="1022"/>
      <c r="W782" s="1022"/>
      <c r="X782" s="981"/>
      <c r="Y782" s="981"/>
      <c r="Z782" s="981"/>
    </row>
    <row r="783" spans="1:26">
      <c r="A783" s="981"/>
      <c r="B783" s="1022"/>
      <c r="C783" s="1022"/>
      <c r="D783" s="1022"/>
      <c r="E783" s="1022"/>
      <c r="F783" s="1022"/>
      <c r="G783" s="1022"/>
      <c r="V783" s="1022"/>
      <c r="W783" s="1022"/>
      <c r="X783" s="981"/>
      <c r="Y783" s="981"/>
      <c r="Z783" s="981"/>
    </row>
    <row r="784" spans="1:26">
      <c r="A784" s="981"/>
      <c r="B784" s="1022"/>
      <c r="C784" s="1022"/>
      <c r="D784" s="1022"/>
      <c r="E784" s="1022"/>
      <c r="F784" s="1022"/>
      <c r="G784" s="1022"/>
      <c r="V784" s="1022"/>
      <c r="W784" s="1022"/>
      <c r="X784" s="981"/>
      <c r="Y784" s="981"/>
      <c r="Z784" s="981"/>
    </row>
    <row r="785" spans="1:26">
      <c r="A785" s="981"/>
      <c r="B785" s="1022"/>
      <c r="C785" s="1022"/>
      <c r="D785" s="1022"/>
      <c r="E785" s="1022"/>
      <c r="F785" s="1022"/>
      <c r="G785" s="1022"/>
      <c r="V785" s="1022"/>
      <c r="W785" s="1022"/>
      <c r="X785" s="981"/>
      <c r="Y785" s="981"/>
      <c r="Z785" s="981"/>
    </row>
    <row r="786" spans="1:26">
      <c r="A786" s="981"/>
      <c r="B786" s="1022"/>
      <c r="C786" s="1022"/>
      <c r="D786" s="1022"/>
      <c r="E786" s="1022"/>
      <c r="F786" s="1022"/>
      <c r="G786" s="1022"/>
      <c r="V786" s="1022"/>
      <c r="W786" s="1022"/>
      <c r="X786" s="981"/>
      <c r="Y786" s="981"/>
      <c r="Z786" s="981"/>
    </row>
    <row r="787" spans="1:26">
      <c r="A787" s="981"/>
      <c r="B787" s="1022"/>
      <c r="C787" s="1022"/>
      <c r="D787" s="1022"/>
      <c r="E787" s="1022"/>
      <c r="F787" s="1022"/>
      <c r="G787" s="1022"/>
      <c r="V787" s="1022"/>
      <c r="W787" s="1022"/>
      <c r="X787" s="981"/>
      <c r="Y787" s="981"/>
      <c r="Z787" s="981"/>
    </row>
    <row r="788" spans="1:26">
      <c r="A788" s="981"/>
      <c r="B788" s="1022"/>
      <c r="C788" s="1022"/>
      <c r="D788" s="1022"/>
      <c r="E788" s="1022"/>
      <c r="F788" s="1022"/>
      <c r="G788" s="1022"/>
      <c r="V788" s="1022"/>
      <c r="W788" s="1022"/>
      <c r="X788" s="981"/>
      <c r="Y788" s="981"/>
      <c r="Z788" s="981"/>
    </row>
    <row r="789" spans="1:26">
      <c r="A789" s="981"/>
      <c r="B789" s="1022"/>
      <c r="C789" s="1022"/>
      <c r="D789" s="1022"/>
      <c r="E789" s="1022"/>
      <c r="F789" s="1022"/>
      <c r="G789" s="1022"/>
      <c r="V789" s="1022"/>
      <c r="W789" s="1022"/>
      <c r="X789" s="981"/>
      <c r="Y789" s="981"/>
      <c r="Z789" s="981"/>
    </row>
    <row r="790" spans="1:26">
      <c r="A790" s="981"/>
      <c r="B790" s="1022"/>
      <c r="C790" s="1022"/>
      <c r="D790" s="1022"/>
      <c r="E790" s="1022"/>
      <c r="F790" s="1022"/>
      <c r="G790" s="1022"/>
      <c r="V790" s="1022"/>
      <c r="W790" s="1022"/>
      <c r="X790" s="981"/>
      <c r="Y790" s="981"/>
      <c r="Z790" s="981"/>
    </row>
    <row r="791" spans="1:26">
      <c r="A791" s="981"/>
      <c r="B791" s="1022"/>
      <c r="C791" s="1022"/>
      <c r="D791" s="1022"/>
      <c r="E791" s="1022"/>
      <c r="F791" s="1022"/>
      <c r="G791" s="1022"/>
      <c r="V791" s="1022"/>
      <c r="W791" s="1022"/>
      <c r="X791" s="981"/>
      <c r="Y791" s="981"/>
      <c r="Z791" s="981"/>
    </row>
    <row r="792" spans="1:26">
      <c r="A792" s="981"/>
      <c r="B792" s="1022"/>
      <c r="C792" s="1022"/>
      <c r="D792" s="1022"/>
      <c r="E792" s="1022"/>
      <c r="F792" s="1022"/>
      <c r="G792" s="1022"/>
      <c r="V792" s="1022"/>
      <c r="W792" s="1022"/>
      <c r="X792" s="981"/>
      <c r="Y792" s="981"/>
      <c r="Z792" s="981"/>
    </row>
    <row r="793" spans="1:26">
      <c r="A793" s="981"/>
      <c r="B793" s="1022"/>
      <c r="C793" s="1022"/>
      <c r="D793" s="1022"/>
      <c r="E793" s="1022"/>
      <c r="F793" s="1022"/>
      <c r="G793" s="1022"/>
      <c r="V793" s="1022"/>
      <c r="W793" s="1022"/>
      <c r="X793" s="981"/>
      <c r="Y793" s="981"/>
      <c r="Z793" s="981"/>
    </row>
    <row r="794" spans="1:26">
      <c r="A794" s="981"/>
      <c r="B794" s="1022"/>
      <c r="C794" s="1022"/>
      <c r="D794" s="1022"/>
      <c r="E794" s="1022"/>
      <c r="F794" s="1022"/>
      <c r="G794" s="1022"/>
      <c r="V794" s="1022"/>
      <c r="W794" s="1022"/>
      <c r="X794" s="981"/>
      <c r="Y794" s="981"/>
      <c r="Z794" s="981"/>
    </row>
    <row r="795" spans="1:26">
      <c r="A795" s="981"/>
      <c r="B795" s="1022"/>
      <c r="C795" s="1022"/>
      <c r="D795" s="1022"/>
      <c r="E795" s="1022"/>
      <c r="F795" s="1022"/>
      <c r="G795" s="1022"/>
      <c r="V795" s="1022"/>
      <c r="W795" s="1022"/>
      <c r="X795" s="981"/>
      <c r="Y795" s="981"/>
      <c r="Z795" s="981"/>
    </row>
    <row r="796" spans="1:26">
      <c r="A796" s="981"/>
      <c r="B796" s="1022"/>
      <c r="C796" s="1022"/>
      <c r="D796" s="1022"/>
      <c r="E796" s="1022"/>
      <c r="F796" s="1022"/>
      <c r="G796" s="1022"/>
      <c r="V796" s="1022"/>
      <c r="W796" s="1022"/>
      <c r="X796" s="981"/>
      <c r="Y796" s="981"/>
      <c r="Z796" s="981"/>
    </row>
    <row r="797" spans="1:26">
      <c r="A797" s="981"/>
      <c r="B797" s="1022"/>
      <c r="C797" s="1022"/>
      <c r="D797" s="1022"/>
      <c r="E797" s="1022"/>
      <c r="F797" s="1022"/>
      <c r="G797" s="1022"/>
      <c r="V797" s="1022"/>
      <c r="W797" s="1022"/>
      <c r="X797" s="981"/>
      <c r="Y797" s="981"/>
      <c r="Z797" s="981"/>
    </row>
    <row r="798" spans="1:26">
      <c r="A798" s="981"/>
      <c r="B798" s="1022"/>
      <c r="C798" s="1022"/>
      <c r="D798" s="1022"/>
      <c r="E798" s="1022"/>
      <c r="F798" s="1022"/>
      <c r="G798" s="1022"/>
      <c r="V798" s="1022"/>
      <c r="W798" s="1022"/>
      <c r="X798" s="981"/>
      <c r="Y798" s="981"/>
      <c r="Z798" s="981"/>
    </row>
    <row r="799" spans="1:26">
      <c r="A799" s="981"/>
      <c r="B799" s="1022"/>
      <c r="C799" s="1022"/>
      <c r="D799" s="1022"/>
      <c r="E799" s="1022"/>
      <c r="F799" s="1022"/>
      <c r="G799" s="1022"/>
      <c r="V799" s="1022"/>
      <c r="W799" s="1022"/>
      <c r="X799" s="981"/>
      <c r="Y799" s="981"/>
      <c r="Z799" s="981"/>
    </row>
    <row r="800" spans="1:26">
      <c r="A800" s="981"/>
      <c r="B800" s="1022"/>
      <c r="C800" s="1022"/>
      <c r="D800" s="1022"/>
      <c r="E800" s="1022"/>
      <c r="F800" s="1022"/>
      <c r="G800" s="1022"/>
      <c r="V800" s="1022"/>
      <c r="W800" s="1022"/>
      <c r="X800" s="981"/>
      <c r="Y800" s="981"/>
      <c r="Z800" s="981"/>
    </row>
    <row r="801" spans="1:26">
      <c r="A801" s="981"/>
      <c r="B801" s="1022"/>
      <c r="C801" s="1022"/>
      <c r="D801" s="1022"/>
      <c r="E801" s="1022"/>
      <c r="F801" s="1022"/>
      <c r="G801" s="1022"/>
      <c r="V801" s="1022"/>
      <c r="W801" s="1022"/>
      <c r="X801" s="981"/>
      <c r="Y801" s="981"/>
      <c r="Z801" s="981"/>
    </row>
    <row r="802" spans="1:26">
      <c r="A802" s="981"/>
      <c r="B802" s="1022"/>
      <c r="C802" s="1022"/>
      <c r="D802" s="1022"/>
      <c r="E802" s="1022"/>
      <c r="F802" s="1022"/>
      <c r="G802" s="1022"/>
      <c r="V802" s="1022"/>
      <c r="W802" s="1022"/>
      <c r="X802" s="981"/>
      <c r="Y802" s="981"/>
      <c r="Z802" s="981"/>
    </row>
    <row r="803" spans="1:26">
      <c r="A803" s="981"/>
      <c r="B803" s="1022"/>
      <c r="C803" s="1022"/>
      <c r="D803" s="1022"/>
      <c r="E803" s="1022"/>
      <c r="F803" s="1022"/>
      <c r="G803" s="1022"/>
      <c r="V803" s="1022"/>
      <c r="W803" s="1022"/>
      <c r="X803" s="981"/>
      <c r="Y803" s="981"/>
      <c r="Z803" s="981"/>
    </row>
    <row r="804" spans="1:26">
      <c r="A804" s="981"/>
      <c r="B804" s="1022"/>
      <c r="C804" s="1022"/>
      <c r="D804" s="1022"/>
      <c r="E804" s="1022"/>
      <c r="F804" s="1022"/>
      <c r="G804" s="1022"/>
      <c r="V804" s="1022"/>
      <c r="W804" s="1022"/>
      <c r="X804" s="981"/>
      <c r="Y804" s="981"/>
      <c r="Z804" s="981"/>
    </row>
    <row r="805" spans="1:26">
      <c r="A805" s="981"/>
      <c r="B805" s="1022"/>
      <c r="C805" s="1022"/>
      <c r="D805" s="1022"/>
      <c r="E805" s="1022"/>
      <c r="F805" s="1022"/>
      <c r="G805" s="1022"/>
      <c r="V805" s="1022"/>
      <c r="W805" s="1022"/>
      <c r="X805" s="981"/>
      <c r="Y805" s="981"/>
      <c r="Z805" s="981"/>
    </row>
    <row r="806" spans="1:26">
      <c r="A806" s="981"/>
      <c r="B806" s="1022"/>
      <c r="C806" s="1022"/>
      <c r="D806" s="1022"/>
      <c r="E806" s="1022"/>
      <c r="F806" s="1022"/>
      <c r="G806" s="1022"/>
      <c r="V806" s="1022"/>
      <c r="W806" s="1022"/>
      <c r="X806" s="981"/>
      <c r="Y806" s="981"/>
      <c r="Z806" s="981"/>
    </row>
    <row r="807" spans="1:26">
      <c r="A807" s="981"/>
      <c r="B807" s="1022"/>
      <c r="C807" s="1022"/>
      <c r="D807" s="1022"/>
      <c r="E807" s="1022"/>
      <c r="F807" s="1022"/>
      <c r="G807" s="1022"/>
      <c r="V807" s="1022"/>
      <c r="W807" s="1022"/>
      <c r="X807" s="981"/>
      <c r="Y807" s="981"/>
      <c r="Z807" s="981"/>
    </row>
    <row r="808" spans="1:26">
      <c r="A808" s="981"/>
      <c r="B808" s="1022"/>
      <c r="C808" s="1022"/>
      <c r="D808" s="1022"/>
      <c r="E808" s="1022"/>
      <c r="F808" s="1022"/>
      <c r="G808" s="1022"/>
      <c r="V808" s="1022"/>
      <c r="W808" s="1022"/>
      <c r="X808" s="981"/>
      <c r="Y808" s="981"/>
      <c r="Z808" s="981"/>
    </row>
    <row r="809" spans="1:26">
      <c r="A809" s="981"/>
      <c r="B809" s="1022"/>
      <c r="C809" s="1022"/>
      <c r="D809" s="1022"/>
      <c r="E809" s="1022"/>
      <c r="F809" s="1022"/>
      <c r="G809" s="1022"/>
      <c r="V809" s="1022"/>
      <c r="W809" s="1022"/>
      <c r="X809" s="981"/>
      <c r="Y809" s="981"/>
      <c r="Z809" s="981"/>
    </row>
    <row r="810" spans="1:26">
      <c r="A810" s="981"/>
      <c r="B810" s="1022"/>
      <c r="C810" s="1022"/>
      <c r="D810" s="1022"/>
      <c r="E810" s="1022"/>
      <c r="F810" s="1022"/>
      <c r="G810" s="1022"/>
      <c r="V810" s="1022"/>
      <c r="W810" s="1022"/>
      <c r="X810" s="981"/>
      <c r="Y810" s="981"/>
      <c r="Z810" s="981"/>
    </row>
    <row r="811" spans="1:26">
      <c r="A811" s="981"/>
      <c r="B811" s="1022"/>
      <c r="C811" s="1022"/>
      <c r="D811" s="1022"/>
      <c r="E811" s="1022"/>
      <c r="F811" s="1022"/>
      <c r="G811" s="1022"/>
      <c r="V811" s="1022"/>
      <c r="W811" s="1022"/>
      <c r="X811" s="981"/>
      <c r="Y811" s="981"/>
      <c r="Z811" s="981"/>
    </row>
    <row r="812" spans="1:26">
      <c r="A812" s="981"/>
      <c r="B812" s="1022"/>
      <c r="C812" s="1022"/>
      <c r="D812" s="1022"/>
      <c r="E812" s="1022"/>
      <c r="F812" s="1022"/>
      <c r="G812" s="1022"/>
      <c r="V812" s="1022"/>
      <c r="W812" s="1022"/>
      <c r="X812" s="981"/>
      <c r="Y812" s="981"/>
      <c r="Z812" s="981"/>
    </row>
    <row r="813" spans="1:26">
      <c r="A813" s="981"/>
      <c r="B813" s="1022"/>
      <c r="C813" s="1022"/>
      <c r="D813" s="1022"/>
      <c r="E813" s="1022"/>
      <c r="F813" s="1022"/>
      <c r="G813" s="1022"/>
      <c r="V813" s="1022"/>
      <c r="W813" s="1022"/>
      <c r="X813" s="981"/>
      <c r="Y813" s="981"/>
      <c r="Z813" s="981"/>
    </row>
    <row r="814" spans="1:26">
      <c r="A814" s="981"/>
      <c r="B814" s="1022"/>
      <c r="C814" s="1022"/>
      <c r="D814" s="1022"/>
      <c r="E814" s="1022"/>
      <c r="F814" s="1022"/>
      <c r="G814" s="1022"/>
      <c r="V814" s="1022"/>
      <c r="W814" s="1022"/>
      <c r="X814" s="981"/>
      <c r="Y814" s="981"/>
      <c r="Z814" s="981"/>
    </row>
    <row r="815" spans="1:26">
      <c r="A815" s="981"/>
      <c r="B815" s="1022"/>
      <c r="C815" s="1022"/>
      <c r="D815" s="1022"/>
      <c r="E815" s="1022"/>
      <c r="F815" s="1022"/>
      <c r="G815" s="1022"/>
      <c r="V815" s="1022"/>
      <c r="W815" s="1022"/>
      <c r="X815" s="981"/>
      <c r="Y815" s="981"/>
      <c r="Z815" s="981"/>
    </row>
    <row r="816" spans="1:26">
      <c r="A816" s="981"/>
      <c r="B816" s="1022"/>
      <c r="C816" s="1022"/>
      <c r="D816" s="1022"/>
      <c r="E816" s="1022"/>
      <c r="F816" s="1022"/>
      <c r="G816" s="1022"/>
      <c r="V816" s="1022"/>
      <c r="W816" s="1022"/>
      <c r="X816" s="981"/>
      <c r="Y816" s="981"/>
      <c r="Z816" s="981"/>
    </row>
    <row r="817" spans="1:26">
      <c r="A817" s="981"/>
      <c r="B817" s="1022"/>
      <c r="C817" s="1022"/>
      <c r="D817" s="1022"/>
      <c r="E817" s="1022"/>
      <c r="F817" s="1022"/>
      <c r="G817" s="1022"/>
      <c r="V817" s="1022"/>
      <c r="W817" s="1022"/>
      <c r="X817" s="981"/>
      <c r="Y817" s="981"/>
      <c r="Z817" s="981"/>
    </row>
    <row r="818" spans="1:26">
      <c r="A818" s="981"/>
      <c r="B818" s="1022"/>
      <c r="C818" s="1022"/>
      <c r="D818" s="1022"/>
      <c r="E818" s="1022"/>
      <c r="F818" s="1022"/>
      <c r="G818" s="1022"/>
      <c r="V818" s="1022"/>
      <c r="W818" s="1022"/>
      <c r="X818" s="981"/>
      <c r="Y818" s="981"/>
      <c r="Z818" s="981"/>
    </row>
    <row r="819" spans="1:26">
      <c r="A819" s="981"/>
      <c r="B819" s="1022"/>
      <c r="C819" s="1022"/>
      <c r="D819" s="1022"/>
      <c r="E819" s="1022"/>
      <c r="F819" s="1022"/>
      <c r="G819" s="1022"/>
      <c r="V819" s="1022"/>
      <c r="W819" s="1022"/>
      <c r="X819" s="981"/>
      <c r="Y819" s="981"/>
      <c r="Z819" s="981"/>
    </row>
    <row r="820" spans="1:26">
      <c r="A820" s="981"/>
      <c r="B820" s="1022"/>
      <c r="C820" s="1022"/>
      <c r="D820" s="1022"/>
      <c r="E820" s="1022"/>
      <c r="F820" s="1022"/>
      <c r="G820" s="1022"/>
      <c r="V820" s="1022"/>
      <c r="W820" s="1022"/>
      <c r="X820" s="981"/>
      <c r="Y820" s="981"/>
      <c r="Z820" s="981"/>
    </row>
    <row r="821" spans="1:26">
      <c r="A821" s="981"/>
      <c r="B821" s="1022"/>
      <c r="C821" s="1022"/>
      <c r="D821" s="1022"/>
      <c r="E821" s="1022"/>
      <c r="F821" s="1022"/>
      <c r="G821" s="1022"/>
      <c r="V821" s="1022"/>
      <c r="W821" s="1022"/>
      <c r="X821" s="981"/>
      <c r="Y821" s="981"/>
      <c r="Z821" s="981"/>
    </row>
    <row r="822" spans="1:26">
      <c r="A822" s="981"/>
      <c r="B822" s="1022"/>
      <c r="C822" s="1022"/>
      <c r="D822" s="1022"/>
      <c r="E822" s="1022"/>
      <c r="F822" s="1022"/>
      <c r="G822" s="1022"/>
      <c r="V822" s="1022"/>
      <c r="W822" s="1022"/>
      <c r="X822" s="981"/>
      <c r="Y822" s="981"/>
      <c r="Z822" s="981"/>
    </row>
    <row r="823" spans="1:26">
      <c r="A823" s="981"/>
      <c r="B823" s="1022"/>
      <c r="C823" s="1022"/>
      <c r="D823" s="1022"/>
      <c r="E823" s="1022"/>
      <c r="F823" s="1022"/>
      <c r="G823" s="1022"/>
      <c r="V823" s="1022"/>
      <c r="W823" s="1022"/>
      <c r="X823" s="981"/>
      <c r="Y823" s="981"/>
      <c r="Z823" s="981"/>
    </row>
    <row r="824" spans="1:26">
      <c r="A824" s="981"/>
      <c r="B824" s="1022"/>
      <c r="C824" s="1022"/>
      <c r="D824" s="1022"/>
      <c r="E824" s="1022"/>
      <c r="F824" s="1022"/>
      <c r="G824" s="1022"/>
      <c r="V824" s="1022"/>
      <c r="W824" s="1022"/>
      <c r="X824" s="981"/>
      <c r="Y824" s="981"/>
      <c r="Z824" s="981"/>
    </row>
    <row r="825" spans="1:26">
      <c r="A825" s="981"/>
      <c r="B825" s="1022"/>
      <c r="C825" s="1022"/>
      <c r="D825" s="1022"/>
      <c r="E825" s="1022"/>
      <c r="F825" s="1022"/>
      <c r="G825" s="1022"/>
      <c r="V825" s="1022"/>
      <c r="W825" s="1022"/>
      <c r="X825" s="981"/>
      <c r="Y825" s="981"/>
      <c r="Z825" s="981"/>
    </row>
    <row r="826" spans="1:26">
      <c r="A826" s="981"/>
      <c r="B826" s="1022"/>
      <c r="C826" s="1022"/>
      <c r="D826" s="1022"/>
      <c r="E826" s="1022"/>
      <c r="F826" s="1022"/>
      <c r="G826" s="1022"/>
      <c r="V826" s="1022"/>
      <c r="W826" s="1022"/>
      <c r="X826" s="981"/>
      <c r="Y826" s="981"/>
      <c r="Z826" s="981"/>
    </row>
    <row r="827" spans="1:26">
      <c r="A827" s="981"/>
      <c r="B827" s="1022"/>
      <c r="C827" s="1022"/>
      <c r="D827" s="1022"/>
      <c r="E827" s="1022"/>
      <c r="F827" s="1022"/>
      <c r="G827" s="1022"/>
      <c r="V827" s="1022"/>
      <c r="W827" s="1022"/>
      <c r="X827" s="981"/>
      <c r="Y827" s="981"/>
      <c r="Z827" s="981"/>
    </row>
    <row r="828" spans="1:26">
      <c r="A828" s="981"/>
      <c r="B828" s="1022"/>
      <c r="C828" s="1022"/>
      <c r="D828" s="1022"/>
      <c r="E828" s="1022"/>
      <c r="F828" s="1022"/>
      <c r="G828" s="1022"/>
      <c r="V828" s="1022"/>
      <c r="W828" s="1022"/>
      <c r="X828" s="981"/>
      <c r="Y828" s="981"/>
      <c r="Z828" s="981"/>
    </row>
    <row r="829" spans="1:26">
      <c r="A829" s="981"/>
      <c r="B829" s="1022"/>
      <c r="C829" s="1022"/>
      <c r="D829" s="1022"/>
      <c r="E829" s="1022"/>
      <c r="F829" s="1022"/>
      <c r="G829" s="1022"/>
      <c r="V829" s="1022"/>
      <c r="W829" s="1022"/>
      <c r="X829" s="981"/>
      <c r="Y829" s="981"/>
      <c r="Z829" s="981"/>
    </row>
    <row r="830" spans="1:26">
      <c r="A830" s="981"/>
      <c r="B830" s="1022"/>
      <c r="C830" s="1022"/>
      <c r="D830" s="1022"/>
      <c r="E830" s="1022"/>
      <c r="F830" s="1022"/>
      <c r="G830" s="1022"/>
      <c r="V830" s="1022"/>
      <c r="W830" s="1022"/>
      <c r="X830" s="981"/>
      <c r="Y830" s="981"/>
      <c r="Z830" s="981"/>
    </row>
    <row r="831" spans="1:26">
      <c r="A831" s="981"/>
      <c r="B831" s="1022"/>
      <c r="C831" s="1022"/>
      <c r="D831" s="1022"/>
      <c r="E831" s="1022"/>
      <c r="F831" s="1022"/>
      <c r="G831" s="1022"/>
      <c r="V831" s="1022"/>
      <c r="W831" s="1022"/>
      <c r="X831" s="981"/>
      <c r="Y831" s="981"/>
      <c r="Z831" s="981"/>
    </row>
    <row r="832" spans="1:26">
      <c r="A832" s="981"/>
      <c r="B832" s="1022"/>
      <c r="C832" s="1022"/>
      <c r="D832" s="1022"/>
      <c r="E832" s="1022"/>
      <c r="F832" s="1022"/>
      <c r="G832" s="1022"/>
      <c r="V832" s="1022"/>
      <c r="W832" s="1022"/>
      <c r="X832" s="981"/>
      <c r="Y832" s="981"/>
      <c r="Z832" s="981"/>
    </row>
    <row r="833" spans="1:26">
      <c r="A833" s="981"/>
      <c r="B833" s="1022"/>
      <c r="C833" s="1022"/>
      <c r="D833" s="1022"/>
      <c r="E833" s="1022"/>
      <c r="F833" s="1022"/>
      <c r="G833" s="1022"/>
      <c r="V833" s="1022"/>
      <c r="W833" s="1022"/>
      <c r="X833" s="981"/>
      <c r="Y833" s="981"/>
      <c r="Z833" s="981"/>
    </row>
    <row r="834" spans="1:26">
      <c r="A834" s="981"/>
      <c r="B834" s="1022"/>
      <c r="C834" s="1022"/>
      <c r="D834" s="1022"/>
      <c r="E834" s="1022"/>
      <c r="F834" s="1022"/>
      <c r="G834" s="1022"/>
      <c r="V834" s="1022"/>
      <c r="W834" s="1022"/>
      <c r="X834" s="981"/>
      <c r="Y834" s="981"/>
      <c r="Z834" s="981"/>
    </row>
    <row r="835" spans="1:26">
      <c r="A835" s="981"/>
      <c r="B835" s="1022"/>
      <c r="C835" s="1022"/>
      <c r="D835" s="1022"/>
      <c r="E835" s="1022"/>
      <c r="F835" s="1022"/>
      <c r="G835" s="1022"/>
      <c r="V835" s="1022"/>
      <c r="W835" s="1022"/>
      <c r="X835" s="981"/>
      <c r="Y835" s="981"/>
      <c r="Z835" s="981"/>
    </row>
    <row r="836" spans="1:26">
      <c r="A836" s="981"/>
      <c r="B836" s="1022"/>
      <c r="C836" s="1022"/>
      <c r="D836" s="1022"/>
      <c r="E836" s="1022"/>
      <c r="F836" s="1022"/>
      <c r="G836" s="1022"/>
      <c r="V836" s="1022"/>
      <c r="W836" s="1022"/>
      <c r="X836" s="981"/>
      <c r="Y836" s="981"/>
      <c r="Z836" s="981"/>
    </row>
    <row r="837" spans="1:26">
      <c r="A837" s="981"/>
      <c r="B837" s="1022"/>
      <c r="C837" s="1022"/>
      <c r="D837" s="1022"/>
      <c r="E837" s="1022"/>
      <c r="F837" s="1022"/>
      <c r="G837" s="1022"/>
      <c r="V837" s="1022"/>
      <c r="W837" s="1022"/>
      <c r="X837" s="981"/>
      <c r="Y837" s="981"/>
      <c r="Z837" s="981"/>
    </row>
    <row r="838" spans="1:26">
      <c r="A838" s="981"/>
      <c r="B838" s="1022"/>
      <c r="C838" s="1022"/>
      <c r="D838" s="1022"/>
      <c r="E838" s="1022"/>
      <c r="F838" s="1022"/>
      <c r="G838" s="1022"/>
      <c r="V838" s="1022"/>
      <c r="W838" s="1022"/>
      <c r="X838" s="981"/>
      <c r="Y838" s="981"/>
      <c r="Z838" s="981"/>
    </row>
    <row r="839" spans="1:26">
      <c r="A839" s="981"/>
      <c r="B839" s="1022"/>
      <c r="C839" s="1022"/>
      <c r="D839" s="1022"/>
      <c r="E839" s="1022"/>
      <c r="F839" s="1022"/>
      <c r="G839" s="1022"/>
      <c r="V839" s="1022"/>
      <c r="W839" s="1022"/>
      <c r="X839" s="981"/>
      <c r="Y839" s="981"/>
      <c r="Z839" s="981"/>
    </row>
    <row r="840" spans="1:26">
      <c r="A840" s="981"/>
      <c r="B840" s="1022"/>
      <c r="C840" s="1022"/>
      <c r="D840" s="1022"/>
      <c r="E840" s="1022"/>
      <c r="F840" s="1022"/>
      <c r="G840" s="1022"/>
      <c r="V840" s="1022"/>
      <c r="W840" s="1022"/>
      <c r="X840" s="981"/>
      <c r="Y840" s="981"/>
      <c r="Z840" s="981"/>
    </row>
    <row r="841" spans="1:26">
      <c r="A841" s="981"/>
      <c r="B841" s="1022"/>
      <c r="C841" s="1022"/>
      <c r="D841" s="1022"/>
      <c r="E841" s="1022"/>
      <c r="F841" s="1022"/>
      <c r="G841" s="1022"/>
      <c r="V841" s="1022"/>
      <c r="W841" s="1022"/>
      <c r="X841" s="981"/>
      <c r="Y841" s="981"/>
      <c r="Z841" s="981"/>
    </row>
    <row r="842" spans="1:26">
      <c r="A842" s="981"/>
      <c r="B842" s="1022"/>
      <c r="C842" s="1022"/>
      <c r="D842" s="1022"/>
      <c r="E842" s="1022"/>
      <c r="F842" s="1022"/>
      <c r="G842" s="1022"/>
      <c r="V842" s="1022"/>
      <c r="W842" s="1022"/>
      <c r="X842" s="981"/>
      <c r="Y842" s="981"/>
      <c r="Z842" s="981"/>
    </row>
    <row r="843" spans="1:26">
      <c r="A843" s="981"/>
      <c r="B843" s="1022"/>
      <c r="C843" s="1022"/>
      <c r="D843" s="1022"/>
      <c r="E843" s="1022"/>
      <c r="F843" s="1022"/>
      <c r="G843" s="1022"/>
      <c r="V843" s="1022"/>
      <c r="W843" s="1022"/>
      <c r="X843" s="981"/>
      <c r="Y843" s="981"/>
      <c r="Z843" s="981"/>
    </row>
    <row r="844" spans="1:26">
      <c r="A844" s="981"/>
      <c r="B844" s="1022"/>
      <c r="C844" s="1022"/>
      <c r="D844" s="1022"/>
      <c r="E844" s="1022"/>
      <c r="F844" s="1022"/>
      <c r="G844" s="1022"/>
      <c r="V844" s="1022"/>
      <c r="W844" s="1022"/>
      <c r="X844" s="981"/>
      <c r="Y844" s="981"/>
      <c r="Z844" s="981"/>
    </row>
    <row r="845" spans="1:26">
      <c r="A845" s="981"/>
      <c r="B845" s="1022"/>
      <c r="C845" s="1022"/>
      <c r="D845" s="1022"/>
      <c r="E845" s="1022"/>
      <c r="F845" s="1022"/>
      <c r="G845" s="1022"/>
      <c r="V845" s="1022"/>
      <c r="W845" s="1022"/>
      <c r="X845" s="981"/>
      <c r="Y845" s="981"/>
      <c r="Z845" s="981"/>
    </row>
    <row r="846" spans="1:26">
      <c r="A846" s="981"/>
      <c r="B846" s="1022"/>
      <c r="C846" s="1022"/>
      <c r="D846" s="1022"/>
      <c r="E846" s="1022"/>
      <c r="F846" s="1022"/>
      <c r="G846" s="1022"/>
      <c r="V846" s="1022"/>
      <c r="W846" s="1022"/>
      <c r="X846" s="981"/>
      <c r="Y846" s="981"/>
      <c r="Z846" s="981"/>
    </row>
    <row r="847" spans="1:26">
      <c r="A847" s="981"/>
      <c r="B847" s="1022"/>
      <c r="C847" s="1022"/>
      <c r="D847" s="1022"/>
      <c r="E847" s="1022"/>
      <c r="F847" s="1022"/>
      <c r="G847" s="1022"/>
      <c r="V847" s="1022"/>
      <c r="W847" s="1022"/>
      <c r="X847" s="981"/>
      <c r="Y847" s="981"/>
      <c r="Z847" s="981"/>
    </row>
    <row r="848" spans="1:26">
      <c r="A848" s="981"/>
      <c r="B848" s="1022"/>
      <c r="C848" s="1022"/>
      <c r="D848" s="1022"/>
      <c r="E848" s="1022"/>
      <c r="F848" s="1022"/>
      <c r="G848" s="1022"/>
      <c r="V848" s="1022"/>
      <c r="W848" s="1022"/>
      <c r="X848" s="981"/>
      <c r="Y848" s="981"/>
      <c r="Z848" s="981"/>
    </row>
    <row r="849" spans="1:26">
      <c r="A849" s="981"/>
      <c r="B849" s="1022"/>
      <c r="C849" s="1022"/>
      <c r="D849" s="1022"/>
      <c r="E849" s="1022"/>
      <c r="F849" s="1022"/>
      <c r="G849" s="1022"/>
      <c r="V849" s="1022"/>
      <c r="W849" s="1022"/>
      <c r="X849" s="981"/>
      <c r="Y849" s="981"/>
      <c r="Z849" s="981"/>
    </row>
    <row r="850" spans="1:26">
      <c r="A850" s="981"/>
      <c r="B850" s="1022"/>
      <c r="C850" s="1022"/>
      <c r="D850" s="1022"/>
      <c r="E850" s="1022"/>
      <c r="F850" s="1022"/>
      <c r="G850" s="1022"/>
      <c r="V850" s="1022"/>
      <c r="W850" s="1022"/>
      <c r="X850" s="981"/>
      <c r="Y850" s="981"/>
      <c r="Z850" s="981"/>
    </row>
    <row r="851" spans="1:26">
      <c r="A851" s="981"/>
      <c r="B851" s="1022"/>
      <c r="C851" s="1022"/>
      <c r="D851" s="1022"/>
      <c r="E851" s="1022"/>
      <c r="F851" s="1022"/>
      <c r="G851" s="1022"/>
      <c r="V851" s="1022"/>
      <c r="W851" s="1022"/>
      <c r="X851" s="981"/>
      <c r="Y851" s="981"/>
      <c r="Z851" s="981"/>
    </row>
    <row r="852" spans="1:26">
      <c r="A852" s="981"/>
      <c r="B852" s="1022"/>
      <c r="C852" s="1022"/>
      <c r="D852" s="1022"/>
      <c r="E852" s="1022"/>
      <c r="F852" s="1022"/>
      <c r="G852" s="1022"/>
      <c r="V852" s="1022"/>
      <c r="W852" s="1022"/>
      <c r="X852" s="981"/>
      <c r="Y852" s="981"/>
      <c r="Z852" s="981"/>
    </row>
    <row r="853" spans="1:26">
      <c r="A853" s="981"/>
      <c r="B853" s="1022"/>
      <c r="C853" s="1022"/>
      <c r="D853" s="1022"/>
      <c r="E853" s="1022"/>
      <c r="F853" s="1022"/>
      <c r="G853" s="1022"/>
      <c r="V853" s="1022"/>
      <c r="W853" s="1022"/>
      <c r="X853" s="981"/>
      <c r="Y853" s="981"/>
      <c r="Z853" s="981"/>
    </row>
    <row r="854" spans="1:26">
      <c r="A854" s="981"/>
      <c r="B854" s="1022"/>
      <c r="C854" s="1022"/>
      <c r="D854" s="1022"/>
      <c r="E854" s="1022"/>
      <c r="F854" s="1022"/>
      <c r="G854" s="1022"/>
      <c r="V854" s="1022"/>
      <c r="W854" s="1022"/>
      <c r="X854" s="981"/>
      <c r="Y854" s="981"/>
      <c r="Z854" s="981"/>
    </row>
    <row r="855" spans="1:26">
      <c r="A855" s="981"/>
      <c r="B855" s="1022"/>
      <c r="C855" s="1022"/>
      <c r="D855" s="1022"/>
      <c r="E855" s="1022"/>
      <c r="F855" s="1022"/>
      <c r="G855" s="1022"/>
      <c r="V855" s="1022"/>
      <c r="W855" s="1022"/>
      <c r="X855" s="981"/>
      <c r="Y855" s="981"/>
      <c r="Z855" s="981"/>
    </row>
    <row r="856" spans="1:26">
      <c r="A856" s="981"/>
      <c r="B856" s="1022"/>
      <c r="C856" s="1022"/>
      <c r="D856" s="1022"/>
      <c r="E856" s="1022"/>
      <c r="F856" s="1022"/>
      <c r="G856" s="1022"/>
      <c r="V856" s="1022"/>
      <c r="W856" s="1022"/>
      <c r="X856" s="981"/>
      <c r="Y856" s="981"/>
      <c r="Z856" s="981"/>
    </row>
    <row r="857" spans="1:26">
      <c r="A857" s="981"/>
      <c r="B857" s="1022"/>
      <c r="C857" s="1022"/>
      <c r="D857" s="1022"/>
      <c r="E857" s="1022"/>
      <c r="F857" s="1022"/>
      <c r="G857" s="1022"/>
      <c r="V857" s="1022"/>
      <c r="W857" s="1022"/>
      <c r="X857" s="981"/>
      <c r="Y857" s="981"/>
      <c r="Z857" s="981"/>
    </row>
    <row r="858" spans="1:26">
      <c r="A858" s="981"/>
      <c r="B858" s="1022"/>
      <c r="C858" s="1022"/>
      <c r="D858" s="1022"/>
      <c r="E858" s="1022"/>
      <c r="F858" s="1022"/>
      <c r="G858" s="1022"/>
      <c r="V858" s="1022"/>
      <c r="W858" s="1022"/>
      <c r="X858" s="981"/>
      <c r="Y858" s="981"/>
      <c r="Z858" s="981"/>
    </row>
    <row r="859" spans="1:26">
      <c r="A859" s="981"/>
      <c r="B859" s="1022"/>
      <c r="C859" s="1022"/>
      <c r="D859" s="1022"/>
      <c r="E859" s="1022"/>
      <c r="F859" s="1022"/>
      <c r="G859" s="1022"/>
      <c r="V859" s="1022"/>
      <c r="W859" s="1022"/>
      <c r="X859" s="981"/>
      <c r="Y859" s="981"/>
      <c r="Z859" s="981"/>
    </row>
    <row r="860" spans="1:26">
      <c r="A860" s="981"/>
      <c r="B860" s="1022"/>
      <c r="C860" s="1022"/>
      <c r="D860" s="1022"/>
      <c r="E860" s="1022"/>
      <c r="F860" s="1022"/>
      <c r="G860" s="1022"/>
      <c r="V860" s="1022"/>
      <c r="W860" s="1022"/>
      <c r="X860" s="981"/>
      <c r="Y860" s="981"/>
      <c r="Z860" s="981"/>
    </row>
    <row r="861" spans="1:26">
      <c r="A861" s="981"/>
      <c r="B861" s="1022"/>
      <c r="C861" s="1022"/>
      <c r="D861" s="1022"/>
      <c r="E861" s="1022"/>
      <c r="F861" s="1022"/>
      <c r="G861" s="1022"/>
      <c r="V861" s="1022"/>
      <c r="W861" s="1022"/>
      <c r="X861" s="981"/>
      <c r="Y861" s="981"/>
      <c r="Z861" s="981"/>
    </row>
    <row r="862" spans="1:26">
      <c r="A862" s="981"/>
      <c r="B862" s="1022"/>
      <c r="C862" s="1022"/>
      <c r="D862" s="1022"/>
      <c r="E862" s="1022"/>
      <c r="F862" s="1022"/>
      <c r="G862" s="1022"/>
      <c r="V862" s="1022"/>
      <c r="W862" s="1022"/>
      <c r="X862" s="981"/>
      <c r="Y862" s="981"/>
      <c r="Z862" s="981"/>
    </row>
    <row r="863" spans="1:26">
      <c r="A863" s="981"/>
      <c r="B863" s="1022"/>
      <c r="C863" s="1022"/>
      <c r="D863" s="1022"/>
      <c r="E863" s="1022"/>
      <c r="F863" s="1022"/>
      <c r="G863" s="1022"/>
      <c r="V863" s="1022"/>
      <c r="W863" s="1022"/>
      <c r="X863" s="981"/>
      <c r="Y863" s="981"/>
      <c r="Z863" s="981"/>
    </row>
    <row r="864" spans="1:26">
      <c r="A864" s="981"/>
      <c r="B864" s="1022"/>
      <c r="C864" s="1022"/>
      <c r="D864" s="1022"/>
      <c r="E864" s="1022"/>
      <c r="F864" s="1022"/>
      <c r="G864" s="1022"/>
      <c r="V864" s="1022"/>
      <c r="W864" s="1022"/>
      <c r="X864" s="981"/>
      <c r="Y864" s="981"/>
      <c r="Z864" s="981"/>
    </row>
    <row r="865" spans="1:26">
      <c r="A865" s="981"/>
      <c r="B865" s="1022"/>
      <c r="C865" s="1022"/>
      <c r="D865" s="1022"/>
      <c r="E865" s="1022"/>
      <c r="F865" s="1022"/>
      <c r="G865" s="1022"/>
      <c r="V865" s="1022"/>
      <c r="W865" s="1022"/>
      <c r="X865" s="981"/>
      <c r="Y865" s="981"/>
      <c r="Z865" s="981"/>
    </row>
    <row r="866" spans="1:26">
      <c r="A866" s="981"/>
      <c r="B866" s="1022"/>
      <c r="C866" s="1022"/>
      <c r="D866" s="1022"/>
      <c r="E866" s="1022"/>
      <c r="F866" s="1022"/>
      <c r="G866" s="1022"/>
      <c r="V866" s="1022"/>
      <c r="W866" s="1022"/>
      <c r="X866" s="981"/>
      <c r="Y866" s="981"/>
      <c r="Z866" s="981"/>
    </row>
    <row r="867" spans="1:26">
      <c r="A867" s="981"/>
      <c r="B867" s="1022"/>
      <c r="C867" s="1022"/>
      <c r="D867" s="1022"/>
      <c r="E867" s="1022"/>
      <c r="F867" s="1022"/>
      <c r="G867" s="1022"/>
      <c r="V867" s="1022"/>
      <c r="W867" s="1022"/>
      <c r="X867" s="981"/>
      <c r="Y867" s="981"/>
      <c r="Z867" s="981"/>
    </row>
    <row r="868" spans="1:26">
      <c r="A868" s="981"/>
      <c r="B868" s="1022"/>
      <c r="C868" s="1022"/>
      <c r="D868" s="1022"/>
      <c r="E868" s="1022"/>
      <c r="F868" s="1022"/>
      <c r="G868" s="1022"/>
      <c r="V868" s="1022"/>
      <c r="W868" s="1022"/>
      <c r="X868" s="981"/>
      <c r="Y868" s="981"/>
      <c r="Z868" s="981"/>
    </row>
    <row r="869" spans="1:26">
      <c r="A869" s="981"/>
      <c r="B869" s="1022"/>
      <c r="C869" s="1022"/>
      <c r="D869" s="1022"/>
      <c r="E869" s="1022"/>
      <c r="F869" s="1022"/>
      <c r="G869" s="1022"/>
      <c r="V869" s="1022"/>
      <c r="W869" s="1022"/>
      <c r="X869" s="981"/>
      <c r="Y869" s="981"/>
      <c r="Z869" s="981"/>
    </row>
    <row r="870" spans="1:26">
      <c r="A870" s="981"/>
      <c r="B870" s="1022"/>
      <c r="C870" s="1022"/>
      <c r="D870" s="1022"/>
      <c r="E870" s="1022"/>
      <c r="F870" s="1022"/>
      <c r="G870" s="1022"/>
      <c r="V870" s="1022"/>
      <c r="W870" s="1022"/>
      <c r="X870" s="981"/>
      <c r="Y870" s="981"/>
      <c r="Z870" s="981"/>
    </row>
    <row r="871" spans="1:26">
      <c r="A871" s="981"/>
      <c r="B871" s="1022"/>
      <c r="C871" s="1022"/>
      <c r="D871" s="1022"/>
      <c r="E871" s="1022"/>
      <c r="F871" s="1022"/>
      <c r="G871" s="1022"/>
      <c r="V871" s="1022"/>
      <c r="W871" s="1022"/>
      <c r="X871" s="981"/>
      <c r="Y871" s="981"/>
      <c r="Z871" s="981"/>
    </row>
    <row r="872" spans="1:26">
      <c r="A872" s="981"/>
      <c r="B872" s="1022"/>
      <c r="C872" s="1022"/>
      <c r="D872" s="1022"/>
      <c r="E872" s="1022"/>
      <c r="F872" s="1022"/>
      <c r="G872" s="1022"/>
      <c r="V872" s="1022"/>
      <c r="W872" s="1022"/>
      <c r="X872" s="981"/>
      <c r="Y872" s="981"/>
      <c r="Z872" s="981"/>
    </row>
    <row r="873" spans="1:26">
      <c r="A873" s="981"/>
      <c r="B873" s="1022"/>
      <c r="C873" s="1022"/>
      <c r="D873" s="1022"/>
      <c r="E873" s="1022"/>
      <c r="F873" s="1022"/>
      <c r="G873" s="1022"/>
      <c r="V873" s="1022"/>
      <c r="W873" s="1022"/>
      <c r="X873" s="981"/>
      <c r="Y873" s="981"/>
      <c r="Z873" s="981"/>
    </row>
    <row r="874" spans="1:26">
      <c r="A874" s="981"/>
      <c r="B874" s="1022"/>
      <c r="C874" s="1022"/>
      <c r="D874" s="1022"/>
      <c r="E874" s="1022"/>
      <c r="F874" s="1022"/>
      <c r="G874" s="1022"/>
      <c r="V874" s="1022"/>
      <c r="W874" s="1022"/>
      <c r="X874" s="981"/>
      <c r="Y874" s="981"/>
      <c r="Z874" s="981"/>
    </row>
    <row r="875" spans="1:26">
      <c r="A875" s="981"/>
      <c r="B875" s="1022"/>
      <c r="C875" s="1022"/>
      <c r="D875" s="1022"/>
      <c r="E875" s="1022"/>
      <c r="F875" s="1022"/>
      <c r="G875" s="1022"/>
      <c r="V875" s="1022"/>
      <c r="W875" s="1022"/>
      <c r="X875" s="981"/>
      <c r="Y875" s="981"/>
      <c r="Z875" s="981"/>
    </row>
    <row r="876" spans="1:26">
      <c r="A876" s="981"/>
      <c r="B876" s="1022"/>
      <c r="C876" s="1022"/>
      <c r="D876" s="1022"/>
      <c r="E876" s="1022"/>
      <c r="F876" s="1022"/>
      <c r="G876" s="1022"/>
      <c r="V876" s="1022"/>
      <c r="W876" s="1022"/>
      <c r="X876" s="981"/>
      <c r="Y876" s="981"/>
      <c r="Z876" s="981"/>
    </row>
    <row r="877" spans="1:26">
      <c r="A877" s="981"/>
      <c r="B877" s="1022"/>
      <c r="C877" s="1022"/>
      <c r="D877" s="1022"/>
      <c r="E877" s="1022"/>
      <c r="F877" s="1022"/>
      <c r="G877" s="1022"/>
      <c r="V877" s="1022"/>
      <c r="W877" s="1022"/>
      <c r="X877" s="981"/>
      <c r="Y877" s="981"/>
      <c r="Z877" s="981"/>
    </row>
    <row r="878" spans="1:26">
      <c r="A878" s="981"/>
      <c r="B878" s="1022"/>
      <c r="C878" s="1022"/>
      <c r="D878" s="1022"/>
      <c r="E878" s="1022"/>
      <c r="F878" s="1022"/>
      <c r="G878" s="1022"/>
      <c r="V878" s="1022"/>
      <c r="W878" s="1022"/>
      <c r="X878" s="981"/>
      <c r="Y878" s="981"/>
      <c r="Z878" s="981"/>
    </row>
    <row r="879" spans="1:26">
      <c r="A879" s="981"/>
      <c r="B879" s="1022"/>
      <c r="C879" s="1022"/>
      <c r="D879" s="1022"/>
      <c r="E879" s="1022"/>
      <c r="F879" s="1022"/>
      <c r="G879" s="1022"/>
      <c r="V879" s="1022"/>
      <c r="W879" s="1022"/>
      <c r="X879" s="981"/>
      <c r="Y879" s="981"/>
      <c r="Z879" s="981"/>
    </row>
    <row r="880" spans="1:26">
      <c r="A880" s="981"/>
      <c r="B880" s="1022"/>
      <c r="C880" s="1022"/>
      <c r="D880" s="1022"/>
      <c r="E880" s="1022"/>
      <c r="F880" s="1022"/>
      <c r="G880" s="1022"/>
      <c r="V880" s="1022"/>
      <c r="W880" s="1022"/>
      <c r="X880" s="981"/>
      <c r="Y880" s="981"/>
      <c r="Z880" s="981"/>
    </row>
    <row r="881" spans="1:26">
      <c r="A881" s="981"/>
      <c r="B881" s="1022"/>
      <c r="C881" s="1022"/>
      <c r="D881" s="1022"/>
      <c r="E881" s="1022"/>
      <c r="F881" s="1022"/>
      <c r="G881" s="1022"/>
      <c r="V881" s="1022"/>
      <c r="W881" s="1022"/>
      <c r="X881" s="981"/>
      <c r="Y881" s="981"/>
      <c r="Z881" s="981"/>
    </row>
    <row r="882" spans="1:26">
      <c r="A882" s="981"/>
      <c r="B882" s="1022"/>
      <c r="C882" s="1022"/>
      <c r="D882" s="1022"/>
      <c r="E882" s="1022"/>
      <c r="F882" s="1022"/>
      <c r="G882" s="1022"/>
      <c r="V882" s="1022"/>
      <c r="W882" s="1022"/>
      <c r="X882" s="981"/>
      <c r="Y882" s="981"/>
      <c r="Z882" s="981"/>
    </row>
    <row r="883" spans="1:26">
      <c r="A883" s="981"/>
      <c r="B883" s="1022"/>
      <c r="C883" s="1022"/>
      <c r="D883" s="1022"/>
      <c r="E883" s="1022"/>
      <c r="F883" s="1022"/>
      <c r="G883" s="1022"/>
      <c r="V883" s="1022"/>
      <c r="W883" s="1022"/>
      <c r="X883" s="981"/>
      <c r="Y883" s="981"/>
      <c r="Z883" s="981"/>
    </row>
    <row r="884" spans="1:26">
      <c r="A884" s="981"/>
      <c r="B884" s="1022"/>
      <c r="C884" s="1022"/>
      <c r="D884" s="1022"/>
      <c r="E884" s="1022"/>
      <c r="F884" s="1022"/>
      <c r="G884" s="1022"/>
      <c r="V884" s="1022"/>
      <c r="W884" s="1022"/>
      <c r="X884" s="981"/>
      <c r="Y884" s="981"/>
      <c r="Z884" s="981"/>
    </row>
    <row r="885" spans="1:26">
      <c r="A885" s="981"/>
      <c r="B885" s="1022"/>
      <c r="C885" s="1022"/>
      <c r="D885" s="1022"/>
      <c r="E885" s="1022"/>
      <c r="F885" s="1022"/>
      <c r="G885" s="1022"/>
      <c r="V885" s="1022"/>
      <c r="W885" s="1022"/>
      <c r="X885" s="981"/>
      <c r="Y885" s="981"/>
      <c r="Z885" s="981"/>
    </row>
    <row r="886" spans="1:26">
      <c r="A886" s="981"/>
      <c r="B886" s="1022"/>
      <c r="C886" s="1022"/>
      <c r="D886" s="1022"/>
      <c r="E886" s="1022"/>
      <c r="F886" s="1022"/>
      <c r="G886" s="1022"/>
      <c r="V886" s="1022"/>
      <c r="W886" s="1022"/>
      <c r="X886" s="981"/>
      <c r="Y886" s="981"/>
      <c r="Z886" s="981"/>
    </row>
    <row r="887" spans="1:26">
      <c r="A887" s="981"/>
      <c r="B887" s="1022"/>
      <c r="C887" s="1022"/>
      <c r="D887" s="1022"/>
      <c r="E887" s="1022"/>
      <c r="F887" s="1022"/>
      <c r="G887" s="1022"/>
      <c r="V887" s="1022"/>
      <c r="W887" s="1022"/>
      <c r="X887" s="981"/>
      <c r="Y887" s="981"/>
      <c r="Z887" s="981"/>
    </row>
    <row r="888" spans="1:26">
      <c r="A888" s="981"/>
      <c r="B888" s="1022"/>
      <c r="C888" s="1022"/>
      <c r="D888" s="1022"/>
      <c r="E888" s="1022"/>
      <c r="F888" s="1022"/>
      <c r="G888" s="1022"/>
      <c r="V888" s="1022"/>
      <c r="W888" s="1022"/>
      <c r="X888" s="981"/>
      <c r="Y888" s="981"/>
      <c r="Z888" s="981"/>
    </row>
    <row r="889" spans="1:26">
      <c r="A889" s="981"/>
      <c r="B889" s="1022"/>
      <c r="C889" s="1022"/>
      <c r="D889" s="1022"/>
      <c r="E889" s="1022"/>
      <c r="F889" s="1022"/>
      <c r="G889" s="1022"/>
      <c r="V889" s="1022"/>
      <c r="W889" s="1022"/>
      <c r="X889" s="981"/>
      <c r="Y889" s="981"/>
      <c r="Z889" s="981"/>
    </row>
    <row r="890" spans="1:26">
      <c r="A890" s="981"/>
      <c r="B890" s="1022"/>
      <c r="C890" s="1022"/>
      <c r="D890" s="1022"/>
      <c r="E890" s="1022"/>
      <c r="F890" s="1022"/>
      <c r="G890" s="1022"/>
      <c r="V890" s="1022"/>
      <c r="W890" s="1022"/>
      <c r="X890" s="981"/>
      <c r="Y890" s="981"/>
      <c r="Z890" s="981"/>
    </row>
    <row r="891" spans="1:26">
      <c r="A891" s="981"/>
      <c r="B891" s="1022"/>
      <c r="C891" s="1022"/>
      <c r="D891" s="1022"/>
      <c r="E891" s="1022"/>
      <c r="F891" s="1022"/>
      <c r="G891" s="1022"/>
      <c r="V891" s="1022"/>
      <c r="W891" s="1022"/>
      <c r="X891" s="981"/>
      <c r="Y891" s="981"/>
      <c r="Z891" s="981"/>
    </row>
    <row r="892" spans="1:26">
      <c r="A892" s="981"/>
      <c r="B892" s="1022"/>
      <c r="C892" s="1022"/>
      <c r="D892" s="1022"/>
      <c r="E892" s="1022"/>
      <c r="F892" s="1022"/>
      <c r="G892" s="1022"/>
      <c r="V892" s="1022"/>
      <c r="W892" s="1022"/>
      <c r="X892" s="981"/>
      <c r="Y892" s="981"/>
      <c r="Z892" s="981"/>
    </row>
    <row r="893" spans="1:26">
      <c r="A893" s="981"/>
      <c r="B893" s="1022"/>
      <c r="C893" s="1022"/>
      <c r="D893" s="1022"/>
      <c r="E893" s="1022"/>
      <c r="F893" s="1022"/>
      <c r="G893" s="1022"/>
      <c r="V893" s="1022"/>
      <c r="W893" s="1022"/>
      <c r="X893" s="981"/>
      <c r="Y893" s="981"/>
      <c r="Z893" s="981"/>
    </row>
    <row r="894" spans="1:26">
      <c r="A894" s="981"/>
      <c r="B894" s="1022"/>
      <c r="C894" s="1022"/>
      <c r="D894" s="1022"/>
      <c r="E894" s="1022"/>
      <c r="F894" s="1022"/>
      <c r="G894" s="1022"/>
      <c r="V894" s="1022"/>
      <c r="W894" s="1022"/>
      <c r="X894" s="981"/>
      <c r="Y894" s="981"/>
      <c r="Z894" s="981"/>
    </row>
    <row r="895" spans="1:26">
      <c r="A895" s="981"/>
      <c r="B895" s="1022"/>
      <c r="C895" s="1022"/>
      <c r="D895" s="1022"/>
      <c r="E895" s="1022"/>
      <c r="F895" s="1022"/>
      <c r="G895" s="1022"/>
      <c r="V895" s="1022"/>
      <c r="W895" s="1022"/>
      <c r="X895" s="981"/>
      <c r="Y895" s="981"/>
      <c r="Z895" s="981"/>
    </row>
    <row r="896" spans="1:26">
      <c r="A896" s="981"/>
      <c r="B896" s="1022"/>
      <c r="C896" s="1022"/>
      <c r="D896" s="1022"/>
      <c r="E896" s="1022"/>
      <c r="F896" s="1022"/>
      <c r="G896" s="1022"/>
      <c r="V896" s="1022"/>
      <c r="W896" s="1022"/>
      <c r="X896" s="981"/>
      <c r="Y896" s="981"/>
      <c r="Z896" s="981"/>
    </row>
    <row r="897" spans="1:26">
      <c r="A897" s="981"/>
      <c r="B897" s="1022"/>
      <c r="C897" s="1022"/>
      <c r="D897" s="1022"/>
      <c r="E897" s="1022"/>
      <c r="F897" s="1022"/>
      <c r="G897" s="1022"/>
      <c r="V897" s="1022"/>
      <c r="W897" s="1022"/>
      <c r="X897" s="981"/>
      <c r="Y897" s="981"/>
      <c r="Z897" s="981"/>
    </row>
    <row r="898" spans="1:26">
      <c r="A898" s="981"/>
      <c r="B898" s="1022"/>
      <c r="C898" s="1022"/>
      <c r="D898" s="1022"/>
      <c r="E898" s="1022"/>
      <c r="F898" s="1022"/>
      <c r="G898" s="1022"/>
      <c r="V898" s="1022"/>
      <c r="W898" s="1022"/>
      <c r="X898" s="981"/>
      <c r="Y898" s="981"/>
      <c r="Z898" s="981"/>
    </row>
    <row r="899" spans="1:26">
      <c r="A899" s="981"/>
      <c r="B899" s="1022"/>
      <c r="C899" s="1022"/>
      <c r="D899" s="1022"/>
      <c r="E899" s="1022"/>
      <c r="F899" s="1022"/>
      <c r="G899" s="1022"/>
      <c r="V899" s="1022"/>
      <c r="W899" s="1022"/>
      <c r="X899" s="981"/>
      <c r="Y899" s="981"/>
      <c r="Z899" s="981"/>
    </row>
    <row r="900" spans="1:26">
      <c r="A900" s="981"/>
      <c r="B900" s="1022"/>
      <c r="C900" s="1022"/>
      <c r="D900" s="1022"/>
      <c r="E900" s="1022"/>
      <c r="F900" s="1022"/>
      <c r="G900" s="1022"/>
      <c r="V900" s="1022"/>
      <c r="W900" s="1022"/>
      <c r="X900" s="981"/>
      <c r="Y900" s="981"/>
      <c r="Z900" s="981"/>
    </row>
    <row r="901" spans="1:26">
      <c r="A901" s="981"/>
      <c r="B901" s="1022"/>
      <c r="C901" s="1022"/>
      <c r="D901" s="1022"/>
      <c r="E901" s="1022"/>
      <c r="F901" s="1022"/>
      <c r="G901" s="1022"/>
      <c r="V901" s="1022"/>
      <c r="W901" s="1022"/>
      <c r="X901" s="981"/>
      <c r="Y901" s="981"/>
      <c r="Z901" s="981"/>
    </row>
    <row r="902" spans="1:26">
      <c r="A902" s="981"/>
      <c r="B902" s="1022"/>
      <c r="C902" s="1022"/>
      <c r="D902" s="1022"/>
      <c r="E902" s="1022"/>
      <c r="F902" s="1022"/>
      <c r="G902" s="1022"/>
      <c r="V902" s="1022"/>
      <c r="W902" s="1022"/>
      <c r="X902" s="981"/>
      <c r="Y902" s="981"/>
      <c r="Z902" s="981"/>
    </row>
    <row r="903" spans="1:26">
      <c r="A903" s="981"/>
      <c r="B903" s="1022"/>
      <c r="C903" s="1022"/>
      <c r="D903" s="1022"/>
      <c r="E903" s="1022"/>
      <c r="F903" s="1022"/>
      <c r="G903" s="1022"/>
      <c r="V903" s="1022"/>
      <c r="W903" s="1022"/>
      <c r="X903" s="981"/>
      <c r="Y903" s="981"/>
      <c r="Z903" s="981"/>
    </row>
    <row r="904" spans="1:26">
      <c r="A904" s="981"/>
      <c r="B904" s="1022"/>
      <c r="C904" s="1022"/>
      <c r="D904" s="1022"/>
      <c r="E904" s="1022"/>
      <c r="F904" s="1022"/>
      <c r="G904" s="1022"/>
      <c r="V904" s="1022"/>
      <c r="W904" s="1022"/>
      <c r="X904" s="981"/>
      <c r="Y904" s="981"/>
      <c r="Z904" s="981"/>
    </row>
    <row r="905" spans="1:26">
      <c r="A905" s="981"/>
      <c r="B905" s="1022"/>
      <c r="C905" s="1022"/>
      <c r="D905" s="1022"/>
      <c r="E905" s="1022"/>
      <c r="F905" s="1022"/>
      <c r="G905" s="1022"/>
      <c r="V905" s="1022"/>
      <c r="W905" s="1022"/>
      <c r="X905" s="981"/>
      <c r="Y905" s="981"/>
      <c r="Z905" s="981"/>
    </row>
    <row r="906" spans="1:26">
      <c r="A906" s="981"/>
      <c r="B906" s="1022"/>
      <c r="C906" s="1022"/>
      <c r="D906" s="1022"/>
      <c r="E906" s="1022"/>
      <c r="F906" s="1022"/>
      <c r="G906" s="1022"/>
      <c r="V906" s="1022"/>
      <c r="W906" s="1022"/>
      <c r="X906" s="981"/>
      <c r="Y906" s="981"/>
      <c r="Z906" s="981"/>
    </row>
    <row r="907" spans="1:26">
      <c r="A907" s="981"/>
      <c r="B907" s="1022"/>
      <c r="C907" s="1022"/>
      <c r="D907" s="1022"/>
      <c r="E907" s="1022"/>
      <c r="F907" s="1022"/>
      <c r="G907" s="1022"/>
      <c r="V907" s="1022"/>
      <c r="W907" s="1022"/>
      <c r="X907" s="981"/>
      <c r="Y907" s="981"/>
      <c r="Z907" s="981"/>
    </row>
    <row r="908" spans="1:26">
      <c r="A908" s="981"/>
      <c r="B908" s="1022"/>
      <c r="C908" s="1022"/>
      <c r="D908" s="1022"/>
      <c r="E908" s="1022"/>
      <c r="F908" s="1022"/>
      <c r="G908" s="1022"/>
      <c r="V908" s="1022"/>
      <c r="W908" s="1022"/>
      <c r="X908" s="981"/>
      <c r="Y908" s="981"/>
      <c r="Z908" s="981"/>
    </row>
    <row r="909" spans="1:26">
      <c r="A909" s="981"/>
      <c r="B909" s="1022"/>
      <c r="C909" s="1022"/>
      <c r="D909" s="1022"/>
      <c r="E909" s="1022"/>
      <c r="F909" s="1022"/>
      <c r="G909" s="1022"/>
      <c r="V909" s="1022"/>
      <c r="W909" s="1022"/>
      <c r="X909" s="981"/>
      <c r="Y909" s="981"/>
      <c r="Z909" s="981"/>
    </row>
    <row r="910" spans="1:26">
      <c r="A910" s="981"/>
      <c r="B910" s="1022"/>
      <c r="C910" s="1022"/>
      <c r="D910" s="1022"/>
      <c r="E910" s="1022"/>
      <c r="F910" s="1022"/>
      <c r="G910" s="1022"/>
      <c r="V910" s="1022"/>
      <c r="W910" s="1022"/>
      <c r="X910" s="981"/>
      <c r="Y910" s="981"/>
      <c r="Z910" s="981"/>
    </row>
    <row r="911" spans="1:26">
      <c r="A911" s="981"/>
      <c r="B911" s="1022"/>
      <c r="C911" s="1022"/>
      <c r="D911" s="1022"/>
      <c r="E911" s="1022"/>
      <c r="F911" s="1022"/>
      <c r="G911" s="1022"/>
      <c r="V911" s="1022"/>
      <c r="W911" s="1022"/>
      <c r="X911" s="981"/>
      <c r="Y911" s="981"/>
      <c r="Z911" s="981"/>
    </row>
    <row r="912" spans="1:26">
      <c r="A912" s="981"/>
      <c r="B912" s="1022"/>
      <c r="C912" s="1022"/>
      <c r="D912" s="1022"/>
      <c r="E912" s="1022"/>
      <c r="F912" s="1022"/>
      <c r="G912" s="1022"/>
      <c r="V912" s="1022"/>
      <c r="W912" s="1022"/>
      <c r="X912" s="981"/>
      <c r="Y912" s="981"/>
      <c r="Z912" s="981"/>
    </row>
    <row r="913" spans="1:26">
      <c r="A913" s="981"/>
      <c r="B913" s="1022"/>
      <c r="C913" s="1022"/>
      <c r="D913" s="1022"/>
      <c r="E913" s="1022"/>
      <c r="F913" s="1022"/>
      <c r="G913" s="1022"/>
      <c r="V913" s="1022"/>
      <c r="W913" s="1022"/>
      <c r="X913" s="981"/>
      <c r="Y913" s="981"/>
      <c r="Z913" s="981"/>
    </row>
    <row r="914" spans="1:26">
      <c r="A914" s="981"/>
      <c r="B914" s="1022"/>
      <c r="C914" s="1022"/>
      <c r="D914" s="1022"/>
      <c r="E914" s="1022"/>
      <c r="F914" s="1022"/>
      <c r="G914" s="1022"/>
      <c r="V914" s="1022"/>
      <c r="W914" s="1022"/>
      <c r="X914" s="981"/>
      <c r="Y914" s="981"/>
      <c r="Z914" s="981"/>
    </row>
    <row r="915" spans="1:26">
      <c r="A915" s="981"/>
      <c r="B915" s="1022"/>
      <c r="C915" s="1022"/>
      <c r="D915" s="1022"/>
      <c r="E915" s="1022"/>
      <c r="F915" s="1022"/>
      <c r="G915" s="1022"/>
      <c r="V915" s="1022"/>
      <c r="W915" s="1022"/>
      <c r="X915" s="981"/>
      <c r="Y915" s="981"/>
      <c r="Z915" s="981"/>
    </row>
    <row r="916" spans="1:26">
      <c r="A916" s="981"/>
      <c r="B916" s="1022"/>
      <c r="C916" s="1022"/>
      <c r="D916" s="1022"/>
      <c r="E916" s="1022"/>
      <c r="F916" s="1022"/>
      <c r="G916" s="1022"/>
      <c r="V916" s="1022"/>
      <c r="W916" s="1022"/>
      <c r="X916" s="981"/>
      <c r="Y916" s="981"/>
      <c r="Z916" s="981"/>
    </row>
    <row r="917" spans="1:26">
      <c r="A917" s="981"/>
      <c r="B917" s="1022"/>
      <c r="C917" s="1022"/>
      <c r="D917" s="1022"/>
      <c r="E917" s="1022"/>
      <c r="F917" s="1022"/>
      <c r="G917" s="1022"/>
      <c r="V917" s="1022"/>
      <c r="W917" s="1022"/>
      <c r="X917" s="981"/>
      <c r="Y917" s="981"/>
      <c r="Z917" s="981"/>
    </row>
    <row r="918" spans="1:26">
      <c r="A918" s="981"/>
      <c r="B918" s="1022"/>
      <c r="C918" s="1022"/>
      <c r="D918" s="1022"/>
      <c r="E918" s="1022"/>
      <c r="F918" s="1022"/>
      <c r="G918" s="1022"/>
      <c r="V918" s="1022"/>
      <c r="W918" s="1022"/>
      <c r="X918" s="981"/>
      <c r="Y918" s="981"/>
      <c r="Z918" s="981"/>
    </row>
    <row r="919" spans="1:26">
      <c r="A919" s="981"/>
      <c r="B919" s="1022"/>
      <c r="C919" s="1022"/>
      <c r="D919" s="1022"/>
      <c r="E919" s="1022"/>
      <c r="F919" s="1022"/>
      <c r="G919" s="1022"/>
      <c r="V919" s="1022"/>
      <c r="W919" s="1022"/>
      <c r="X919" s="981"/>
      <c r="Y919" s="981"/>
      <c r="Z919" s="981"/>
    </row>
    <row r="920" spans="1:26">
      <c r="A920" s="981"/>
      <c r="B920" s="1022"/>
      <c r="C920" s="1022"/>
      <c r="D920" s="1022"/>
      <c r="E920" s="1022"/>
      <c r="F920" s="1022"/>
      <c r="G920" s="1022"/>
      <c r="V920" s="1022"/>
      <c r="W920" s="1022"/>
      <c r="X920" s="981"/>
      <c r="Y920" s="981"/>
      <c r="Z920" s="981"/>
    </row>
    <row r="921" spans="1:26">
      <c r="A921" s="981"/>
      <c r="B921" s="1022"/>
      <c r="C921" s="1022"/>
      <c r="D921" s="1022"/>
      <c r="E921" s="1022"/>
      <c r="F921" s="1022"/>
      <c r="G921" s="1022"/>
      <c r="V921" s="1022"/>
      <c r="W921" s="1022"/>
      <c r="X921" s="981"/>
      <c r="Y921" s="981"/>
      <c r="Z921" s="981"/>
    </row>
    <row r="922" spans="1:26">
      <c r="A922" s="981"/>
      <c r="B922" s="1022"/>
      <c r="C922" s="1022"/>
      <c r="D922" s="1022"/>
      <c r="E922" s="1022"/>
      <c r="F922" s="1022"/>
      <c r="G922" s="1022"/>
      <c r="V922" s="1022"/>
      <c r="W922" s="1022"/>
      <c r="X922" s="981"/>
      <c r="Y922" s="981"/>
      <c r="Z922" s="981"/>
    </row>
    <row r="923" spans="1:26">
      <c r="A923" s="981"/>
      <c r="B923" s="1022"/>
      <c r="C923" s="1022"/>
      <c r="D923" s="1022"/>
      <c r="E923" s="1022"/>
      <c r="F923" s="1022"/>
      <c r="G923" s="1022"/>
      <c r="V923" s="1022"/>
      <c r="W923" s="1022"/>
      <c r="X923" s="981"/>
      <c r="Y923" s="981"/>
      <c r="Z923" s="981"/>
    </row>
    <row r="924" spans="1:26">
      <c r="A924" s="981"/>
      <c r="B924" s="1022"/>
      <c r="C924" s="1022"/>
      <c r="D924" s="1022"/>
      <c r="E924" s="1022"/>
      <c r="F924" s="1022"/>
      <c r="G924" s="1022"/>
      <c r="V924" s="1022"/>
      <c r="W924" s="1022"/>
      <c r="X924" s="981"/>
      <c r="Y924" s="981"/>
      <c r="Z924" s="981"/>
    </row>
    <row r="925" spans="1:26">
      <c r="A925" s="981"/>
      <c r="B925" s="1022"/>
      <c r="C925" s="1022"/>
      <c r="D925" s="1022"/>
      <c r="E925" s="1022"/>
      <c r="F925" s="1022"/>
      <c r="G925" s="1022"/>
      <c r="V925" s="1022"/>
      <c r="W925" s="1022"/>
      <c r="X925" s="981"/>
      <c r="Y925" s="981"/>
      <c r="Z925" s="981"/>
    </row>
    <row r="926" spans="1:26">
      <c r="A926" s="981"/>
      <c r="B926" s="1022"/>
      <c r="C926" s="1022"/>
      <c r="D926" s="1022"/>
      <c r="E926" s="1022"/>
      <c r="F926" s="1022"/>
      <c r="G926" s="1022"/>
      <c r="V926" s="1022"/>
      <c r="W926" s="1022"/>
      <c r="X926" s="981"/>
      <c r="Y926" s="981"/>
      <c r="Z926" s="981"/>
    </row>
    <row r="927" spans="1:26">
      <c r="A927" s="981"/>
      <c r="B927" s="1022"/>
      <c r="C927" s="1022"/>
      <c r="D927" s="1022"/>
      <c r="E927" s="1022"/>
      <c r="F927" s="1022"/>
      <c r="G927" s="1022"/>
      <c r="V927" s="1022"/>
      <c r="W927" s="1022"/>
      <c r="X927" s="981"/>
      <c r="Y927" s="981"/>
      <c r="Z927" s="981"/>
    </row>
    <row r="928" spans="1:26">
      <c r="A928" s="981"/>
      <c r="B928" s="1022"/>
      <c r="C928" s="1022"/>
      <c r="D928" s="1022"/>
      <c r="E928" s="1022"/>
      <c r="F928" s="1022"/>
      <c r="G928" s="1022"/>
      <c r="V928" s="1022"/>
      <c r="W928" s="1022"/>
      <c r="X928" s="981"/>
      <c r="Y928" s="981"/>
      <c r="Z928" s="981"/>
    </row>
    <row r="929" spans="1:26">
      <c r="A929" s="981"/>
      <c r="B929" s="1022"/>
      <c r="C929" s="1022"/>
      <c r="D929" s="1022"/>
      <c r="E929" s="1022"/>
      <c r="F929" s="1022"/>
      <c r="G929" s="1022"/>
      <c r="V929" s="1022"/>
      <c r="W929" s="1022"/>
      <c r="X929" s="981"/>
      <c r="Y929" s="981"/>
      <c r="Z929" s="981"/>
    </row>
    <row r="930" spans="1:26">
      <c r="A930" s="981"/>
      <c r="B930" s="1022"/>
      <c r="C930" s="1022"/>
      <c r="D930" s="1022"/>
      <c r="E930" s="1022"/>
      <c r="F930" s="1022"/>
      <c r="G930" s="1022"/>
      <c r="V930" s="1022"/>
      <c r="W930" s="1022"/>
      <c r="X930" s="981"/>
      <c r="Y930" s="981"/>
      <c r="Z930" s="981"/>
    </row>
    <row r="931" spans="1:26">
      <c r="A931" s="981"/>
      <c r="B931" s="1022"/>
      <c r="C931" s="1022"/>
      <c r="D931" s="1022"/>
      <c r="E931" s="1022"/>
      <c r="F931" s="1022"/>
      <c r="G931" s="1022"/>
      <c r="V931" s="1022"/>
      <c r="W931" s="1022"/>
      <c r="X931" s="981"/>
      <c r="Y931" s="981"/>
      <c r="Z931" s="981"/>
    </row>
    <row r="932" spans="1:26">
      <c r="A932" s="981"/>
      <c r="B932" s="1022"/>
      <c r="C932" s="1022"/>
      <c r="D932" s="1022"/>
      <c r="E932" s="1022"/>
      <c r="F932" s="1022"/>
      <c r="G932" s="1022"/>
      <c r="V932" s="1022"/>
      <c r="W932" s="1022"/>
      <c r="X932" s="981"/>
      <c r="Y932" s="981"/>
      <c r="Z932" s="981"/>
    </row>
    <row r="933" spans="1:26">
      <c r="A933" s="981"/>
      <c r="B933" s="1022"/>
      <c r="C933" s="1022"/>
      <c r="D933" s="1022"/>
      <c r="E933" s="1022"/>
      <c r="F933" s="1022"/>
      <c r="G933" s="1022"/>
      <c r="V933" s="1022"/>
      <c r="W933" s="1022"/>
      <c r="X933" s="981"/>
      <c r="Y933" s="981"/>
      <c r="Z933" s="981"/>
    </row>
    <row r="934" spans="1:26">
      <c r="A934" s="981"/>
      <c r="B934" s="1022"/>
      <c r="C934" s="1022"/>
      <c r="D934" s="1022"/>
      <c r="E934" s="1022"/>
      <c r="F934" s="1022"/>
      <c r="G934" s="1022"/>
      <c r="V934" s="1022"/>
      <c r="W934" s="1022"/>
      <c r="X934" s="981"/>
      <c r="Y934" s="981"/>
      <c r="Z934" s="981"/>
    </row>
    <row r="935" spans="1:26">
      <c r="A935" s="981"/>
      <c r="B935" s="1022"/>
      <c r="C935" s="1022"/>
      <c r="D935" s="1022"/>
      <c r="E935" s="1022"/>
      <c r="F935" s="1022"/>
      <c r="G935" s="1022"/>
      <c r="V935" s="1022"/>
      <c r="W935" s="1022"/>
      <c r="X935" s="981"/>
      <c r="Y935" s="981"/>
      <c r="Z935" s="981"/>
    </row>
    <row r="936" spans="1:26">
      <c r="A936" s="981"/>
      <c r="B936" s="1022"/>
      <c r="C936" s="1022"/>
      <c r="D936" s="1022"/>
      <c r="E936" s="1022"/>
      <c r="F936" s="1022"/>
      <c r="G936" s="1022"/>
      <c r="V936" s="1022"/>
      <c r="W936" s="1022"/>
      <c r="X936" s="981"/>
      <c r="Y936" s="981"/>
      <c r="Z936" s="981"/>
    </row>
    <row r="937" spans="1:26">
      <c r="A937" s="981"/>
      <c r="B937" s="1022"/>
      <c r="C937" s="1022"/>
      <c r="D937" s="1022"/>
      <c r="E937" s="1022"/>
      <c r="F937" s="1022"/>
      <c r="G937" s="1022"/>
      <c r="V937" s="1022"/>
      <c r="W937" s="1022"/>
      <c r="X937" s="981"/>
      <c r="Y937" s="981"/>
      <c r="Z937" s="981"/>
    </row>
    <row r="938" spans="1:26">
      <c r="A938" s="981"/>
      <c r="B938" s="1022"/>
      <c r="C938" s="1022"/>
      <c r="D938" s="1022"/>
      <c r="E938" s="1022"/>
      <c r="F938" s="1022"/>
      <c r="G938" s="1022"/>
      <c r="V938" s="1022"/>
      <c r="W938" s="1022"/>
      <c r="X938" s="981"/>
      <c r="Y938" s="981"/>
      <c r="Z938" s="981"/>
    </row>
    <row r="939" spans="1:26">
      <c r="A939" s="981"/>
      <c r="B939" s="1022"/>
      <c r="C939" s="1022"/>
      <c r="D939" s="1022"/>
      <c r="E939" s="1022"/>
      <c r="F939" s="1022"/>
      <c r="G939" s="1022"/>
      <c r="V939" s="1022"/>
      <c r="W939" s="1022"/>
      <c r="X939" s="981"/>
      <c r="Y939" s="981"/>
      <c r="Z939" s="981"/>
    </row>
    <row r="940" spans="1:26">
      <c r="A940" s="981"/>
      <c r="B940" s="1022"/>
      <c r="C940" s="1022"/>
      <c r="D940" s="1022"/>
      <c r="E940" s="1022"/>
      <c r="F940" s="1022"/>
      <c r="G940" s="1022"/>
      <c r="V940" s="1022"/>
      <c r="W940" s="1022"/>
      <c r="X940" s="981"/>
      <c r="Y940" s="981"/>
      <c r="Z940" s="981"/>
    </row>
    <row r="941" spans="1:26">
      <c r="A941" s="981"/>
      <c r="B941" s="1022"/>
      <c r="C941" s="1022"/>
      <c r="D941" s="1022"/>
      <c r="E941" s="1022"/>
      <c r="F941" s="1022"/>
      <c r="G941" s="1022"/>
      <c r="V941" s="1022"/>
      <c r="W941" s="1022"/>
      <c r="X941" s="981"/>
      <c r="Y941" s="981"/>
      <c r="Z941" s="981"/>
    </row>
    <row r="942" spans="1:26">
      <c r="A942" s="981"/>
      <c r="B942" s="1022"/>
      <c r="C942" s="1022"/>
      <c r="D942" s="1022"/>
      <c r="E942" s="1022"/>
      <c r="F942" s="1022"/>
      <c r="G942" s="1022"/>
      <c r="V942" s="1022"/>
      <c r="W942" s="1022"/>
      <c r="X942" s="981"/>
      <c r="Y942" s="981"/>
      <c r="Z942" s="981"/>
    </row>
    <row r="943" spans="1:26">
      <c r="A943" s="981"/>
      <c r="B943" s="1022"/>
      <c r="C943" s="1022"/>
      <c r="D943" s="1022"/>
      <c r="E943" s="1022"/>
      <c r="F943" s="1022"/>
      <c r="G943" s="1022"/>
      <c r="V943" s="1022"/>
      <c r="W943" s="1022"/>
      <c r="X943" s="981"/>
      <c r="Y943" s="981"/>
      <c r="Z943" s="981"/>
    </row>
    <row r="944" spans="1:26">
      <c r="A944" s="981"/>
      <c r="B944" s="1022"/>
      <c r="C944" s="1022"/>
      <c r="D944" s="1022"/>
      <c r="E944" s="1022"/>
      <c r="F944" s="1022"/>
      <c r="G944" s="1022"/>
      <c r="V944" s="1022"/>
      <c r="W944" s="1022"/>
      <c r="X944" s="981"/>
      <c r="Y944" s="981"/>
      <c r="Z944" s="981"/>
    </row>
    <row r="945" spans="1:26">
      <c r="A945" s="981"/>
      <c r="B945" s="1022"/>
      <c r="C945" s="1022"/>
      <c r="D945" s="1022"/>
      <c r="E945" s="1022"/>
      <c r="F945" s="1022"/>
      <c r="G945" s="1022"/>
      <c r="V945" s="1022"/>
      <c r="W945" s="1022"/>
      <c r="X945" s="981"/>
      <c r="Y945" s="981"/>
      <c r="Z945" s="981"/>
    </row>
    <row r="946" spans="1:26">
      <c r="A946" s="981"/>
      <c r="B946" s="1022"/>
      <c r="C946" s="1022"/>
      <c r="D946" s="1022"/>
      <c r="E946" s="1022"/>
      <c r="F946" s="1022"/>
      <c r="G946" s="1022"/>
      <c r="V946" s="1022"/>
      <c r="W946" s="1022"/>
      <c r="X946" s="981"/>
      <c r="Y946" s="981"/>
      <c r="Z946" s="981"/>
    </row>
    <row r="947" spans="1:26">
      <c r="A947" s="981"/>
      <c r="B947" s="1022"/>
      <c r="C947" s="1022"/>
      <c r="D947" s="1022"/>
      <c r="E947" s="1022"/>
      <c r="F947" s="1022"/>
      <c r="G947" s="1022"/>
      <c r="V947" s="1022"/>
      <c r="W947" s="1022"/>
      <c r="X947" s="981"/>
      <c r="Y947" s="981"/>
      <c r="Z947" s="981"/>
    </row>
    <row r="948" spans="1:26">
      <c r="A948" s="981"/>
      <c r="B948" s="1022"/>
      <c r="C948" s="1022"/>
      <c r="D948" s="1022"/>
      <c r="E948" s="1022"/>
      <c r="F948" s="1022"/>
      <c r="G948" s="1022"/>
      <c r="V948" s="1022"/>
      <c r="W948" s="1022"/>
      <c r="X948" s="981"/>
      <c r="Y948" s="981"/>
      <c r="Z948" s="981"/>
    </row>
    <row r="949" spans="1:26">
      <c r="A949" s="981"/>
      <c r="B949" s="1022"/>
      <c r="C949" s="1022"/>
      <c r="D949" s="1022"/>
      <c r="E949" s="1022"/>
      <c r="F949" s="1022"/>
      <c r="G949" s="1022"/>
      <c r="V949" s="1022"/>
      <c r="W949" s="1022"/>
      <c r="X949" s="981"/>
      <c r="Y949" s="981"/>
      <c r="Z949" s="981"/>
    </row>
    <row r="950" spans="1:26">
      <c r="A950" s="981"/>
      <c r="B950" s="1022"/>
      <c r="C950" s="1022"/>
      <c r="D950" s="1022"/>
      <c r="E950" s="1022"/>
      <c r="F950" s="1022"/>
      <c r="G950" s="1022"/>
      <c r="V950" s="1022"/>
      <c r="W950" s="1022"/>
      <c r="X950" s="981"/>
      <c r="Y950" s="981"/>
      <c r="Z950" s="981"/>
    </row>
    <row r="951" spans="1:26">
      <c r="A951" s="981"/>
      <c r="B951" s="1022"/>
      <c r="C951" s="1022"/>
      <c r="D951" s="1022"/>
      <c r="E951" s="1022"/>
      <c r="F951" s="1022"/>
      <c r="G951" s="1022"/>
      <c r="V951" s="1022"/>
      <c r="W951" s="1022"/>
      <c r="X951" s="981"/>
      <c r="Y951" s="981"/>
      <c r="Z951" s="981"/>
    </row>
    <row r="952" spans="1:26">
      <c r="A952" s="981"/>
      <c r="B952" s="1022"/>
      <c r="C952" s="1022"/>
      <c r="D952" s="1022"/>
      <c r="E952" s="1022"/>
      <c r="F952" s="1022"/>
      <c r="G952" s="1022"/>
      <c r="V952" s="1022"/>
      <c r="W952" s="1022"/>
      <c r="X952" s="981"/>
      <c r="Y952" s="981"/>
      <c r="Z952" s="981"/>
    </row>
    <row r="953" spans="1:26">
      <c r="A953" s="981"/>
      <c r="B953" s="1022"/>
      <c r="C953" s="1022"/>
      <c r="D953" s="1022"/>
      <c r="E953" s="1022"/>
      <c r="F953" s="1022"/>
      <c r="G953" s="1022"/>
      <c r="V953" s="1022"/>
      <c r="W953" s="1022"/>
      <c r="X953" s="981"/>
      <c r="Y953" s="981"/>
      <c r="Z953" s="981"/>
    </row>
    <row r="954" spans="1:26">
      <c r="A954" s="981"/>
      <c r="B954" s="1022"/>
      <c r="C954" s="1022"/>
      <c r="D954" s="1022"/>
      <c r="E954" s="1022"/>
      <c r="F954" s="1022"/>
      <c r="G954" s="1022"/>
      <c r="V954" s="1022"/>
      <c r="W954" s="1022"/>
      <c r="X954" s="981"/>
      <c r="Y954" s="981"/>
      <c r="Z954" s="981"/>
    </row>
    <row r="955" spans="1:26">
      <c r="A955" s="981"/>
      <c r="B955" s="1022"/>
      <c r="C955" s="1022"/>
      <c r="D955" s="1022"/>
      <c r="E955" s="1022"/>
      <c r="F955" s="1022"/>
      <c r="G955" s="1022"/>
      <c r="V955" s="1022"/>
      <c r="W955" s="1022"/>
      <c r="X955" s="981"/>
      <c r="Y955" s="981"/>
      <c r="Z955" s="981"/>
    </row>
    <row r="956" spans="1:26">
      <c r="A956" s="981"/>
      <c r="B956" s="1022"/>
      <c r="C956" s="1022"/>
      <c r="D956" s="1022"/>
      <c r="E956" s="1022"/>
      <c r="F956" s="1022"/>
      <c r="G956" s="1022"/>
      <c r="V956" s="1022"/>
      <c r="W956" s="1022"/>
      <c r="X956" s="981"/>
      <c r="Y956" s="981"/>
      <c r="Z956" s="981"/>
    </row>
    <row r="957" spans="1:26">
      <c r="A957" s="981"/>
      <c r="B957" s="1022"/>
      <c r="C957" s="1022"/>
      <c r="D957" s="1022"/>
      <c r="E957" s="1022"/>
      <c r="F957" s="1022"/>
      <c r="G957" s="1022"/>
      <c r="V957" s="1022"/>
      <c r="W957" s="1022"/>
      <c r="X957" s="981"/>
      <c r="Y957" s="981"/>
      <c r="Z957" s="981"/>
    </row>
    <row r="958" spans="1:26">
      <c r="A958" s="981"/>
      <c r="B958" s="1022"/>
      <c r="C958" s="1022"/>
      <c r="D958" s="1022"/>
      <c r="E958" s="1022"/>
      <c r="F958" s="1022"/>
      <c r="G958" s="1022"/>
      <c r="V958" s="1022"/>
      <c r="W958" s="1022"/>
      <c r="X958" s="981"/>
      <c r="Y958" s="981"/>
      <c r="Z958" s="981"/>
    </row>
    <row r="959" spans="1:26">
      <c r="A959" s="981"/>
      <c r="B959" s="1022"/>
      <c r="C959" s="1022"/>
      <c r="D959" s="1022"/>
      <c r="E959" s="1022"/>
      <c r="F959" s="1022"/>
      <c r="G959" s="1022"/>
      <c r="V959" s="1022"/>
      <c r="W959" s="1022"/>
      <c r="X959" s="981"/>
      <c r="Y959" s="981"/>
      <c r="Z959" s="981"/>
    </row>
    <row r="960" spans="1:26">
      <c r="A960" s="981"/>
      <c r="B960" s="1022"/>
      <c r="C960" s="1022"/>
      <c r="D960" s="1022"/>
      <c r="E960" s="1022"/>
      <c r="F960" s="1022"/>
      <c r="G960" s="1022"/>
      <c r="V960" s="1022"/>
      <c r="W960" s="1022"/>
      <c r="X960" s="981"/>
      <c r="Y960" s="981"/>
      <c r="Z960" s="981"/>
    </row>
    <row r="961" spans="1:26">
      <c r="A961" s="981"/>
      <c r="B961" s="1022"/>
      <c r="C961" s="1022"/>
      <c r="D961" s="1022"/>
      <c r="E961" s="1022"/>
      <c r="F961" s="1022"/>
      <c r="G961" s="1022"/>
      <c r="V961" s="1022"/>
      <c r="W961" s="1022"/>
      <c r="X961" s="981"/>
      <c r="Y961" s="981"/>
      <c r="Z961" s="981"/>
    </row>
    <row r="962" spans="1:26">
      <c r="A962" s="981"/>
      <c r="B962" s="1022"/>
      <c r="C962" s="1022"/>
      <c r="D962" s="1022"/>
      <c r="E962" s="1022"/>
      <c r="F962" s="1022"/>
      <c r="G962" s="1022"/>
      <c r="V962" s="1022"/>
      <c r="W962" s="1022"/>
      <c r="X962" s="981"/>
      <c r="Y962" s="981"/>
      <c r="Z962" s="981"/>
    </row>
    <row r="963" spans="1:26">
      <c r="A963" s="981"/>
      <c r="B963" s="1022"/>
      <c r="C963" s="1022"/>
      <c r="D963" s="1022"/>
      <c r="E963" s="1022"/>
      <c r="F963" s="1022"/>
      <c r="G963" s="1022"/>
      <c r="V963" s="1022"/>
      <c r="W963" s="1022"/>
      <c r="X963" s="981"/>
      <c r="Y963" s="981"/>
      <c r="Z963" s="981"/>
    </row>
    <row r="964" spans="1:26">
      <c r="A964" s="981"/>
      <c r="B964" s="1022"/>
      <c r="C964" s="1022"/>
      <c r="D964" s="1022"/>
      <c r="E964" s="1022"/>
      <c r="F964" s="1022"/>
      <c r="G964" s="1022"/>
      <c r="V964" s="1022"/>
      <c r="W964" s="1022"/>
      <c r="X964" s="981"/>
      <c r="Y964" s="981"/>
      <c r="Z964" s="981"/>
    </row>
    <row r="965" spans="1:26">
      <c r="A965" s="981"/>
      <c r="B965" s="1022"/>
      <c r="C965" s="1022"/>
      <c r="D965" s="1022"/>
      <c r="E965" s="1022"/>
      <c r="F965" s="1022"/>
      <c r="G965" s="1022"/>
      <c r="V965" s="1022"/>
      <c r="W965" s="1022"/>
      <c r="X965" s="981"/>
      <c r="Y965" s="981"/>
      <c r="Z965" s="981"/>
    </row>
    <row r="966" spans="1:26">
      <c r="A966" s="981"/>
      <c r="B966" s="1022"/>
      <c r="C966" s="1022"/>
      <c r="D966" s="1022"/>
      <c r="E966" s="1022"/>
      <c r="F966" s="1022"/>
      <c r="G966" s="1022"/>
      <c r="V966" s="1022"/>
      <c r="W966" s="1022"/>
      <c r="X966" s="981"/>
      <c r="Y966" s="981"/>
      <c r="Z966" s="981"/>
    </row>
    <row r="967" spans="1:26">
      <c r="A967" s="981"/>
      <c r="B967" s="1022"/>
      <c r="C967" s="1022"/>
      <c r="D967" s="1022"/>
      <c r="E967" s="1022"/>
      <c r="F967" s="1022"/>
      <c r="G967" s="1022"/>
      <c r="V967" s="1022"/>
      <c r="W967" s="1022"/>
      <c r="X967" s="981"/>
      <c r="Y967" s="981"/>
      <c r="Z967" s="981"/>
    </row>
    <row r="968" spans="1:26">
      <c r="A968" s="981"/>
      <c r="B968" s="1022"/>
      <c r="C968" s="1022"/>
      <c r="D968" s="1022"/>
      <c r="E968" s="1022"/>
      <c r="F968" s="1022"/>
      <c r="G968" s="1022"/>
      <c r="V968" s="1022"/>
      <c r="W968" s="1022"/>
      <c r="X968" s="981"/>
      <c r="Y968" s="981"/>
      <c r="Z968" s="981"/>
    </row>
    <row r="969" spans="1:26">
      <c r="A969" s="981"/>
      <c r="B969" s="1022"/>
      <c r="C969" s="1022"/>
      <c r="D969" s="1022"/>
      <c r="E969" s="1022"/>
      <c r="F969" s="1022"/>
      <c r="G969" s="1022"/>
      <c r="V969" s="1022"/>
      <c r="W969" s="1022"/>
      <c r="X969" s="981"/>
      <c r="Y969" s="981"/>
      <c r="Z969" s="981"/>
    </row>
    <row r="970" spans="1:26">
      <c r="A970" s="981"/>
      <c r="B970" s="1022"/>
      <c r="C970" s="1022"/>
      <c r="D970" s="1022"/>
      <c r="E970" s="1022"/>
      <c r="F970" s="1022"/>
      <c r="G970" s="1022"/>
      <c r="V970" s="1022"/>
      <c r="W970" s="1022"/>
      <c r="X970" s="981"/>
      <c r="Y970" s="981"/>
      <c r="Z970" s="981"/>
    </row>
    <row r="971" spans="1:26">
      <c r="A971" s="981"/>
      <c r="B971" s="1022"/>
      <c r="C971" s="1022"/>
      <c r="D971" s="1022"/>
      <c r="E971" s="1022"/>
      <c r="F971" s="1022"/>
      <c r="G971" s="1022"/>
      <c r="V971" s="1022"/>
      <c r="W971" s="1022"/>
      <c r="X971" s="981"/>
      <c r="Y971" s="981"/>
      <c r="Z971" s="981"/>
    </row>
    <row r="972" spans="1:26">
      <c r="A972" s="981"/>
      <c r="B972" s="1022"/>
      <c r="C972" s="1022"/>
      <c r="D972" s="1022"/>
      <c r="E972" s="1022"/>
      <c r="F972" s="1022"/>
      <c r="G972" s="1022"/>
      <c r="V972" s="1022"/>
      <c r="W972" s="1022"/>
      <c r="X972" s="981"/>
      <c r="Y972" s="981"/>
      <c r="Z972" s="981"/>
    </row>
    <row r="973" spans="1:26">
      <c r="A973" s="981"/>
      <c r="B973" s="1022"/>
      <c r="C973" s="1022"/>
      <c r="D973" s="1022"/>
      <c r="E973" s="1022"/>
      <c r="F973" s="1022"/>
      <c r="G973" s="1022"/>
      <c r="V973" s="1022"/>
      <c r="W973" s="1022"/>
      <c r="X973" s="981"/>
      <c r="Y973" s="981"/>
      <c r="Z973" s="981"/>
    </row>
    <row r="974" spans="1:26">
      <c r="A974" s="981"/>
      <c r="B974" s="1022"/>
      <c r="C974" s="1022"/>
      <c r="D974" s="1022"/>
      <c r="E974" s="1022"/>
      <c r="F974" s="1022"/>
      <c r="G974" s="1022"/>
      <c r="V974" s="1022"/>
      <c r="W974" s="1022"/>
      <c r="X974" s="981"/>
      <c r="Y974" s="981"/>
      <c r="Z974" s="981"/>
    </row>
    <row r="975" spans="1:26">
      <c r="A975" s="981"/>
      <c r="B975" s="1022"/>
      <c r="C975" s="1022"/>
      <c r="D975" s="1022"/>
      <c r="E975" s="1022"/>
      <c r="F975" s="1022"/>
      <c r="G975" s="1022"/>
      <c r="V975" s="1022"/>
      <c r="W975" s="1022"/>
      <c r="X975" s="981"/>
      <c r="Y975" s="981"/>
      <c r="Z975" s="981"/>
    </row>
    <row r="976" spans="1:26">
      <c r="A976" s="981"/>
      <c r="B976" s="1022"/>
      <c r="C976" s="1022"/>
      <c r="D976" s="1022"/>
      <c r="E976" s="1022"/>
      <c r="F976" s="1022"/>
      <c r="G976" s="1022"/>
      <c r="V976" s="1022"/>
      <c r="W976" s="1022"/>
      <c r="X976" s="981"/>
      <c r="Y976" s="981"/>
      <c r="Z976" s="981"/>
    </row>
    <row r="977" spans="1:26">
      <c r="A977" s="981"/>
      <c r="B977" s="1022"/>
      <c r="C977" s="1022"/>
      <c r="D977" s="1022"/>
      <c r="E977" s="1022"/>
      <c r="F977" s="1022"/>
      <c r="G977" s="1022"/>
      <c r="V977" s="1022"/>
      <c r="W977" s="1022"/>
      <c r="X977" s="981"/>
      <c r="Y977" s="981"/>
      <c r="Z977" s="981"/>
    </row>
    <row r="978" spans="1:26">
      <c r="A978" s="981"/>
      <c r="B978" s="1022"/>
      <c r="C978" s="1022"/>
      <c r="D978" s="1022"/>
      <c r="E978" s="1022"/>
      <c r="F978" s="1022"/>
      <c r="G978" s="1022"/>
      <c r="V978" s="1022"/>
      <c r="W978" s="1022"/>
      <c r="X978" s="981"/>
      <c r="Y978" s="981"/>
      <c r="Z978" s="981"/>
    </row>
    <row r="979" spans="1:26">
      <c r="A979" s="981"/>
      <c r="B979" s="1022"/>
      <c r="C979" s="1022"/>
      <c r="D979" s="1022"/>
      <c r="E979" s="1022"/>
      <c r="F979" s="1022"/>
      <c r="G979" s="1022"/>
      <c r="V979" s="1022"/>
      <c r="W979" s="1022"/>
      <c r="X979" s="981"/>
      <c r="Y979" s="981"/>
      <c r="Z979" s="981"/>
    </row>
    <row r="980" spans="1:26">
      <c r="A980" s="981"/>
      <c r="B980" s="1022"/>
      <c r="C980" s="1022"/>
      <c r="D980" s="1022"/>
      <c r="E980" s="1022"/>
      <c r="F980" s="1022"/>
      <c r="G980" s="1022"/>
      <c r="V980" s="1022"/>
      <c r="W980" s="1022"/>
      <c r="X980" s="981"/>
      <c r="Y980" s="981"/>
      <c r="Z980" s="981"/>
    </row>
    <row r="981" spans="1:26">
      <c r="A981" s="981"/>
      <c r="B981" s="1022"/>
      <c r="C981" s="1022"/>
      <c r="D981" s="1022"/>
      <c r="E981" s="1022"/>
      <c r="F981" s="1022"/>
      <c r="G981" s="1022"/>
      <c r="V981" s="1022"/>
      <c r="W981" s="1022"/>
      <c r="X981" s="981"/>
      <c r="Y981" s="981"/>
      <c r="Z981" s="981"/>
    </row>
    <row r="982" spans="1:26">
      <c r="A982" s="981"/>
      <c r="B982" s="1022"/>
      <c r="C982" s="1022"/>
      <c r="D982" s="1022"/>
      <c r="E982" s="1022"/>
      <c r="F982" s="1022"/>
      <c r="G982" s="1022"/>
      <c r="V982" s="1022"/>
      <c r="W982" s="1022"/>
      <c r="X982" s="981"/>
      <c r="Y982" s="981"/>
      <c r="Z982" s="981"/>
    </row>
    <row r="983" spans="1:26">
      <c r="A983" s="981"/>
      <c r="B983" s="1022"/>
      <c r="C983" s="1022"/>
      <c r="D983" s="1022"/>
      <c r="E983" s="1022"/>
      <c r="F983" s="1022"/>
      <c r="G983" s="1022"/>
      <c r="V983" s="1022"/>
      <c r="W983" s="1022"/>
      <c r="X983" s="981"/>
      <c r="Y983" s="981"/>
      <c r="Z983" s="981"/>
    </row>
    <row r="984" spans="1:26">
      <c r="A984" s="981"/>
      <c r="B984" s="1022"/>
      <c r="C984" s="1022"/>
      <c r="D984" s="1022"/>
      <c r="E984" s="1022"/>
      <c r="F984" s="1022"/>
      <c r="G984" s="1022"/>
      <c r="V984" s="1022"/>
      <c r="W984" s="1022"/>
      <c r="X984" s="981"/>
      <c r="Y984" s="981"/>
      <c r="Z984" s="981"/>
    </row>
    <row r="985" spans="1:26">
      <c r="A985" s="981"/>
      <c r="B985" s="1022"/>
      <c r="C985" s="1022"/>
      <c r="D985" s="1022"/>
      <c r="E985" s="1022"/>
      <c r="F985" s="1022"/>
      <c r="G985" s="1022"/>
      <c r="V985" s="1022"/>
      <c r="W985" s="1022"/>
      <c r="X985" s="981"/>
      <c r="Y985" s="981"/>
      <c r="Z985" s="981"/>
    </row>
    <row r="986" spans="1:26">
      <c r="A986" s="981"/>
      <c r="B986" s="1022"/>
      <c r="C986" s="1022"/>
      <c r="D986" s="1022"/>
      <c r="E986" s="1022"/>
      <c r="F986" s="1022"/>
      <c r="G986" s="1022"/>
      <c r="V986" s="1022"/>
      <c r="W986" s="1022"/>
      <c r="X986" s="981"/>
      <c r="Y986" s="981"/>
      <c r="Z986" s="981"/>
    </row>
    <row r="987" spans="1:26">
      <c r="A987" s="981"/>
      <c r="B987" s="1022"/>
      <c r="C987" s="1022"/>
      <c r="D987" s="1022"/>
      <c r="E987" s="1022"/>
      <c r="F987" s="1022"/>
      <c r="G987" s="1022"/>
      <c r="V987" s="1022"/>
      <c r="W987" s="1022"/>
      <c r="X987" s="981"/>
      <c r="Y987" s="981"/>
      <c r="Z987" s="981"/>
    </row>
    <row r="988" spans="1:26">
      <c r="A988" s="981"/>
      <c r="B988" s="1022"/>
      <c r="C988" s="1022"/>
      <c r="D988" s="1022"/>
      <c r="E988" s="1022"/>
      <c r="F988" s="1022"/>
      <c r="G988" s="1022"/>
      <c r="V988" s="1022"/>
      <c r="W988" s="1022"/>
      <c r="X988" s="981"/>
      <c r="Y988" s="981"/>
      <c r="Z988" s="981"/>
    </row>
    <row r="989" spans="1:26">
      <c r="A989" s="981"/>
      <c r="B989" s="1022"/>
      <c r="C989" s="1022"/>
      <c r="D989" s="1022"/>
      <c r="E989" s="1022"/>
      <c r="F989" s="1022"/>
      <c r="G989" s="1022"/>
      <c r="V989" s="1022"/>
      <c r="W989" s="1022"/>
      <c r="X989" s="981"/>
      <c r="Y989" s="981"/>
      <c r="Z989" s="981"/>
    </row>
    <row r="990" spans="1:26">
      <c r="A990" s="981"/>
      <c r="B990" s="1022"/>
      <c r="C990" s="1022"/>
      <c r="D990" s="1022"/>
      <c r="E990" s="1022"/>
      <c r="F990" s="1022"/>
      <c r="G990" s="1022"/>
      <c r="V990" s="1022"/>
      <c r="W990" s="1022"/>
      <c r="X990" s="981"/>
      <c r="Y990" s="981"/>
      <c r="Z990" s="981"/>
    </row>
    <row r="991" spans="1:26">
      <c r="A991" s="981"/>
      <c r="B991" s="1022"/>
      <c r="C991" s="1022"/>
      <c r="D991" s="1022"/>
      <c r="E991" s="1022"/>
      <c r="F991" s="1022"/>
      <c r="G991" s="1022"/>
      <c r="V991" s="1022"/>
      <c r="W991" s="1022"/>
      <c r="X991" s="981"/>
      <c r="Y991" s="981"/>
      <c r="Z991" s="981"/>
    </row>
    <row r="992" spans="1:26">
      <c r="A992" s="981"/>
      <c r="B992" s="1022"/>
      <c r="C992" s="1022"/>
      <c r="D992" s="1022"/>
      <c r="E992" s="1022"/>
      <c r="F992" s="1022"/>
      <c r="G992" s="1022"/>
      <c r="V992" s="1022"/>
      <c r="W992" s="1022"/>
      <c r="X992" s="981"/>
      <c r="Y992" s="981"/>
      <c r="Z992" s="981"/>
    </row>
    <row r="993" spans="1:26">
      <c r="A993" s="981"/>
      <c r="B993" s="1022"/>
      <c r="C993" s="1022"/>
      <c r="D993" s="1022"/>
      <c r="E993" s="1022"/>
      <c r="F993" s="1022"/>
      <c r="G993" s="1022"/>
      <c r="V993" s="1022"/>
      <c r="W993" s="1022"/>
      <c r="X993" s="981"/>
      <c r="Y993" s="981"/>
      <c r="Z993" s="981"/>
    </row>
    <row r="994" spans="1:26">
      <c r="A994" s="981"/>
      <c r="B994" s="1022"/>
      <c r="C994" s="1022"/>
      <c r="D994" s="1022"/>
      <c r="E994" s="1022"/>
      <c r="F994" s="1022"/>
      <c r="G994" s="1022"/>
      <c r="V994" s="1022"/>
      <c r="W994" s="1022"/>
      <c r="X994" s="981"/>
      <c r="Y994" s="981"/>
      <c r="Z994" s="981"/>
    </row>
    <row r="995" spans="1:26">
      <c r="A995" s="981"/>
      <c r="B995" s="1022"/>
      <c r="C995" s="1022"/>
      <c r="D995" s="1022"/>
      <c r="E995" s="1022"/>
      <c r="F995" s="1022"/>
      <c r="G995" s="1022"/>
      <c r="V995" s="1022"/>
      <c r="W995" s="1022"/>
      <c r="X995" s="981"/>
      <c r="Y995" s="981"/>
      <c r="Z995" s="981"/>
    </row>
    <row r="996" spans="1:26">
      <c r="A996" s="981"/>
      <c r="B996" s="1022"/>
      <c r="C996" s="1022"/>
      <c r="D996" s="1022"/>
      <c r="E996" s="1022"/>
      <c r="F996" s="1022"/>
      <c r="G996" s="1022"/>
      <c r="V996" s="1022"/>
      <c r="W996" s="1022"/>
      <c r="X996" s="981"/>
      <c r="Y996" s="981"/>
      <c r="Z996" s="981"/>
    </row>
    <row r="997" spans="1:26">
      <c r="A997" s="981"/>
      <c r="B997" s="1022"/>
      <c r="C997" s="1022"/>
      <c r="D997" s="1022"/>
      <c r="E997" s="1022"/>
      <c r="F997" s="1022"/>
      <c r="G997" s="1022"/>
      <c r="V997" s="1022"/>
      <c r="W997" s="1022"/>
      <c r="X997" s="981"/>
      <c r="Y997" s="981"/>
      <c r="Z997" s="981"/>
    </row>
    <row r="998" spans="1:26">
      <c r="A998" s="981"/>
      <c r="B998" s="1022"/>
      <c r="C998" s="1022"/>
      <c r="D998" s="1022"/>
      <c r="E998" s="1022"/>
      <c r="F998" s="1022"/>
      <c r="G998" s="1022"/>
      <c r="V998" s="1022"/>
      <c r="W998" s="1022"/>
      <c r="X998" s="981"/>
      <c r="Y998" s="981"/>
      <c r="Z998" s="981"/>
    </row>
    <row r="999" spans="1:26">
      <c r="A999" s="981"/>
      <c r="B999" s="1022"/>
      <c r="C999" s="1022"/>
      <c r="D999" s="1022"/>
      <c r="E999" s="1022"/>
      <c r="F999" s="1022"/>
      <c r="G999" s="1022"/>
      <c r="V999" s="1022"/>
      <c r="W999" s="1022"/>
      <c r="X999" s="981"/>
      <c r="Y999" s="981"/>
      <c r="Z999" s="981"/>
    </row>
    <row r="1000" spans="1:26">
      <c r="A1000" s="981"/>
      <c r="B1000" s="1022"/>
      <c r="C1000" s="1022"/>
      <c r="D1000" s="1022"/>
      <c r="E1000" s="1022"/>
      <c r="F1000" s="1022"/>
      <c r="G1000" s="1022"/>
      <c r="V1000" s="1022"/>
      <c r="W1000" s="1022"/>
      <c r="X1000" s="981"/>
      <c r="Y1000" s="981"/>
      <c r="Z1000" s="981"/>
    </row>
    <row r="1001" spans="1:26">
      <c r="A1001" s="981"/>
      <c r="B1001" s="1022"/>
      <c r="C1001" s="1022"/>
      <c r="D1001" s="1022"/>
      <c r="E1001" s="1022"/>
      <c r="F1001" s="1022"/>
      <c r="G1001" s="1022"/>
      <c r="V1001" s="1022"/>
      <c r="W1001" s="1022"/>
      <c r="X1001" s="981"/>
      <c r="Y1001" s="981"/>
      <c r="Z1001" s="981"/>
    </row>
    <row r="1002" spans="1:26">
      <c r="A1002" s="981"/>
      <c r="B1002" s="1022"/>
      <c r="C1002" s="1022"/>
      <c r="D1002" s="1022"/>
      <c r="E1002" s="1022"/>
      <c r="F1002" s="1022"/>
      <c r="G1002" s="1022"/>
      <c r="V1002" s="1022"/>
      <c r="W1002" s="1022"/>
      <c r="X1002" s="981"/>
      <c r="Y1002" s="981"/>
      <c r="Z1002" s="981"/>
    </row>
    <row r="1003" spans="1:26">
      <c r="A1003" s="981"/>
      <c r="B1003" s="1022"/>
      <c r="C1003" s="1022"/>
      <c r="D1003" s="1022"/>
      <c r="E1003" s="1022"/>
      <c r="F1003" s="1022"/>
      <c r="G1003" s="1022"/>
      <c r="V1003" s="1022"/>
      <c r="W1003" s="1022"/>
      <c r="X1003" s="981"/>
      <c r="Y1003" s="981"/>
      <c r="Z1003" s="981"/>
    </row>
    <row r="1004" spans="1:26">
      <c r="A1004" s="981"/>
      <c r="B1004" s="1022"/>
      <c r="C1004" s="1022"/>
      <c r="D1004" s="1022"/>
      <c r="E1004" s="1022"/>
      <c r="F1004" s="1022"/>
      <c r="G1004" s="1022"/>
      <c r="V1004" s="1022"/>
      <c r="W1004" s="1022"/>
      <c r="X1004" s="981"/>
      <c r="Y1004" s="981"/>
      <c r="Z1004" s="981"/>
    </row>
    <row r="1005" spans="1:26">
      <c r="A1005" s="981"/>
      <c r="B1005" s="1022"/>
      <c r="C1005" s="1022"/>
      <c r="D1005" s="1022"/>
      <c r="E1005" s="1022"/>
      <c r="F1005" s="1022"/>
      <c r="G1005" s="1022"/>
      <c r="V1005" s="1022"/>
      <c r="W1005" s="1022"/>
      <c r="X1005" s="981"/>
      <c r="Y1005" s="981"/>
      <c r="Z1005" s="981"/>
    </row>
    <row r="1006" spans="1:26">
      <c r="A1006" s="981"/>
      <c r="B1006" s="1022"/>
      <c r="C1006" s="1022"/>
      <c r="D1006" s="1022"/>
      <c r="E1006" s="1022"/>
      <c r="F1006" s="1022"/>
      <c r="G1006" s="1022"/>
      <c r="V1006" s="1022"/>
      <c r="W1006" s="1022"/>
      <c r="X1006" s="981"/>
      <c r="Y1006" s="981"/>
      <c r="Z1006" s="981"/>
    </row>
    <row r="1007" spans="1:26">
      <c r="A1007" s="981"/>
      <c r="B1007" s="1022"/>
      <c r="C1007" s="1022"/>
      <c r="D1007" s="1022"/>
      <c r="E1007" s="1022"/>
      <c r="F1007" s="1022"/>
      <c r="G1007" s="1022"/>
      <c r="V1007" s="1022"/>
      <c r="W1007" s="1022"/>
      <c r="X1007" s="981"/>
      <c r="Y1007" s="981"/>
      <c r="Z1007" s="981"/>
    </row>
    <row r="1008" spans="1:26">
      <c r="A1008" s="981"/>
      <c r="B1008" s="1022"/>
      <c r="C1008" s="1022"/>
      <c r="D1008" s="1022"/>
      <c r="E1008" s="1022"/>
      <c r="F1008" s="1022"/>
      <c r="G1008" s="1022"/>
      <c r="V1008" s="1022"/>
      <c r="W1008" s="1022"/>
      <c r="X1008" s="981"/>
      <c r="Y1008" s="981"/>
      <c r="Z1008" s="981"/>
    </row>
    <row r="1009" spans="1:26">
      <c r="A1009" s="981"/>
      <c r="B1009" s="1022"/>
      <c r="C1009" s="1022"/>
      <c r="D1009" s="1022"/>
      <c r="E1009" s="1022"/>
      <c r="F1009" s="1022"/>
      <c r="G1009" s="1022"/>
      <c r="V1009" s="1022"/>
      <c r="W1009" s="1022"/>
      <c r="X1009" s="981"/>
      <c r="Y1009" s="981"/>
      <c r="Z1009" s="981"/>
    </row>
    <row r="1010" spans="1:26">
      <c r="A1010" s="981"/>
      <c r="B1010" s="1022"/>
      <c r="C1010" s="1022"/>
      <c r="D1010" s="1022"/>
      <c r="E1010" s="1022"/>
      <c r="F1010" s="1022"/>
      <c r="G1010" s="1022"/>
      <c r="V1010" s="1022"/>
      <c r="W1010" s="1022"/>
      <c r="X1010" s="981"/>
      <c r="Y1010" s="981"/>
      <c r="Z1010" s="981"/>
    </row>
  </sheetData>
  <mergeCells count="43">
    <mergeCell ref="A21:B21"/>
    <mergeCell ref="A22:B22"/>
    <mergeCell ref="A25:B25"/>
    <mergeCell ref="A16:B16"/>
    <mergeCell ref="A17:B17"/>
    <mergeCell ref="A18:B18"/>
    <mergeCell ref="A19:B19"/>
    <mergeCell ref="A20:B20"/>
    <mergeCell ref="A26:B26"/>
    <mergeCell ref="A23:B23"/>
    <mergeCell ref="A24:B24"/>
    <mergeCell ref="A40:B40"/>
    <mergeCell ref="A41:B41"/>
    <mergeCell ref="A27:B27"/>
    <mergeCell ref="A44:B44"/>
    <mergeCell ref="A28:B28"/>
    <mergeCell ref="A29:B29"/>
    <mergeCell ref="A30:B30"/>
    <mergeCell ref="A31:B31"/>
    <mergeCell ref="A32:B32"/>
    <mergeCell ref="A33:B33"/>
    <mergeCell ref="A34:B34"/>
    <mergeCell ref="A35:B35"/>
    <mergeCell ref="A38:B38"/>
    <mergeCell ref="A39:B39"/>
    <mergeCell ref="A43:B43"/>
    <mergeCell ref="A36:B36"/>
    <mergeCell ref="A37:B37"/>
    <mergeCell ref="A13:B13"/>
    <mergeCell ref="A14:B14"/>
    <mergeCell ref="A1:W1"/>
    <mergeCell ref="A3:B5"/>
    <mergeCell ref="V3:V5"/>
    <mergeCell ref="W3:W5"/>
    <mergeCell ref="A6:B6"/>
    <mergeCell ref="K3:M4"/>
    <mergeCell ref="C3:J4"/>
    <mergeCell ref="A12:B12"/>
    <mergeCell ref="A7:B7"/>
    <mergeCell ref="A8:B8"/>
    <mergeCell ref="A10:B10"/>
    <mergeCell ref="A11:B11"/>
    <mergeCell ref="N3:U4"/>
  </mergeCells>
  <pageMargins left="0.35433070866141736" right="0.15748031496062992" top="0.23622047244094491" bottom="0.39370078740157483" header="0.15748031496062992" footer="0.15748031496062992"/>
  <pageSetup paperSize="9" scale="60" orientation="landscape" useFirstPageNumber="1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EK708"/>
  <sheetViews>
    <sheetView showGridLines="0" view="pageBreakPreview" zoomScale="106" zoomScaleNormal="100" zoomScaleSheetLayoutView="106" workbookViewId="0">
      <pane xSplit="4" ySplit="8" topLeftCell="M9" activePane="bottomRight" state="frozen"/>
      <selection activeCell="U30" sqref="U30"/>
      <selection pane="topRight" activeCell="U30" sqref="U30"/>
      <selection pane="bottomLeft" activeCell="U30" sqref="U30"/>
      <selection pane="bottomRight" activeCell="M9" sqref="M9"/>
    </sheetView>
  </sheetViews>
  <sheetFormatPr defaultColWidth="9.140625" defaultRowHeight="12.75"/>
  <cols>
    <col min="1" max="1" width="3.42578125" style="301" customWidth="1"/>
    <col min="2" max="2" width="58.7109375" style="301" customWidth="1"/>
    <col min="3" max="3" width="11" style="301" customWidth="1"/>
    <col min="4" max="4" width="12.5703125" style="301" customWidth="1"/>
    <col min="5" max="5" width="9.42578125" style="301" hidden="1" customWidth="1"/>
    <col min="6" max="12" width="10.7109375" style="301" hidden="1" customWidth="1"/>
    <col min="13" max="13" width="13.28515625" style="301" customWidth="1"/>
    <col min="14" max="14" width="10.7109375" style="301" hidden="1" customWidth="1"/>
    <col min="15" max="15" width="13.28515625" style="301" hidden="1" customWidth="1"/>
    <col min="16" max="16" width="13.28515625" style="301" customWidth="1"/>
    <col min="17" max="17" width="10.7109375" style="301" customWidth="1"/>
    <col min="18" max="18" width="10.85546875" style="301" customWidth="1"/>
    <col min="19" max="19" width="11.28515625" style="301" customWidth="1"/>
    <col min="20" max="20" width="10.7109375" style="301" customWidth="1"/>
    <col min="21" max="21" width="9.28515625" style="301" customWidth="1"/>
    <col min="22" max="22" width="7.85546875" style="301" customWidth="1"/>
    <col min="23" max="23" width="7" style="301" customWidth="1"/>
    <col min="24" max="25" width="12.7109375" style="301" customWidth="1"/>
    <col min="26" max="26" width="12.42578125" style="301" hidden="1" customWidth="1"/>
    <col min="27" max="27" width="16" style="301" hidden="1" customWidth="1"/>
    <col min="28" max="28" width="10" style="301" hidden="1" customWidth="1"/>
    <col min="29" max="29" width="16.42578125" style="301" hidden="1" customWidth="1"/>
    <col min="30" max="16384" width="9.140625" style="301"/>
  </cols>
  <sheetData>
    <row r="1" spans="1:29" ht="15.75" customHeight="1">
      <c r="O1" s="2009"/>
      <c r="P1" s="2009"/>
      <c r="Q1" s="2009"/>
      <c r="R1" s="2009"/>
      <c r="S1" s="2009"/>
      <c r="T1" s="341" t="s">
        <v>84</v>
      </c>
      <c r="U1" s="341"/>
      <c r="V1" s="341"/>
      <c r="W1" s="341"/>
      <c r="X1" s="6"/>
      <c r="Y1" s="7"/>
    </row>
    <row r="2" spans="1:29" ht="15" customHeight="1">
      <c r="D2" s="864"/>
      <c r="E2" s="864"/>
      <c r="F2" s="864"/>
      <c r="G2" s="864"/>
      <c r="H2" s="864"/>
      <c r="I2" s="864"/>
      <c r="J2" s="864"/>
      <c r="K2" s="864"/>
      <c r="L2" s="864"/>
      <c r="M2" s="864"/>
      <c r="N2" s="864"/>
      <c r="O2" s="864"/>
      <c r="P2" s="864"/>
      <c r="Q2" s="864"/>
      <c r="R2" s="864"/>
      <c r="S2" s="864"/>
      <c r="T2" s="864"/>
      <c r="U2" s="864"/>
      <c r="V2" s="864"/>
      <c r="W2" s="864"/>
      <c r="X2" s="864"/>
      <c r="Y2" s="7"/>
    </row>
    <row r="3" spans="1:29" ht="43.5" customHeight="1">
      <c r="A3" s="3673" t="s">
        <v>288</v>
      </c>
      <c r="B3" s="3673"/>
      <c r="C3" s="3673"/>
      <c r="D3" s="3673"/>
      <c r="E3" s="3673"/>
      <c r="F3" s="3673"/>
      <c r="G3" s="3673"/>
      <c r="H3" s="3673"/>
      <c r="I3" s="3673"/>
      <c r="J3" s="3673"/>
      <c r="K3" s="3673"/>
      <c r="L3" s="3673"/>
      <c r="M3" s="3673"/>
      <c r="N3" s="3673"/>
      <c r="O3" s="3673"/>
      <c r="P3" s="3673"/>
      <c r="Q3" s="3673"/>
      <c r="R3" s="3673"/>
      <c r="S3" s="3673"/>
      <c r="T3" s="3673"/>
      <c r="U3" s="3673"/>
      <c r="V3" s="3673"/>
      <c r="W3" s="3673"/>
      <c r="X3" s="3673"/>
      <c r="Y3" s="3673"/>
    </row>
    <row r="4" spans="1:29" ht="9.75" customHeight="1" thickBot="1">
      <c r="A4" s="298"/>
      <c r="B4" s="298"/>
      <c r="C4" s="298"/>
      <c r="D4" s="298"/>
      <c r="E4" s="298"/>
      <c r="F4" s="298"/>
      <c r="G4" s="298"/>
      <c r="H4" s="298"/>
      <c r="I4" s="298"/>
      <c r="J4" s="298"/>
      <c r="K4" s="298"/>
      <c r="L4" s="298"/>
      <c r="M4" s="298"/>
      <c r="N4" s="298"/>
      <c r="O4" s="298"/>
      <c r="P4" s="298"/>
      <c r="Q4" s="298"/>
      <c r="R4" s="298"/>
      <c r="S4" s="298"/>
      <c r="T4" s="298"/>
      <c r="U4" s="298"/>
      <c r="V4" s="298"/>
      <c r="W4" s="298"/>
      <c r="X4" s="298"/>
      <c r="Y4" s="298"/>
    </row>
    <row r="5" spans="1:29" ht="30" customHeight="1">
      <c r="A5" s="2390"/>
      <c r="B5" s="2391"/>
      <c r="C5" s="3674" t="s">
        <v>85</v>
      </c>
      <c r="D5" s="3677" t="s">
        <v>86</v>
      </c>
      <c r="E5" s="424"/>
      <c r="F5" s="425"/>
      <c r="G5" s="425"/>
      <c r="H5" s="425"/>
      <c r="I5" s="425"/>
      <c r="J5" s="425"/>
      <c r="K5" s="425"/>
      <c r="L5" s="425"/>
      <c r="M5" s="3692" t="s">
        <v>338</v>
      </c>
      <c r="N5" s="3698" t="s">
        <v>403</v>
      </c>
      <c r="O5" s="3699"/>
      <c r="P5" s="3692" t="s">
        <v>494</v>
      </c>
      <c r="Q5" s="3694" t="s">
        <v>495</v>
      </c>
      <c r="R5" s="3694"/>
      <c r="S5" s="3694"/>
      <c r="T5" s="3694"/>
      <c r="U5" s="3694"/>
      <c r="V5" s="3694"/>
      <c r="W5" s="3695"/>
      <c r="X5" s="3686" t="s">
        <v>488</v>
      </c>
      <c r="Y5" s="3680" t="s">
        <v>87</v>
      </c>
    </row>
    <row r="6" spans="1:29" ht="53.25" customHeight="1">
      <c r="A6" s="3231" t="s">
        <v>88</v>
      </c>
      <c r="B6" s="3209" t="s">
        <v>89</v>
      </c>
      <c r="C6" s="3675"/>
      <c r="D6" s="3678"/>
      <c r="E6" s="331"/>
      <c r="F6" s="332"/>
      <c r="G6" s="332"/>
      <c r="H6" s="332"/>
      <c r="I6" s="332"/>
      <c r="J6" s="332"/>
      <c r="K6" s="332"/>
      <c r="L6" s="332"/>
      <c r="M6" s="3693"/>
      <c r="N6" s="3700"/>
      <c r="O6" s="3701"/>
      <c r="P6" s="3693"/>
      <c r="Q6" s="3696"/>
      <c r="R6" s="3696"/>
      <c r="S6" s="3696"/>
      <c r="T6" s="3696"/>
      <c r="U6" s="3696"/>
      <c r="V6" s="3696"/>
      <c r="W6" s="3697"/>
      <c r="X6" s="3687"/>
      <c r="Y6" s="3681"/>
      <c r="Z6" s="864"/>
    </row>
    <row r="7" spans="1:29" ht="16.5" customHeight="1" thickBot="1">
      <c r="A7" s="3232"/>
      <c r="B7" s="2010"/>
      <c r="C7" s="3676"/>
      <c r="D7" s="3679"/>
      <c r="E7" s="3213" t="s">
        <v>5</v>
      </c>
      <c r="F7" s="8" t="s">
        <v>6</v>
      </c>
      <c r="G7" s="8" t="s">
        <v>7</v>
      </c>
      <c r="H7" s="8" t="s">
        <v>8</v>
      </c>
      <c r="I7" s="3233" t="s">
        <v>9</v>
      </c>
      <c r="J7" s="3233" t="s">
        <v>10</v>
      </c>
      <c r="K7" s="3233">
        <v>2012</v>
      </c>
      <c r="L7" s="3233">
        <v>2013</v>
      </c>
      <c r="M7" s="415" t="s">
        <v>493</v>
      </c>
      <c r="N7" s="324" t="s">
        <v>13</v>
      </c>
      <c r="O7" s="324" t="s">
        <v>14</v>
      </c>
      <c r="P7" s="324" t="s">
        <v>15</v>
      </c>
      <c r="Q7" s="324" t="s">
        <v>16</v>
      </c>
      <c r="R7" s="324" t="s">
        <v>17</v>
      </c>
      <c r="S7" s="324" t="s">
        <v>259</v>
      </c>
      <c r="T7" s="324" t="s">
        <v>263</v>
      </c>
      <c r="U7" s="324" t="s">
        <v>324</v>
      </c>
      <c r="V7" s="324" t="s">
        <v>325</v>
      </c>
      <c r="W7" s="324" t="s">
        <v>323</v>
      </c>
      <c r="X7" s="3688"/>
      <c r="Y7" s="3682"/>
      <c r="Z7" s="864"/>
      <c r="AA7" s="864"/>
    </row>
    <row r="8" spans="1:29" s="345" customFormat="1" ht="12.75" customHeight="1" thickBot="1">
      <c r="A8" s="9">
        <v>1</v>
      </c>
      <c r="B8" s="10">
        <v>2</v>
      </c>
      <c r="C8" s="11">
        <v>3</v>
      </c>
      <c r="D8" s="12">
        <v>4</v>
      </c>
      <c r="E8" s="13"/>
      <c r="F8" s="14"/>
      <c r="G8" s="14"/>
      <c r="H8" s="14"/>
      <c r="I8" s="15"/>
      <c r="J8" s="15"/>
      <c r="K8" s="15"/>
      <c r="L8" s="16"/>
      <c r="M8" s="16">
        <v>5</v>
      </c>
      <c r="N8" s="16" t="s">
        <v>326</v>
      </c>
      <c r="O8" s="16" t="s">
        <v>326</v>
      </c>
      <c r="P8" s="16">
        <v>6</v>
      </c>
      <c r="Q8" s="16">
        <v>7</v>
      </c>
      <c r="R8" s="17">
        <v>8</v>
      </c>
      <c r="S8" s="17">
        <v>9</v>
      </c>
      <c r="T8" s="17">
        <v>10</v>
      </c>
      <c r="U8" s="17">
        <v>11</v>
      </c>
      <c r="V8" s="17">
        <v>12</v>
      </c>
      <c r="W8" s="17">
        <v>13</v>
      </c>
      <c r="X8" s="18">
        <v>14</v>
      </c>
      <c r="Y8" s="19">
        <v>15</v>
      </c>
      <c r="Z8" s="344"/>
      <c r="AA8" s="344"/>
    </row>
    <row r="9" spans="1:29" ht="14.25" customHeight="1">
      <c r="A9" s="3683" t="s">
        <v>82</v>
      </c>
      <c r="B9" s="276" t="s">
        <v>90</v>
      </c>
      <c r="C9" s="277"/>
      <c r="D9" s="278">
        <f>+D10+D11</f>
        <v>765642454</v>
      </c>
      <c r="E9" s="278">
        <f t="shared" ref="E9:R9" si="0">+E10+E11</f>
        <v>332845</v>
      </c>
      <c r="F9" s="278">
        <f t="shared" si="0"/>
        <v>46426</v>
      </c>
      <c r="G9" s="278">
        <f t="shared" si="0"/>
        <v>105437</v>
      </c>
      <c r="H9" s="278">
        <f t="shared" si="0"/>
        <v>8829</v>
      </c>
      <c r="I9" s="278">
        <f t="shared" si="0"/>
        <v>1709311</v>
      </c>
      <c r="J9" s="278">
        <f t="shared" si="0"/>
        <v>15414369</v>
      </c>
      <c r="K9" s="278">
        <f t="shared" si="0"/>
        <v>23470932</v>
      </c>
      <c r="L9" s="278">
        <f t="shared" si="0"/>
        <v>41008926</v>
      </c>
      <c r="M9" s="278">
        <f>+M10+M11</f>
        <v>174827956</v>
      </c>
      <c r="N9" s="278">
        <f t="shared" si="0"/>
        <v>53848584</v>
      </c>
      <c r="O9" s="278">
        <f t="shared" si="0"/>
        <v>39042989</v>
      </c>
      <c r="P9" s="278">
        <f t="shared" si="0"/>
        <v>32017591</v>
      </c>
      <c r="Q9" s="278">
        <f t="shared" si="0"/>
        <v>309378022</v>
      </c>
      <c r="R9" s="278">
        <f t="shared" si="0"/>
        <v>227856940</v>
      </c>
      <c r="S9" s="278">
        <f t="shared" ref="S9:W9" si="1">+S10+S11</f>
        <v>7721945</v>
      </c>
      <c r="T9" s="278">
        <f t="shared" si="1"/>
        <v>13840000</v>
      </c>
      <c r="U9" s="278">
        <f t="shared" si="1"/>
        <v>0</v>
      </c>
      <c r="V9" s="278">
        <f t="shared" si="1"/>
        <v>0</v>
      </c>
      <c r="W9" s="278">
        <f t="shared" si="1"/>
        <v>0</v>
      </c>
      <c r="X9" s="20">
        <f>+X10+X11</f>
        <v>558796907</v>
      </c>
      <c r="Y9" s="2011"/>
      <c r="Z9" s="864">
        <f>+O9+P9</f>
        <v>71060580</v>
      </c>
    </row>
    <row r="10" spans="1:29" ht="14.25" customHeight="1">
      <c r="A10" s="3684"/>
      <c r="B10" s="279" t="s">
        <v>91</v>
      </c>
      <c r="C10" s="280"/>
      <c r="D10" s="281">
        <f>+D554+D572+D505</f>
        <v>454666</v>
      </c>
      <c r="E10" s="281">
        <f t="shared" ref="E10:W10" si="2">+E554+E572+E505</f>
        <v>0</v>
      </c>
      <c r="F10" s="281">
        <f t="shared" si="2"/>
        <v>0</v>
      </c>
      <c r="G10" s="281">
        <f t="shared" si="2"/>
        <v>0</v>
      </c>
      <c r="H10" s="281">
        <f t="shared" si="2"/>
        <v>0</v>
      </c>
      <c r="I10" s="281">
        <f t="shared" si="2"/>
        <v>0</v>
      </c>
      <c r="J10" s="281">
        <f t="shared" si="2"/>
        <v>0</v>
      </c>
      <c r="K10" s="281">
        <f t="shared" si="2"/>
        <v>0</v>
      </c>
      <c r="L10" s="281">
        <f t="shared" si="2"/>
        <v>0</v>
      </c>
      <c r="M10" s="281">
        <f t="shared" si="2"/>
        <v>0</v>
      </c>
      <c r="N10" s="281">
        <f t="shared" si="2"/>
        <v>0</v>
      </c>
      <c r="O10" s="281">
        <f t="shared" si="2"/>
        <v>0</v>
      </c>
      <c r="P10" s="281">
        <f t="shared" si="2"/>
        <v>43098</v>
      </c>
      <c r="Q10" s="281">
        <f t="shared" si="2"/>
        <v>273498</v>
      </c>
      <c r="R10" s="281">
        <f t="shared" si="2"/>
        <v>115985</v>
      </c>
      <c r="S10" s="281">
        <f>+S554+S572+S505</f>
        <v>22085</v>
      </c>
      <c r="T10" s="281">
        <f t="shared" si="2"/>
        <v>0</v>
      </c>
      <c r="U10" s="281">
        <f t="shared" si="2"/>
        <v>0</v>
      </c>
      <c r="V10" s="281">
        <f t="shared" si="2"/>
        <v>0</v>
      </c>
      <c r="W10" s="281">
        <f t="shared" si="2"/>
        <v>0</v>
      </c>
      <c r="X10" s="2392">
        <f>SUM(Q10:W10)</f>
        <v>411568</v>
      </c>
      <c r="Y10" s="2012"/>
    </row>
    <row r="11" spans="1:29" ht="14.25" customHeight="1" thickBot="1">
      <c r="A11" s="3684"/>
      <c r="B11" s="2013" t="s">
        <v>20</v>
      </c>
      <c r="C11" s="2014"/>
      <c r="D11" s="2015">
        <f>+D54+D225+D68+D82+D252+D99+D113+D268+D412+D376+D125+D134+D388+D146+D158+D169+D178+D190+D199+D240+D208+D438+D536+D400+D215+D448+D280+D292+D304+D316+D457+D469+D478+D487+D496+D328+D340+D352+D364</f>
        <v>765187788</v>
      </c>
      <c r="E11" s="2015">
        <f t="shared" ref="E11:W11" si="3">+E54+E225+E68+E82+E252+E99+E113+E268+E412+E376+E125+E134+E388+E146+E158+E169+E178+E190+E199+E240+E208+E438+E536+E400+E215+E448+E280+E292+E304+E316+E457+E469+E478+E487+E496+E328+E340+E352+E364</f>
        <v>332845</v>
      </c>
      <c r="F11" s="2015">
        <f t="shared" si="3"/>
        <v>46426</v>
      </c>
      <c r="G11" s="2015">
        <f t="shared" si="3"/>
        <v>105437</v>
      </c>
      <c r="H11" s="2015">
        <f t="shared" si="3"/>
        <v>8829</v>
      </c>
      <c r="I11" s="2015">
        <f t="shared" si="3"/>
        <v>1709311</v>
      </c>
      <c r="J11" s="2015">
        <f t="shared" si="3"/>
        <v>15414369</v>
      </c>
      <c r="K11" s="2015">
        <f t="shared" si="3"/>
        <v>23470932</v>
      </c>
      <c r="L11" s="2015">
        <f t="shared" si="3"/>
        <v>41008926</v>
      </c>
      <c r="M11" s="2015">
        <f t="shared" si="3"/>
        <v>174827956</v>
      </c>
      <c r="N11" s="2015">
        <f t="shared" si="3"/>
        <v>53848584</v>
      </c>
      <c r="O11" s="2015">
        <f t="shared" si="3"/>
        <v>39042989</v>
      </c>
      <c r="P11" s="2015">
        <f t="shared" si="3"/>
        <v>31974493</v>
      </c>
      <c r="Q11" s="2015">
        <f t="shared" si="3"/>
        <v>309104524</v>
      </c>
      <c r="R11" s="2015">
        <f t="shared" si="3"/>
        <v>227740955</v>
      </c>
      <c r="S11" s="2015">
        <f t="shared" si="3"/>
        <v>7699860</v>
      </c>
      <c r="T11" s="2015">
        <f t="shared" si="3"/>
        <v>13840000</v>
      </c>
      <c r="U11" s="2015">
        <f t="shared" si="3"/>
        <v>0</v>
      </c>
      <c r="V11" s="2015">
        <f t="shared" si="3"/>
        <v>0</v>
      </c>
      <c r="W11" s="2015">
        <f t="shared" si="3"/>
        <v>0</v>
      </c>
      <c r="X11" s="197">
        <f>SUM(Q11:W11)</f>
        <v>558385339</v>
      </c>
      <c r="Y11" s="2012"/>
    </row>
    <row r="12" spans="1:29" ht="13.5" customHeight="1">
      <c r="A12" s="3684"/>
      <c r="B12" s="23" t="s">
        <v>21</v>
      </c>
      <c r="C12" s="24"/>
      <c r="D12" s="2016">
        <f>+D13+D19</f>
        <v>765642454</v>
      </c>
      <c r="E12" s="2016">
        <f t="shared" ref="E12:P12" si="4">+E13+E19</f>
        <v>332845</v>
      </c>
      <c r="F12" s="2016">
        <f t="shared" si="4"/>
        <v>46426</v>
      </c>
      <c r="G12" s="2016">
        <f t="shared" si="4"/>
        <v>105437</v>
      </c>
      <c r="H12" s="2016">
        <f t="shared" si="4"/>
        <v>8829</v>
      </c>
      <c r="I12" s="2016">
        <f t="shared" si="4"/>
        <v>1709311</v>
      </c>
      <c r="J12" s="2016">
        <f t="shared" si="4"/>
        <v>15414369</v>
      </c>
      <c r="K12" s="2016">
        <f t="shared" si="4"/>
        <v>23470932</v>
      </c>
      <c r="L12" s="2016">
        <f t="shared" si="4"/>
        <v>41008926</v>
      </c>
      <c r="M12" s="2016">
        <f>+M13+M19</f>
        <v>174827956</v>
      </c>
      <c r="N12" s="2016">
        <f t="shared" si="4"/>
        <v>53848584</v>
      </c>
      <c r="O12" s="2016">
        <f>+O13+O19</f>
        <v>39042989</v>
      </c>
      <c r="P12" s="2016">
        <f t="shared" si="4"/>
        <v>32017591</v>
      </c>
      <c r="Q12" s="2016">
        <f t="shared" ref="Q12:X12" si="5">+Q13+Q19</f>
        <v>309378022</v>
      </c>
      <c r="R12" s="2016">
        <f t="shared" si="5"/>
        <v>227856940</v>
      </c>
      <c r="S12" s="2016">
        <f t="shared" si="5"/>
        <v>7721945</v>
      </c>
      <c r="T12" s="2016">
        <f t="shared" si="5"/>
        <v>13840000</v>
      </c>
      <c r="U12" s="2016">
        <f t="shared" si="5"/>
        <v>0</v>
      </c>
      <c r="V12" s="2016">
        <f t="shared" si="5"/>
        <v>0</v>
      </c>
      <c r="W12" s="2016">
        <f t="shared" si="5"/>
        <v>0</v>
      </c>
      <c r="X12" s="2017">
        <f t="shared" si="5"/>
        <v>558796907</v>
      </c>
      <c r="Y12" s="1894"/>
      <c r="Z12" s="2018"/>
      <c r="AA12" s="864"/>
      <c r="AC12" s="864"/>
    </row>
    <row r="13" spans="1:29" s="2021" customFormat="1">
      <c r="A13" s="3684"/>
      <c r="B13" s="202" t="s">
        <v>22</v>
      </c>
      <c r="C13" s="2393"/>
      <c r="D13" s="2394">
        <f>+D14+D15+D16+D17+D18</f>
        <v>139229667</v>
      </c>
      <c r="E13" s="2394">
        <f t="shared" ref="E13:P13" si="6">+E14+E15+E16+E17+E18</f>
        <v>208480</v>
      </c>
      <c r="F13" s="2394">
        <f t="shared" si="6"/>
        <v>46426</v>
      </c>
      <c r="G13" s="2394">
        <f t="shared" si="6"/>
        <v>105437</v>
      </c>
      <c r="H13" s="2394">
        <f t="shared" si="6"/>
        <v>83</v>
      </c>
      <c r="I13" s="2394">
        <f t="shared" si="6"/>
        <v>869862</v>
      </c>
      <c r="J13" s="2394">
        <f t="shared" si="6"/>
        <v>8416422</v>
      </c>
      <c r="K13" s="2394">
        <f t="shared" si="6"/>
        <v>8810480</v>
      </c>
      <c r="L13" s="2394">
        <f t="shared" si="6"/>
        <v>4026494</v>
      </c>
      <c r="M13" s="2394">
        <f>+M14+M15+M16+M17+M18</f>
        <v>34995620</v>
      </c>
      <c r="N13" s="2394">
        <f t="shared" si="6"/>
        <v>10177544</v>
      </c>
      <c r="O13" s="2394">
        <f>+O14+O15+O16+O17+O18</f>
        <v>2486338</v>
      </c>
      <c r="P13" s="2394">
        <f t="shared" si="6"/>
        <v>1915543</v>
      </c>
      <c r="Q13" s="2394">
        <f t="shared" ref="Q13:W13" si="7">+Q14+Q15+Q16+Q17+Q18</f>
        <v>55106491</v>
      </c>
      <c r="R13" s="2394">
        <f t="shared" si="7"/>
        <v>43298169</v>
      </c>
      <c r="S13" s="2394">
        <f t="shared" si="7"/>
        <v>1837844</v>
      </c>
      <c r="T13" s="2394">
        <f t="shared" si="7"/>
        <v>2076000</v>
      </c>
      <c r="U13" s="2394">
        <f t="shared" si="7"/>
        <v>0</v>
      </c>
      <c r="V13" s="2394">
        <f t="shared" si="7"/>
        <v>0</v>
      </c>
      <c r="W13" s="2394">
        <f t="shared" si="7"/>
        <v>0</v>
      </c>
      <c r="X13" s="2395">
        <f>SUM(X14:X18)</f>
        <v>102318504</v>
      </c>
      <c r="Y13" s="2019"/>
      <c r="Z13" s="2020"/>
      <c r="AA13" s="2018"/>
    </row>
    <row r="14" spans="1:29">
      <c r="A14" s="3684"/>
      <c r="B14" s="205" t="s">
        <v>23</v>
      </c>
      <c r="C14" s="2022"/>
      <c r="D14" s="2396">
        <f>+D38+D428+D522+D565</f>
        <v>71340291</v>
      </c>
      <c r="E14" s="2396">
        <f>+E38+E428+E522+E565</f>
        <v>208397</v>
      </c>
      <c r="F14" s="2396">
        <f>+F38+F428+F522</f>
        <v>46426</v>
      </c>
      <c r="G14" s="2396">
        <f>+G38+G428+G522</f>
        <v>105437</v>
      </c>
      <c r="H14" s="2396">
        <f>+H38+H428+H522</f>
        <v>0</v>
      </c>
      <c r="I14" s="2396">
        <f>+I38+I428+I522+I565</f>
        <v>699012</v>
      </c>
      <c r="J14" s="2396">
        <f>+J38+J428+J522</f>
        <v>381008</v>
      </c>
      <c r="K14" s="2396">
        <f>+K38+K428+K522</f>
        <v>1680948</v>
      </c>
      <c r="L14" s="2396">
        <f>+L38+L428+L522</f>
        <v>2031443</v>
      </c>
      <c r="M14" s="2396">
        <f>+M38+M428+M522</f>
        <v>14261244</v>
      </c>
      <c r="N14" s="2396">
        <f t="shared" ref="N14:W14" si="8">+N38+N428+N522+N565</f>
        <v>6777129</v>
      </c>
      <c r="O14" s="2396">
        <f t="shared" si="8"/>
        <v>2483307</v>
      </c>
      <c r="P14" s="2396">
        <f>+P38+P428+P522+P565</f>
        <v>915543</v>
      </c>
      <c r="Q14" s="2396">
        <f t="shared" si="8"/>
        <v>30840648</v>
      </c>
      <c r="R14" s="2396">
        <f t="shared" si="8"/>
        <v>23485012</v>
      </c>
      <c r="S14" s="2396">
        <f t="shared" si="8"/>
        <v>1837844</v>
      </c>
      <c r="T14" s="2396">
        <f t="shared" si="8"/>
        <v>0</v>
      </c>
      <c r="U14" s="2396">
        <f t="shared" si="8"/>
        <v>0</v>
      </c>
      <c r="V14" s="2396">
        <f t="shared" si="8"/>
        <v>0</v>
      </c>
      <c r="W14" s="2396">
        <f t="shared" si="8"/>
        <v>0</v>
      </c>
      <c r="X14" s="2397">
        <f>SUM(Q14:W14)</f>
        <v>56163504</v>
      </c>
      <c r="Y14" s="1894"/>
      <c r="Z14" s="864"/>
      <c r="AA14" s="864"/>
      <c r="AC14" s="864"/>
    </row>
    <row r="15" spans="1:29" ht="12" hidden="1" customHeight="1">
      <c r="A15" s="3684"/>
      <c r="B15" s="2398" t="s">
        <v>92</v>
      </c>
      <c r="C15" s="2399"/>
      <c r="D15" s="2396">
        <f>+D523</f>
        <v>0</v>
      </c>
      <c r="E15" s="2396">
        <f t="shared" ref="E15:P15" si="9">+E523</f>
        <v>0</v>
      </c>
      <c r="F15" s="2396">
        <f t="shared" si="9"/>
        <v>0</v>
      </c>
      <c r="G15" s="2396">
        <f t="shared" si="9"/>
        <v>0</v>
      </c>
      <c r="H15" s="2396">
        <f t="shared" si="9"/>
        <v>0</v>
      </c>
      <c r="I15" s="2396">
        <f t="shared" si="9"/>
        <v>0</v>
      </c>
      <c r="J15" s="2396">
        <f t="shared" si="9"/>
        <v>0</v>
      </c>
      <c r="K15" s="2396">
        <f t="shared" si="9"/>
        <v>0</v>
      </c>
      <c r="L15" s="2396">
        <f t="shared" si="9"/>
        <v>0</v>
      </c>
      <c r="M15" s="2396">
        <f>+M523</f>
        <v>0</v>
      </c>
      <c r="N15" s="2396">
        <f t="shared" si="9"/>
        <v>0</v>
      </c>
      <c r="O15" s="2396">
        <f>+O523</f>
        <v>0</v>
      </c>
      <c r="P15" s="2396">
        <f t="shared" si="9"/>
        <v>0</v>
      </c>
      <c r="Q15" s="2396">
        <f t="shared" ref="Q15:W15" si="10">+Q523</f>
        <v>0</v>
      </c>
      <c r="R15" s="2396">
        <f t="shared" si="10"/>
        <v>0</v>
      </c>
      <c r="S15" s="2396">
        <f t="shared" si="10"/>
        <v>0</v>
      </c>
      <c r="T15" s="2396">
        <f t="shared" si="10"/>
        <v>0</v>
      </c>
      <c r="U15" s="2396">
        <f t="shared" si="10"/>
        <v>0</v>
      </c>
      <c r="V15" s="2396">
        <f t="shared" si="10"/>
        <v>0</v>
      </c>
      <c r="W15" s="2396">
        <f t="shared" si="10"/>
        <v>0</v>
      </c>
      <c r="X15" s="2397">
        <f>SUM(Q15:W15)</f>
        <v>0</v>
      </c>
      <c r="Y15" s="2025"/>
      <c r="Z15" s="864"/>
    </row>
    <row r="16" spans="1:29" ht="13.5" customHeight="1">
      <c r="A16" s="3684"/>
      <c r="B16" s="205" t="s">
        <v>26</v>
      </c>
      <c r="C16" s="2022"/>
      <c r="D16" s="2396">
        <f t="shared" ref="D16:W16" si="11">+D39+D429</f>
        <v>20524695</v>
      </c>
      <c r="E16" s="2396">
        <f t="shared" si="11"/>
        <v>0</v>
      </c>
      <c r="F16" s="2396">
        <f t="shared" si="11"/>
        <v>0</v>
      </c>
      <c r="G16" s="2396">
        <f t="shared" si="11"/>
        <v>0</v>
      </c>
      <c r="H16" s="2396">
        <f t="shared" si="11"/>
        <v>0</v>
      </c>
      <c r="I16" s="2396">
        <f t="shared" si="11"/>
        <v>0</v>
      </c>
      <c r="J16" s="2396">
        <f t="shared" si="11"/>
        <v>2000000</v>
      </c>
      <c r="K16" s="2396">
        <f t="shared" si="11"/>
        <v>5512742</v>
      </c>
      <c r="L16" s="2396">
        <f t="shared" si="11"/>
        <v>34125</v>
      </c>
      <c r="M16" s="2396">
        <f t="shared" si="11"/>
        <v>9354695</v>
      </c>
      <c r="N16" s="2396">
        <f t="shared" si="11"/>
        <v>1807828</v>
      </c>
      <c r="O16" s="2396">
        <f t="shared" si="11"/>
        <v>0</v>
      </c>
      <c r="P16" s="2396">
        <f t="shared" si="11"/>
        <v>1000000</v>
      </c>
      <c r="Q16" s="2396">
        <f t="shared" si="11"/>
        <v>5395843</v>
      </c>
      <c r="R16" s="2396">
        <f t="shared" si="11"/>
        <v>4774157</v>
      </c>
      <c r="S16" s="2396">
        <f t="shared" si="11"/>
        <v>0</v>
      </c>
      <c r="T16" s="2396">
        <f t="shared" si="11"/>
        <v>0</v>
      </c>
      <c r="U16" s="2396">
        <f t="shared" si="11"/>
        <v>0</v>
      </c>
      <c r="V16" s="2396">
        <f t="shared" si="11"/>
        <v>0</v>
      </c>
      <c r="W16" s="2396">
        <f t="shared" si="11"/>
        <v>0</v>
      </c>
      <c r="X16" s="2397">
        <f>SUM(Q16:W16)</f>
        <v>10170000</v>
      </c>
      <c r="Y16" s="2025"/>
      <c r="Z16" s="864"/>
    </row>
    <row r="17" spans="1:29" ht="13.5" customHeight="1">
      <c r="A17" s="3684"/>
      <c r="B17" s="205" t="s">
        <v>66</v>
      </c>
      <c r="C17" s="2022"/>
      <c r="D17" s="2396">
        <f t="shared" ref="D17:W17" si="12">+D524+D41</f>
        <v>35985000</v>
      </c>
      <c r="E17" s="2396">
        <f t="shared" si="12"/>
        <v>0</v>
      </c>
      <c r="F17" s="2396">
        <f t="shared" si="12"/>
        <v>0</v>
      </c>
      <c r="G17" s="2396">
        <f t="shared" si="12"/>
        <v>0</v>
      </c>
      <c r="H17" s="2396">
        <f t="shared" si="12"/>
        <v>0</v>
      </c>
      <c r="I17" s="2396">
        <f t="shared" si="12"/>
        <v>0</v>
      </c>
      <c r="J17" s="2396">
        <f t="shared" si="12"/>
        <v>0</v>
      </c>
      <c r="K17" s="2396">
        <f t="shared" si="12"/>
        <v>0</v>
      </c>
      <c r="L17" s="2396">
        <f t="shared" si="12"/>
        <v>0</v>
      </c>
      <c r="M17" s="2396">
        <f t="shared" si="12"/>
        <v>0</v>
      </c>
      <c r="N17" s="2396">
        <f t="shared" si="12"/>
        <v>0</v>
      </c>
      <c r="O17" s="2396">
        <f t="shared" si="12"/>
        <v>0</v>
      </c>
      <c r="P17" s="2396">
        <f t="shared" si="12"/>
        <v>0</v>
      </c>
      <c r="Q17" s="2396">
        <f t="shared" si="12"/>
        <v>18870000</v>
      </c>
      <c r="R17" s="2396">
        <f t="shared" si="12"/>
        <v>15039000</v>
      </c>
      <c r="S17" s="2396">
        <f t="shared" si="12"/>
        <v>0</v>
      </c>
      <c r="T17" s="2396">
        <f t="shared" si="12"/>
        <v>2076000</v>
      </c>
      <c r="U17" s="2396">
        <f t="shared" si="12"/>
        <v>0</v>
      </c>
      <c r="V17" s="2396">
        <f t="shared" si="12"/>
        <v>0</v>
      </c>
      <c r="W17" s="2396">
        <f t="shared" si="12"/>
        <v>0</v>
      </c>
      <c r="X17" s="2397">
        <f>SUM(Q17:W17)</f>
        <v>35985000</v>
      </c>
      <c r="Y17" s="2025"/>
      <c r="Z17" s="864"/>
    </row>
    <row r="18" spans="1:29" ht="12" customHeight="1">
      <c r="A18" s="3684"/>
      <c r="B18" s="205" t="s">
        <v>28</v>
      </c>
      <c r="C18" s="2022"/>
      <c r="D18" s="2396">
        <f>+D40</f>
        <v>11379681</v>
      </c>
      <c r="E18" s="2396">
        <f t="shared" ref="E18:P18" si="13">+E40</f>
        <v>83</v>
      </c>
      <c r="F18" s="2396">
        <f t="shared" si="13"/>
        <v>0</v>
      </c>
      <c r="G18" s="2396">
        <f t="shared" si="13"/>
        <v>0</v>
      </c>
      <c r="H18" s="2396">
        <f t="shared" si="13"/>
        <v>83</v>
      </c>
      <c r="I18" s="2396">
        <f t="shared" si="13"/>
        <v>170850</v>
      </c>
      <c r="J18" s="2396">
        <f t="shared" si="13"/>
        <v>6035414</v>
      </c>
      <c r="K18" s="2396">
        <f t="shared" si="13"/>
        <v>1616790</v>
      </c>
      <c r="L18" s="2396">
        <f t="shared" si="13"/>
        <v>1960926</v>
      </c>
      <c r="M18" s="2396">
        <f>+M40</f>
        <v>11379681</v>
      </c>
      <c r="N18" s="2396">
        <f t="shared" si="13"/>
        <v>1592587</v>
      </c>
      <c r="O18" s="2396">
        <f t="shared" si="13"/>
        <v>3031</v>
      </c>
      <c r="P18" s="2396">
        <f t="shared" si="13"/>
        <v>0</v>
      </c>
      <c r="Q18" s="2396">
        <f t="shared" ref="Q18:W18" si="14">+Q40</f>
        <v>0</v>
      </c>
      <c r="R18" s="2396">
        <f t="shared" si="14"/>
        <v>0</v>
      </c>
      <c r="S18" s="2396">
        <f t="shared" si="14"/>
        <v>0</v>
      </c>
      <c r="T18" s="2396">
        <f t="shared" si="14"/>
        <v>0</v>
      </c>
      <c r="U18" s="2396">
        <f t="shared" si="14"/>
        <v>0</v>
      </c>
      <c r="V18" s="2396">
        <f t="shared" si="14"/>
        <v>0</v>
      </c>
      <c r="W18" s="2396">
        <f t="shared" si="14"/>
        <v>0</v>
      </c>
      <c r="X18" s="2397">
        <f>SUM(P18:T18)</f>
        <v>0</v>
      </c>
      <c r="Y18" s="2025"/>
      <c r="Z18" s="864"/>
    </row>
    <row r="19" spans="1:29" s="2021" customFormat="1" ht="13.5" customHeight="1">
      <c r="A19" s="3684"/>
      <c r="B19" s="202" t="s">
        <v>29</v>
      </c>
      <c r="C19" s="2026"/>
      <c r="D19" s="2394">
        <f>+D20+D21+D22</f>
        <v>626412787</v>
      </c>
      <c r="E19" s="2394">
        <f t="shared" ref="E19:T19" si="15">+E20+E21+E22</f>
        <v>124365</v>
      </c>
      <c r="F19" s="2394">
        <f t="shared" si="15"/>
        <v>0</v>
      </c>
      <c r="G19" s="2394">
        <f t="shared" si="15"/>
        <v>0</v>
      </c>
      <c r="H19" s="2394">
        <f t="shared" si="15"/>
        <v>8746</v>
      </c>
      <c r="I19" s="2394">
        <f t="shared" si="15"/>
        <v>839449</v>
      </c>
      <c r="J19" s="2394">
        <f t="shared" si="15"/>
        <v>6997947</v>
      </c>
      <c r="K19" s="2394">
        <f t="shared" si="15"/>
        <v>14660452</v>
      </c>
      <c r="L19" s="2394">
        <f t="shared" si="15"/>
        <v>36982432</v>
      </c>
      <c r="M19" s="2394">
        <f t="shared" si="15"/>
        <v>139832336</v>
      </c>
      <c r="N19" s="2394">
        <f t="shared" si="15"/>
        <v>43671040</v>
      </c>
      <c r="O19" s="2394">
        <f t="shared" si="15"/>
        <v>36556651</v>
      </c>
      <c r="P19" s="2394">
        <f t="shared" si="15"/>
        <v>30102048</v>
      </c>
      <c r="Q19" s="2394">
        <f t="shared" si="15"/>
        <v>254271531</v>
      </c>
      <c r="R19" s="2394">
        <f t="shared" si="15"/>
        <v>184558771</v>
      </c>
      <c r="S19" s="2394">
        <f t="shared" si="15"/>
        <v>5884101</v>
      </c>
      <c r="T19" s="2394">
        <f t="shared" si="15"/>
        <v>11764000</v>
      </c>
      <c r="U19" s="2394">
        <f>+U20+U21+U22</f>
        <v>0</v>
      </c>
      <c r="V19" s="2394">
        <f>+V20+V21+V22</f>
        <v>0</v>
      </c>
      <c r="W19" s="2394">
        <f>+W20+W21+W22</f>
        <v>0</v>
      </c>
      <c r="X19" s="2400">
        <f>+X20+X21+X22</f>
        <v>456478403</v>
      </c>
      <c r="Y19" s="2027"/>
      <c r="Z19" s="2020"/>
      <c r="AA19" s="2018"/>
    </row>
    <row r="20" spans="1:29" ht="13.5" customHeight="1">
      <c r="A20" s="3684"/>
      <c r="B20" s="2401" t="s">
        <v>31</v>
      </c>
      <c r="C20" s="2402"/>
      <c r="D20" s="2396">
        <f t="shared" ref="D20:W20" si="16">+D431+D567</f>
        <v>32901103</v>
      </c>
      <c r="E20" s="2396">
        <f t="shared" si="16"/>
        <v>0</v>
      </c>
      <c r="F20" s="2396">
        <f t="shared" si="16"/>
        <v>0</v>
      </c>
      <c r="G20" s="2396">
        <f t="shared" si="16"/>
        <v>0</v>
      </c>
      <c r="H20" s="2396">
        <f t="shared" si="16"/>
        <v>0</v>
      </c>
      <c r="I20" s="2396">
        <f t="shared" si="16"/>
        <v>0</v>
      </c>
      <c r="J20" s="2396">
        <f t="shared" si="16"/>
        <v>0</v>
      </c>
      <c r="K20" s="2396">
        <f t="shared" si="16"/>
        <v>0</v>
      </c>
      <c r="L20" s="2396">
        <f t="shared" si="16"/>
        <v>0</v>
      </c>
      <c r="M20" s="2396">
        <f t="shared" si="16"/>
        <v>0</v>
      </c>
      <c r="N20" s="2396">
        <f t="shared" si="16"/>
        <v>0</v>
      </c>
      <c r="O20" s="2396">
        <f t="shared" si="16"/>
        <v>0</v>
      </c>
      <c r="P20" s="2396">
        <f t="shared" si="16"/>
        <v>337124</v>
      </c>
      <c r="Q20" s="2396">
        <f t="shared" si="16"/>
        <v>23136835</v>
      </c>
      <c r="R20" s="2396">
        <f t="shared" si="16"/>
        <v>3543043</v>
      </c>
      <c r="S20" s="2396">
        <f t="shared" si="16"/>
        <v>5884101</v>
      </c>
      <c r="T20" s="2396">
        <f t="shared" si="16"/>
        <v>0</v>
      </c>
      <c r="U20" s="2396">
        <f t="shared" si="16"/>
        <v>0</v>
      </c>
      <c r="V20" s="2396">
        <f t="shared" si="16"/>
        <v>0</v>
      </c>
      <c r="W20" s="2396">
        <f t="shared" si="16"/>
        <v>0</v>
      </c>
      <c r="X20" s="2397">
        <f>SUM(Q20:W20)</f>
        <v>32563979</v>
      </c>
      <c r="Y20" s="2025"/>
      <c r="Z20" s="864"/>
    </row>
    <row r="21" spans="1:29" ht="13.5" customHeight="1">
      <c r="A21" s="3684"/>
      <c r="B21" s="2403" t="s">
        <v>32</v>
      </c>
      <c r="C21" s="2402"/>
      <c r="D21" s="2396">
        <f t="shared" ref="D21:W21" si="17">+D43+D526</f>
        <v>593511684</v>
      </c>
      <c r="E21" s="2396">
        <f t="shared" si="17"/>
        <v>124365</v>
      </c>
      <c r="F21" s="2396">
        <f t="shared" si="17"/>
        <v>0</v>
      </c>
      <c r="G21" s="2396">
        <f t="shared" si="17"/>
        <v>0</v>
      </c>
      <c r="H21" s="2396">
        <f t="shared" si="17"/>
        <v>8746</v>
      </c>
      <c r="I21" s="2396">
        <f t="shared" si="17"/>
        <v>839449</v>
      </c>
      <c r="J21" s="2396">
        <f t="shared" si="17"/>
        <v>6997947</v>
      </c>
      <c r="K21" s="2396">
        <f t="shared" si="17"/>
        <v>14660452</v>
      </c>
      <c r="L21" s="2396">
        <f t="shared" si="17"/>
        <v>36982432</v>
      </c>
      <c r="M21" s="2396">
        <f t="shared" si="17"/>
        <v>139832336</v>
      </c>
      <c r="N21" s="2396">
        <f t="shared" si="17"/>
        <v>43671040</v>
      </c>
      <c r="O21" s="2396">
        <f t="shared" si="17"/>
        <v>36556651</v>
      </c>
      <c r="P21" s="2396">
        <f t="shared" si="17"/>
        <v>29764924</v>
      </c>
      <c r="Q21" s="2396">
        <f t="shared" si="17"/>
        <v>231134696</v>
      </c>
      <c r="R21" s="2396">
        <f t="shared" si="17"/>
        <v>181015728</v>
      </c>
      <c r="S21" s="2396">
        <f t="shared" si="17"/>
        <v>0</v>
      </c>
      <c r="T21" s="2396">
        <f t="shared" si="17"/>
        <v>11764000</v>
      </c>
      <c r="U21" s="2396">
        <f t="shared" si="17"/>
        <v>0</v>
      </c>
      <c r="V21" s="2396">
        <f t="shared" si="17"/>
        <v>0</v>
      </c>
      <c r="W21" s="2396">
        <f t="shared" si="17"/>
        <v>0</v>
      </c>
      <c r="X21" s="2397">
        <f>SUM(Q21:W21)</f>
        <v>423914424</v>
      </c>
      <c r="Y21" s="1894"/>
      <c r="Z21" s="864"/>
      <c r="AA21" s="864">
        <f>+N21+O21+P21+Q21</f>
        <v>341127311</v>
      </c>
    </row>
    <row r="22" spans="1:29" hidden="1">
      <c r="A22" s="3684"/>
      <c r="B22" s="2403" t="s">
        <v>93</v>
      </c>
      <c r="C22" s="2402"/>
      <c r="D22" s="2396">
        <f>+D527</f>
        <v>0</v>
      </c>
      <c r="E22" s="2396">
        <f t="shared" ref="E22:P22" si="18">+E527</f>
        <v>0</v>
      </c>
      <c r="F22" s="2396">
        <f t="shared" si="18"/>
        <v>0</v>
      </c>
      <c r="G22" s="2396">
        <f t="shared" si="18"/>
        <v>0</v>
      </c>
      <c r="H22" s="2396">
        <f t="shared" si="18"/>
        <v>0</v>
      </c>
      <c r="I22" s="2396">
        <f t="shared" si="18"/>
        <v>0</v>
      </c>
      <c r="J22" s="2396">
        <f t="shared" si="18"/>
        <v>0</v>
      </c>
      <c r="K22" s="2396">
        <f t="shared" si="18"/>
        <v>0</v>
      </c>
      <c r="L22" s="2396">
        <f t="shared" si="18"/>
        <v>0</v>
      </c>
      <c r="M22" s="2396">
        <f>+M527</f>
        <v>0</v>
      </c>
      <c r="N22" s="2396">
        <f t="shared" si="18"/>
        <v>0</v>
      </c>
      <c r="O22" s="2396">
        <f t="shared" si="18"/>
        <v>0</v>
      </c>
      <c r="P22" s="2396">
        <f t="shared" si="18"/>
        <v>0</v>
      </c>
      <c r="Q22" s="2396">
        <f t="shared" ref="Q22:W22" si="19">+Q527</f>
        <v>0</v>
      </c>
      <c r="R22" s="2396">
        <f t="shared" si="19"/>
        <v>0</v>
      </c>
      <c r="S22" s="2396">
        <f t="shared" si="19"/>
        <v>0</v>
      </c>
      <c r="T22" s="2396">
        <f t="shared" si="19"/>
        <v>0</v>
      </c>
      <c r="U22" s="2396">
        <f t="shared" si="19"/>
        <v>0</v>
      </c>
      <c r="V22" s="2396">
        <f t="shared" si="19"/>
        <v>0</v>
      </c>
      <c r="W22" s="2396">
        <f t="shared" si="19"/>
        <v>0</v>
      </c>
      <c r="X22" s="2397">
        <f>SUM(P22:T22)</f>
        <v>0</v>
      </c>
      <c r="Y22" s="1894"/>
      <c r="Z22" s="864"/>
      <c r="AA22" s="864"/>
    </row>
    <row r="23" spans="1:29" ht="13.5" customHeight="1">
      <c r="A23" s="3684"/>
      <c r="B23" s="1320" t="s">
        <v>33</v>
      </c>
      <c r="C23" s="1881"/>
      <c r="D23" s="1744">
        <f>+D24+D30</f>
        <v>694302163</v>
      </c>
      <c r="E23" s="1744">
        <f t="shared" ref="E23:P23" si="20">+E24+E30</f>
        <v>0</v>
      </c>
      <c r="F23" s="1744">
        <f t="shared" si="20"/>
        <v>0</v>
      </c>
      <c r="G23" s="1744">
        <f t="shared" si="20"/>
        <v>0</v>
      </c>
      <c r="H23" s="1744">
        <f t="shared" si="20"/>
        <v>0</v>
      </c>
      <c r="I23" s="1744">
        <f t="shared" si="20"/>
        <v>0</v>
      </c>
      <c r="J23" s="1744">
        <f>+J24+J30</f>
        <v>7723800</v>
      </c>
      <c r="K23" s="1744">
        <f t="shared" si="20"/>
        <v>24133662</v>
      </c>
      <c r="L23" s="1744">
        <f t="shared" si="20"/>
        <v>12186155</v>
      </c>
      <c r="M23" s="1744">
        <f>+M24+M30</f>
        <v>166462838</v>
      </c>
      <c r="N23" s="1744">
        <f t="shared" si="20"/>
        <v>70009839</v>
      </c>
      <c r="O23" s="1744">
        <f t="shared" si="20"/>
        <v>52409382</v>
      </c>
      <c r="P23" s="1744">
        <f t="shared" si="20"/>
        <v>34794961</v>
      </c>
      <c r="Q23" s="1744">
        <f t="shared" ref="Q23:W23" si="21">+Q24+Q30</f>
        <v>266984143</v>
      </c>
      <c r="R23" s="1744">
        <f t="shared" si="21"/>
        <v>204830473</v>
      </c>
      <c r="S23" s="1744">
        <f t="shared" si="21"/>
        <v>6449496</v>
      </c>
      <c r="T23" s="1744">
        <f t="shared" si="21"/>
        <v>14780252</v>
      </c>
      <c r="U23" s="1744">
        <f t="shared" si="21"/>
        <v>0</v>
      </c>
      <c r="V23" s="1744">
        <f t="shared" si="21"/>
        <v>0</v>
      </c>
      <c r="W23" s="1744">
        <f t="shared" si="21"/>
        <v>0</v>
      </c>
      <c r="X23" s="3689" t="s">
        <v>34</v>
      </c>
      <c r="Y23" s="1894"/>
      <c r="Z23" s="864">
        <f>D90+D106+D119+D152+D163+D174+D184+D195+D232+D246+D260+D274+D286+D298+D310+D322+D382+D394+D406+D419+D453+D463+D474+D483+D492+D501+D516+D544+D559</f>
        <v>600802835</v>
      </c>
      <c r="AC23" s="2018"/>
    </row>
    <row r="24" spans="1:29" ht="12" customHeight="1">
      <c r="A24" s="3684"/>
      <c r="B24" s="2404" t="s">
        <v>35</v>
      </c>
      <c r="C24" s="2405"/>
      <c r="D24" s="2406">
        <f>+D25+D26+D27+D28+D29</f>
        <v>67889376</v>
      </c>
      <c r="E24" s="2406">
        <f t="shared" ref="E24:P24" si="22">+E25+E26+E27+E28+E29</f>
        <v>0</v>
      </c>
      <c r="F24" s="2406">
        <f t="shared" si="22"/>
        <v>0</v>
      </c>
      <c r="G24" s="2406">
        <f t="shared" si="22"/>
        <v>0</v>
      </c>
      <c r="H24" s="2406">
        <f t="shared" si="22"/>
        <v>0</v>
      </c>
      <c r="I24" s="2406">
        <f t="shared" si="22"/>
        <v>0</v>
      </c>
      <c r="J24" s="2406">
        <f t="shared" si="22"/>
        <v>5068526</v>
      </c>
      <c r="K24" s="2406">
        <f t="shared" si="22"/>
        <v>7837801</v>
      </c>
      <c r="L24" s="2406">
        <f>+L25+L26+L27+L28+L29</f>
        <v>2448153</v>
      </c>
      <c r="M24" s="2406">
        <f>+M25+M26+M27+M28+M29</f>
        <v>31461521</v>
      </c>
      <c r="N24" s="2406">
        <f t="shared" si="22"/>
        <v>9160017</v>
      </c>
      <c r="O24" s="2406">
        <f t="shared" si="22"/>
        <v>6947024</v>
      </c>
      <c r="P24" s="2406">
        <f t="shared" si="22"/>
        <v>9419285</v>
      </c>
      <c r="Q24" s="2406">
        <f t="shared" ref="Q24:W24" si="23">+Q25+Q26+Q27+Q28+Q29</f>
        <v>13815128</v>
      </c>
      <c r="R24" s="2406">
        <f t="shared" si="23"/>
        <v>13193442</v>
      </c>
      <c r="S24" s="2406">
        <f t="shared" si="23"/>
        <v>0</v>
      </c>
      <c r="T24" s="2406">
        <f t="shared" si="23"/>
        <v>0</v>
      </c>
      <c r="U24" s="2406">
        <f t="shared" si="23"/>
        <v>0</v>
      </c>
      <c r="V24" s="2406">
        <f t="shared" si="23"/>
        <v>0</v>
      </c>
      <c r="W24" s="2406">
        <f t="shared" si="23"/>
        <v>0</v>
      </c>
      <c r="X24" s="3690"/>
      <c r="Y24" s="1894"/>
    </row>
    <row r="25" spans="1:29" hidden="1">
      <c r="A25" s="3684"/>
      <c r="B25" s="2398" t="s">
        <v>92</v>
      </c>
      <c r="C25" s="2029"/>
      <c r="D25" s="2407">
        <f>+D530</f>
        <v>0</v>
      </c>
      <c r="E25" s="2407">
        <f t="shared" ref="E25:P25" si="24">+E530</f>
        <v>0</v>
      </c>
      <c r="F25" s="2407">
        <f t="shared" si="24"/>
        <v>0</v>
      </c>
      <c r="G25" s="2407">
        <f t="shared" si="24"/>
        <v>0</v>
      </c>
      <c r="H25" s="2407">
        <f t="shared" si="24"/>
        <v>0</v>
      </c>
      <c r="I25" s="2407">
        <f t="shared" si="24"/>
        <v>0</v>
      </c>
      <c r="J25" s="2407">
        <f t="shared" si="24"/>
        <v>0</v>
      </c>
      <c r="K25" s="2407">
        <f t="shared" si="24"/>
        <v>0</v>
      </c>
      <c r="L25" s="2407">
        <f t="shared" si="24"/>
        <v>0</v>
      </c>
      <c r="M25" s="2407">
        <f>+M530</f>
        <v>0</v>
      </c>
      <c r="N25" s="2407">
        <f t="shared" si="24"/>
        <v>0</v>
      </c>
      <c r="O25" s="2407">
        <f t="shared" si="24"/>
        <v>0</v>
      </c>
      <c r="P25" s="2407">
        <f t="shared" si="24"/>
        <v>0</v>
      </c>
      <c r="Q25" s="2407">
        <f t="shared" ref="Q25:W25" si="25">+Q530</f>
        <v>0</v>
      </c>
      <c r="R25" s="2407">
        <f t="shared" si="25"/>
        <v>0</v>
      </c>
      <c r="S25" s="2407">
        <f t="shared" si="25"/>
        <v>0</v>
      </c>
      <c r="T25" s="2407">
        <f t="shared" si="25"/>
        <v>0</v>
      </c>
      <c r="U25" s="2407">
        <f t="shared" si="25"/>
        <v>0</v>
      </c>
      <c r="V25" s="2407">
        <f t="shared" si="25"/>
        <v>0</v>
      </c>
      <c r="W25" s="2407">
        <f t="shared" si="25"/>
        <v>0</v>
      </c>
      <c r="X25" s="3690"/>
      <c r="Y25" s="2025"/>
    </row>
    <row r="26" spans="1:29">
      <c r="A26" s="3684"/>
      <c r="B26" s="27" t="s">
        <v>26</v>
      </c>
      <c r="C26" s="28"/>
      <c r="D26" s="2396">
        <f t="shared" ref="D26:W26" si="26">+D46+D429</f>
        <v>20524695</v>
      </c>
      <c r="E26" s="2396">
        <f t="shared" si="26"/>
        <v>0</v>
      </c>
      <c r="F26" s="2396">
        <f t="shared" si="26"/>
        <v>0</v>
      </c>
      <c r="G26" s="2396">
        <f t="shared" si="26"/>
        <v>0</v>
      </c>
      <c r="H26" s="2396">
        <f t="shared" si="26"/>
        <v>0</v>
      </c>
      <c r="I26" s="2396">
        <f t="shared" si="26"/>
        <v>0</v>
      </c>
      <c r="J26" s="2396">
        <f t="shared" si="26"/>
        <v>2000000</v>
      </c>
      <c r="K26" s="2396">
        <f t="shared" si="26"/>
        <v>3522878</v>
      </c>
      <c r="L26" s="2396">
        <f t="shared" si="26"/>
        <v>2023989</v>
      </c>
      <c r="M26" s="2396">
        <f t="shared" si="26"/>
        <v>9354695</v>
      </c>
      <c r="N26" s="2396">
        <f t="shared" si="26"/>
        <v>1807828</v>
      </c>
      <c r="O26" s="2396">
        <f t="shared" si="26"/>
        <v>0</v>
      </c>
      <c r="P26" s="2396">
        <f t="shared" si="26"/>
        <v>1000000</v>
      </c>
      <c r="Q26" s="2396">
        <f t="shared" si="26"/>
        <v>5395843</v>
      </c>
      <c r="R26" s="2396">
        <f t="shared" si="26"/>
        <v>4774157</v>
      </c>
      <c r="S26" s="2396">
        <f t="shared" si="26"/>
        <v>0</v>
      </c>
      <c r="T26" s="2396">
        <f t="shared" si="26"/>
        <v>0</v>
      </c>
      <c r="U26" s="2396">
        <f t="shared" si="26"/>
        <v>0</v>
      </c>
      <c r="V26" s="2396">
        <f t="shared" si="26"/>
        <v>0</v>
      </c>
      <c r="W26" s="2396">
        <f t="shared" si="26"/>
        <v>0</v>
      </c>
      <c r="X26" s="3690"/>
      <c r="Y26" s="2025"/>
      <c r="Z26" s="864">
        <f>D26-D16</f>
        <v>0</v>
      </c>
    </row>
    <row r="27" spans="1:29" ht="12" customHeight="1">
      <c r="A27" s="3684"/>
      <c r="B27" s="27" t="s">
        <v>66</v>
      </c>
      <c r="C27" s="28"/>
      <c r="D27" s="2396">
        <f t="shared" ref="D27:W27" si="27">+D531+D49</f>
        <v>35985000</v>
      </c>
      <c r="E27" s="2396">
        <f t="shared" si="27"/>
        <v>0</v>
      </c>
      <c r="F27" s="2396">
        <f t="shared" si="27"/>
        <v>0</v>
      </c>
      <c r="G27" s="2396">
        <f t="shared" si="27"/>
        <v>0</v>
      </c>
      <c r="H27" s="2396">
        <f t="shared" si="27"/>
        <v>0</v>
      </c>
      <c r="I27" s="2396">
        <f t="shared" si="27"/>
        <v>0</v>
      </c>
      <c r="J27" s="2396">
        <f t="shared" si="27"/>
        <v>0</v>
      </c>
      <c r="K27" s="2396">
        <f t="shared" si="27"/>
        <v>0</v>
      </c>
      <c r="L27" s="2396">
        <f t="shared" si="27"/>
        <v>0</v>
      </c>
      <c r="M27" s="2396">
        <f t="shared" si="27"/>
        <v>10727145</v>
      </c>
      <c r="N27" s="2396">
        <f t="shared" si="27"/>
        <v>4477145</v>
      </c>
      <c r="O27" s="2396">
        <f t="shared" si="27"/>
        <v>6250000</v>
      </c>
      <c r="P27" s="2396">
        <f t="shared" si="27"/>
        <v>8419285</v>
      </c>
      <c r="Q27" s="2396">
        <f t="shared" si="27"/>
        <v>8419285</v>
      </c>
      <c r="R27" s="2396">
        <f t="shared" si="27"/>
        <v>8419285</v>
      </c>
      <c r="S27" s="2396">
        <f t="shared" si="27"/>
        <v>0</v>
      </c>
      <c r="T27" s="2396">
        <f t="shared" si="27"/>
        <v>0</v>
      </c>
      <c r="U27" s="2396">
        <f t="shared" si="27"/>
        <v>0</v>
      </c>
      <c r="V27" s="2396">
        <f t="shared" si="27"/>
        <v>0</v>
      </c>
      <c r="W27" s="2396">
        <f t="shared" si="27"/>
        <v>0</v>
      </c>
      <c r="X27" s="3690"/>
      <c r="Y27" s="2025"/>
      <c r="Z27" s="864">
        <f>D17-D27</f>
        <v>0</v>
      </c>
    </row>
    <row r="28" spans="1:29" ht="12" customHeight="1">
      <c r="A28" s="3684"/>
      <c r="B28" s="205" t="s">
        <v>28</v>
      </c>
      <c r="C28" s="29"/>
      <c r="D28" s="2396">
        <f>+D47</f>
        <v>11379681</v>
      </c>
      <c r="E28" s="2396">
        <f t="shared" ref="E28:P29" si="28">+E47</f>
        <v>0</v>
      </c>
      <c r="F28" s="2396">
        <f t="shared" si="28"/>
        <v>0</v>
      </c>
      <c r="G28" s="2396">
        <f t="shared" si="28"/>
        <v>0</v>
      </c>
      <c r="H28" s="2396">
        <f t="shared" si="28"/>
        <v>0</v>
      </c>
      <c r="I28" s="2396">
        <f t="shared" si="28"/>
        <v>0</v>
      </c>
      <c r="J28" s="2396">
        <f t="shared" si="28"/>
        <v>3068526</v>
      </c>
      <c r="K28" s="2396">
        <f t="shared" si="28"/>
        <v>4314923</v>
      </c>
      <c r="L28" s="2396">
        <f t="shared" si="28"/>
        <v>424164</v>
      </c>
      <c r="M28" s="2396">
        <f>+M47</f>
        <v>11379681</v>
      </c>
      <c r="N28" s="2396">
        <f t="shared" si="28"/>
        <v>2875044</v>
      </c>
      <c r="O28" s="2396">
        <f t="shared" si="28"/>
        <v>697024</v>
      </c>
      <c r="P28" s="2396">
        <f t="shared" si="28"/>
        <v>0</v>
      </c>
      <c r="Q28" s="2396">
        <f t="shared" ref="Q28:W29" si="29">+Q47</f>
        <v>0</v>
      </c>
      <c r="R28" s="2396">
        <f t="shared" si="29"/>
        <v>0</v>
      </c>
      <c r="S28" s="2396">
        <f t="shared" si="29"/>
        <v>0</v>
      </c>
      <c r="T28" s="2396">
        <f t="shared" si="29"/>
        <v>0</v>
      </c>
      <c r="U28" s="2396">
        <f t="shared" si="29"/>
        <v>0</v>
      </c>
      <c r="V28" s="2396">
        <f t="shared" si="29"/>
        <v>0</v>
      </c>
      <c r="W28" s="2396">
        <f t="shared" si="29"/>
        <v>0</v>
      </c>
      <c r="X28" s="3690"/>
      <c r="Y28" s="2025"/>
      <c r="Z28" s="864">
        <f>D18-D28</f>
        <v>0</v>
      </c>
    </row>
    <row r="29" spans="1:29" ht="12" hidden="1" customHeight="1">
      <c r="A29" s="3684"/>
      <c r="B29" s="205" t="s">
        <v>94</v>
      </c>
      <c r="C29" s="29"/>
      <c r="D29" s="2396">
        <f>+D48</f>
        <v>0</v>
      </c>
      <c r="E29" s="2396">
        <f t="shared" si="28"/>
        <v>0</v>
      </c>
      <c r="F29" s="2396">
        <f t="shared" si="28"/>
        <v>0</v>
      </c>
      <c r="G29" s="2396">
        <f t="shared" si="28"/>
        <v>0</v>
      </c>
      <c r="H29" s="2396">
        <f t="shared" si="28"/>
        <v>0</v>
      </c>
      <c r="I29" s="2396">
        <f t="shared" si="28"/>
        <v>0</v>
      </c>
      <c r="J29" s="2396">
        <f t="shared" si="28"/>
        <v>0</v>
      </c>
      <c r="K29" s="2396">
        <f t="shared" si="28"/>
        <v>0</v>
      </c>
      <c r="L29" s="2396">
        <f t="shared" si="28"/>
        <v>0</v>
      </c>
      <c r="M29" s="2396">
        <f>+M48</f>
        <v>0</v>
      </c>
      <c r="N29" s="2396">
        <f t="shared" si="28"/>
        <v>0</v>
      </c>
      <c r="O29" s="2396">
        <f t="shared" si="28"/>
        <v>0</v>
      </c>
      <c r="P29" s="2396">
        <f t="shared" si="28"/>
        <v>0</v>
      </c>
      <c r="Q29" s="2396">
        <f t="shared" si="29"/>
        <v>0</v>
      </c>
      <c r="R29" s="2396">
        <f t="shared" si="29"/>
        <v>0</v>
      </c>
      <c r="S29" s="2396">
        <f t="shared" si="29"/>
        <v>0</v>
      </c>
      <c r="T29" s="2396">
        <f t="shared" si="29"/>
        <v>0</v>
      </c>
      <c r="U29" s="2396">
        <f t="shared" si="29"/>
        <v>0</v>
      </c>
      <c r="V29" s="2396">
        <f t="shared" si="29"/>
        <v>0</v>
      </c>
      <c r="W29" s="2396">
        <f t="shared" si="29"/>
        <v>0</v>
      </c>
      <c r="X29" s="3690"/>
      <c r="Y29" s="2025"/>
    </row>
    <row r="30" spans="1:29" ht="12.75" customHeight="1">
      <c r="A30" s="3684"/>
      <c r="B30" s="2408" t="s">
        <v>29</v>
      </c>
      <c r="C30" s="2409"/>
      <c r="D30" s="2406">
        <f>+D31+D32+D33+D34</f>
        <v>626412787</v>
      </c>
      <c r="E30" s="2406">
        <f t="shared" ref="E30:P30" si="30">+E31+E32+E33+E34</f>
        <v>0</v>
      </c>
      <c r="F30" s="2406">
        <f t="shared" si="30"/>
        <v>0</v>
      </c>
      <c r="G30" s="2406">
        <f t="shared" si="30"/>
        <v>0</v>
      </c>
      <c r="H30" s="2406">
        <f t="shared" si="30"/>
        <v>0</v>
      </c>
      <c r="I30" s="2406">
        <f t="shared" si="30"/>
        <v>0</v>
      </c>
      <c r="J30" s="2406">
        <f t="shared" si="30"/>
        <v>2655274</v>
      </c>
      <c r="K30" s="2406">
        <f t="shared" si="30"/>
        <v>16295861</v>
      </c>
      <c r="L30" s="2406">
        <f t="shared" si="30"/>
        <v>9738002</v>
      </c>
      <c r="M30" s="2406">
        <f>+M31+M32+M33+M34</f>
        <v>135001317</v>
      </c>
      <c r="N30" s="2406">
        <f>+N31+N32+N33+N34</f>
        <v>60849822</v>
      </c>
      <c r="O30" s="2406">
        <f t="shared" si="30"/>
        <v>45462358</v>
      </c>
      <c r="P30" s="2406">
        <f t="shared" si="30"/>
        <v>25375676</v>
      </c>
      <c r="Q30" s="2406">
        <f t="shared" ref="Q30:W30" si="31">+Q31+Q32+Q33+Q34</f>
        <v>253169015</v>
      </c>
      <c r="R30" s="2406">
        <f t="shared" si="31"/>
        <v>191637031</v>
      </c>
      <c r="S30" s="2406">
        <f t="shared" si="31"/>
        <v>6449496</v>
      </c>
      <c r="T30" s="2406">
        <f t="shared" si="31"/>
        <v>14780252</v>
      </c>
      <c r="U30" s="2406">
        <f t="shared" si="31"/>
        <v>0</v>
      </c>
      <c r="V30" s="2406">
        <f t="shared" si="31"/>
        <v>0</v>
      </c>
      <c r="W30" s="2406">
        <f t="shared" si="31"/>
        <v>0</v>
      </c>
      <c r="X30" s="3690"/>
      <c r="Y30" s="2025"/>
      <c r="Z30" s="864">
        <f>D32-D20</f>
        <v>0</v>
      </c>
    </row>
    <row r="31" spans="1:29" ht="3" hidden="1" customHeight="1">
      <c r="A31" s="3684"/>
      <c r="B31" s="2410" t="s">
        <v>28</v>
      </c>
      <c r="C31" s="2411"/>
      <c r="D31" s="2396">
        <f>+D51</f>
        <v>0</v>
      </c>
      <c r="E31" s="2396">
        <f t="shared" ref="E31:R31" si="32">+E51</f>
        <v>0</v>
      </c>
      <c r="F31" s="2396">
        <f t="shared" si="32"/>
        <v>0</v>
      </c>
      <c r="G31" s="2396">
        <f t="shared" si="32"/>
        <v>0</v>
      </c>
      <c r="H31" s="2396">
        <f t="shared" si="32"/>
        <v>0</v>
      </c>
      <c r="I31" s="2396">
        <f t="shared" si="32"/>
        <v>0</v>
      </c>
      <c r="J31" s="2396">
        <f t="shared" si="32"/>
        <v>0</v>
      </c>
      <c r="K31" s="2396">
        <f t="shared" si="32"/>
        <v>0</v>
      </c>
      <c r="L31" s="2396">
        <f t="shared" si="32"/>
        <v>0</v>
      </c>
      <c r="M31" s="2396">
        <f>+M51</f>
        <v>0</v>
      </c>
      <c r="N31" s="2396">
        <f t="shared" si="32"/>
        <v>0</v>
      </c>
      <c r="O31" s="2396">
        <f t="shared" si="32"/>
        <v>0</v>
      </c>
      <c r="P31" s="2396">
        <f t="shared" si="32"/>
        <v>0</v>
      </c>
      <c r="Q31" s="2396">
        <f t="shared" si="32"/>
        <v>0</v>
      </c>
      <c r="R31" s="2396">
        <f t="shared" si="32"/>
        <v>0</v>
      </c>
      <c r="S31" s="2396">
        <f>+S51</f>
        <v>0</v>
      </c>
      <c r="T31" s="2396">
        <f>+T51</f>
        <v>0</v>
      </c>
      <c r="U31" s="2396">
        <f>+U51</f>
        <v>0</v>
      </c>
      <c r="V31" s="2396">
        <f>+V51</f>
        <v>0</v>
      </c>
      <c r="W31" s="2396">
        <f>+W51</f>
        <v>0</v>
      </c>
      <c r="X31" s="3690"/>
      <c r="Y31" s="2025"/>
    </row>
    <row r="32" spans="1:29" ht="11.25" customHeight="1">
      <c r="A32" s="3684"/>
      <c r="B32" s="2401" t="s">
        <v>31</v>
      </c>
      <c r="C32" s="2399"/>
      <c r="D32" s="2412">
        <f t="shared" ref="D32:Q32" si="33">+D436+D570</f>
        <v>32901103</v>
      </c>
      <c r="E32" s="2412">
        <f t="shared" si="33"/>
        <v>0</v>
      </c>
      <c r="F32" s="2412">
        <f t="shared" si="33"/>
        <v>0</v>
      </c>
      <c r="G32" s="2412">
        <f t="shared" si="33"/>
        <v>0</v>
      </c>
      <c r="H32" s="2412">
        <f t="shared" si="33"/>
        <v>0</v>
      </c>
      <c r="I32" s="2412">
        <f t="shared" si="33"/>
        <v>0</v>
      </c>
      <c r="J32" s="2412">
        <f t="shared" si="33"/>
        <v>0</v>
      </c>
      <c r="K32" s="2412">
        <f t="shared" si="33"/>
        <v>0</v>
      </c>
      <c r="L32" s="2412">
        <f t="shared" si="33"/>
        <v>0</v>
      </c>
      <c r="M32" s="2412">
        <f t="shared" si="33"/>
        <v>0</v>
      </c>
      <c r="N32" s="2412">
        <f t="shared" si="33"/>
        <v>0</v>
      </c>
      <c r="O32" s="2412">
        <f t="shared" si="33"/>
        <v>0</v>
      </c>
      <c r="P32" s="2412">
        <f t="shared" si="33"/>
        <v>0</v>
      </c>
      <c r="Q32" s="2412">
        <f t="shared" si="33"/>
        <v>13814052</v>
      </c>
      <c r="R32" s="2412">
        <f t="shared" ref="R32:W32" si="34">+R436</f>
        <v>9621303</v>
      </c>
      <c r="S32" s="2412">
        <f t="shared" si="34"/>
        <v>6449496</v>
      </c>
      <c r="T32" s="2412">
        <f t="shared" si="34"/>
        <v>3016252</v>
      </c>
      <c r="U32" s="2412">
        <f t="shared" si="34"/>
        <v>0</v>
      </c>
      <c r="V32" s="2412">
        <f t="shared" si="34"/>
        <v>0</v>
      </c>
      <c r="W32" s="2412">
        <f t="shared" si="34"/>
        <v>0</v>
      </c>
      <c r="X32" s="3690"/>
      <c r="Y32" s="2025"/>
      <c r="Z32" s="864">
        <f>D33-D21</f>
        <v>0</v>
      </c>
    </row>
    <row r="33" spans="1:27">
      <c r="A33" s="3684"/>
      <c r="B33" s="2401" t="s">
        <v>32</v>
      </c>
      <c r="C33" s="2411"/>
      <c r="D33" s="2412">
        <f t="shared" ref="D33:W33" si="35">+D52+D533</f>
        <v>593511684</v>
      </c>
      <c r="E33" s="2412">
        <f t="shared" si="35"/>
        <v>0</v>
      </c>
      <c r="F33" s="2412">
        <f t="shared" si="35"/>
        <v>0</v>
      </c>
      <c r="G33" s="2412">
        <f t="shared" si="35"/>
        <v>0</v>
      </c>
      <c r="H33" s="2412">
        <f t="shared" si="35"/>
        <v>0</v>
      </c>
      <c r="I33" s="2412">
        <f t="shared" si="35"/>
        <v>0</v>
      </c>
      <c r="J33" s="2412">
        <f t="shared" si="35"/>
        <v>2655274</v>
      </c>
      <c r="K33" s="2412">
        <f t="shared" si="35"/>
        <v>16295861</v>
      </c>
      <c r="L33" s="2412">
        <f t="shared" si="35"/>
        <v>9738002</v>
      </c>
      <c r="M33" s="2412">
        <f t="shared" si="35"/>
        <v>135001317</v>
      </c>
      <c r="N33" s="2412">
        <f t="shared" si="35"/>
        <v>60849822</v>
      </c>
      <c r="O33" s="2412">
        <f t="shared" si="35"/>
        <v>45462358</v>
      </c>
      <c r="P33" s="2412">
        <f t="shared" si="35"/>
        <v>25375676</v>
      </c>
      <c r="Q33" s="2412">
        <f t="shared" si="35"/>
        <v>239354963</v>
      </c>
      <c r="R33" s="2412">
        <f t="shared" si="35"/>
        <v>182015728</v>
      </c>
      <c r="S33" s="2412">
        <f t="shared" si="35"/>
        <v>0</v>
      </c>
      <c r="T33" s="2412">
        <f t="shared" si="35"/>
        <v>11764000</v>
      </c>
      <c r="U33" s="2412">
        <f t="shared" si="35"/>
        <v>0</v>
      </c>
      <c r="V33" s="2412">
        <f t="shared" si="35"/>
        <v>0</v>
      </c>
      <c r="W33" s="2412">
        <f t="shared" si="35"/>
        <v>0</v>
      </c>
      <c r="X33" s="3690"/>
      <c r="Y33" s="2025"/>
    </row>
    <row r="34" spans="1:27" ht="13.5" hidden="1" thickBot="1">
      <c r="A34" s="3685"/>
      <c r="B34" s="30" t="s">
        <v>93</v>
      </c>
      <c r="C34" s="31"/>
      <c r="D34" s="2031">
        <f>+D534</f>
        <v>0</v>
      </c>
      <c r="E34" s="2031">
        <f t="shared" ref="E34:P34" si="36">+E534</f>
        <v>0</v>
      </c>
      <c r="F34" s="2031">
        <f t="shared" si="36"/>
        <v>0</v>
      </c>
      <c r="G34" s="2031">
        <f t="shared" si="36"/>
        <v>0</v>
      </c>
      <c r="H34" s="2031">
        <f t="shared" si="36"/>
        <v>0</v>
      </c>
      <c r="I34" s="2031">
        <f t="shared" si="36"/>
        <v>0</v>
      </c>
      <c r="J34" s="2031">
        <f t="shared" si="36"/>
        <v>0</v>
      </c>
      <c r="K34" s="2031">
        <f t="shared" si="36"/>
        <v>0</v>
      </c>
      <c r="L34" s="2031">
        <f t="shared" si="36"/>
        <v>0</v>
      </c>
      <c r="M34" s="2031">
        <f>+M534</f>
        <v>0</v>
      </c>
      <c r="N34" s="2031">
        <f t="shared" si="36"/>
        <v>0</v>
      </c>
      <c r="O34" s="2031">
        <f t="shared" si="36"/>
        <v>0</v>
      </c>
      <c r="P34" s="2031">
        <f t="shared" si="36"/>
        <v>0</v>
      </c>
      <c r="Q34" s="2031">
        <f t="shared" ref="Q34:W34" si="37">+Q534</f>
        <v>0</v>
      </c>
      <c r="R34" s="2031">
        <f t="shared" si="37"/>
        <v>0</v>
      </c>
      <c r="S34" s="2031">
        <f t="shared" si="37"/>
        <v>0</v>
      </c>
      <c r="T34" s="2031">
        <f t="shared" si="37"/>
        <v>0</v>
      </c>
      <c r="U34" s="2031">
        <f t="shared" si="37"/>
        <v>0</v>
      </c>
      <c r="V34" s="2031">
        <f t="shared" si="37"/>
        <v>0</v>
      </c>
      <c r="W34" s="2031">
        <f t="shared" si="37"/>
        <v>0</v>
      </c>
      <c r="X34" s="3691"/>
      <c r="Y34" s="2025"/>
    </row>
    <row r="35" spans="1:27" ht="29.25" customHeight="1">
      <c r="A35" s="2032" t="s">
        <v>285</v>
      </c>
      <c r="B35" s="3237" t="s">
        <v>312</v>
      </c>
      <c r="C35" s="2033"/>
      <c r="D35" s="32"/>
      <c r="E35" s="33"/>
      <c r="F35" s="33"/>
      <c r="G35" s="33"/>
      <c r="H35" s="34"/>
      <c r="I35" s="33"/>
      <c r="J35" s="35"/>
      <c r="K35" s="35"/>
      <c r="L35" s="35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7"/>
      <c r="Y35" s="2034"/>
    </row>
    <row r="36" spans="1:27" ht="13.5" customHeight="1">
      <c r="A36" s="2032"/>
      <c r="B36" s="2344" t="s">
        <v>21</v>
      </c>
      <c r="C36" s="1881"/>
      <c r="D36" s="2274">
        <f>+D37+D42</f>
        <v>720596070</v>
      </c>
      <c r="E36" s="2274">
        <f t="shared" ref="E36:P36" si="38">+E37+E42</f>
        <v>332845</v>
      </c>
      <c r="F36" s="2274">
        <f t="shared" si="38"/>
        <v>46426</v>
      </c>
      <c r="G36" s="2274">
        <f t="shared" si="38"/>
        <v>105437</v>
      </c>
      <c r="H36" s="2274">
        <f t="shared" si="38"/>
        <v>8829</v>
      </c>
      <c r="I36" s="2274">
        <f t="shared" si="38"/>
        <v>1480911</v>
      </c>
      <c r="J36" s="2274">
        <f t="shared" si="38"/>
        <v>15411369</v>
      </c>
      <c r="K36" s="2274">
        <f t="shared" si="38"/>
        <v>23448054</v>
      </c>
      <c r="L36" s="2274">
        <f t="shared" si="38"/>
        <v>40871009</v>
      </c>
      <c r="M36" s="2274">
        <f>+M37+M42</f>
        <v>174432296</v>
      </c>
      <c r="N36" s="2274">
        <f t="shared" si="38"/>
        <v>53845119</v>
      </c>
      <c r="O36" s="2274">
        <f t="shared" si="38"/>
        <v>39042989</v>
      </c>
      <c r="P36" s="2274">
        <f t="shared" si="38"/>
        <v>31524223</v>
      </c>
      <c r="Q36" s="2274">
        <f t="shared" ref="Q36:X36" si="39">+Q37+Q42</f>
        <v>277580736</v>
      </c>
      <c r="R36" s="2274">
        <f t="shared" si="39"/>
        <v>223218815</v>
      </c>
      <c r="S36" s="2274">
        <f t="shared" si="39"/>
        <v>0</v>
      </c>
      <c r="T36" s="2274">
        <f t="shared" si="39"/>
        <v>13840000</v>
      </c>
      <c r="U36" s="2274">
        <f t="shared" si="39"/>
        <v>0</v>
      </c>
      <c r="V36" s="2274">
        <f t="shared" si="39"/>
        <v>0</v>
      </c>
      <c r="W36" s="2274">
        <f t="shared" si="39"/>
        <v>0</v>
      </c>
      <c r="X36" s="2258">
        <f t="shared" si="39"/>
        <v>514639551</v>
      </c>
      <c r="Y36" s="2034"/>
      <c r="Z36" s="864">
        <f>+O36+P36</f>
        <v>70567212</v>
      </c>
    </row>
    <row r="37" spans="1:27" s="2021" customFormat="1" ht="13.5" customHeight="1">
      <c r="A37" s="2032"/>
      <c r="B37" s="2413" t="s">
        <v>35</v>
      </c>
      <c r="C37" s="2414"/>
      <c r="D37" s="2351">
        <f>+D38+D39+D40+D41</f>
        <v>127084386</v>
      </c>
      <c r="E37" s="2351">
        <f t="shared" ref="E37:W37" si="40">+E38+E39+E40+E41</f>
        <v>208480</v>
      </c>
      <c r="F37" s="2351">
        <f t="shared" si="40"/>
        <v>46426</v>
      </c>
      <c r="G37" s="2351">
        <f t="shared" si="40"/>
        <v>105437</v>
      </c>
      <c r="H37" s="2351">
        <f t="shared" si="40"/>
        <v>83</v>
      </c>
      <c r="I37" s="2351">
        <f t="shared" si="40"/>
        <v>641462</v>
      </c>
      <c r="J37" s="2351">
        <f t="shared" si="40"/>
        <v>8413422</v>
      </c>
      <c r="K37" s="2351">
        <f t="shared" si="40"/>
        <v>8787602</v>
      </c>
      <c r="L37" s="2351">
        <f t="shared" si="40"/>
        <v>3888577</v>
      </c>
      <c r="M37" s="2351">
        <f t="shared" si="40"/>
        <v>34599960</v>
      </c>
      <c r="N37" s="2351">
        <f t="shared" si="40"/>
        <v>10174079</v>
      </c>
      <c r="O37" s="2351">
        <f t="shared" si="40"/>
        <v>2486338</v>
      </c>
      <c r="P37" s="2351">
        <f t="shared" si="40"/>
        <v>1759299</v>
      </c>
      <c r="Q37" s="2351">
        <f t="shared" si="40"/>
        <v>46446040</v>
      </c>
      <c r="R37" s="2351">
        <f t="shared" si="40"/>
        <v>42203087</v>
      </c>
      <c r="S37" s="2351">
        <f t="shared" si="40"/>
        <v>0</v>
      </c>
      <c r="T37" s="2351">
        <f t="shared" si="40"/>
        <v>2076000</v>
      </c>
      <c r="U37" s="2351">
        <f t="shared" si="40"/>
        <v>0</v>
      </c>
      <c r="V37" s="2351">
        <f t="shared" si="40"/>
        <v>0</v>
      </c>
      <c r="W37" s="2351">
        <f t="shared" si="40"/>
        <v>0</v>
      </c>
      <c r="X37" s="2415">
        <f>+X38+X39+X40+X41</f>
        <v>90725127</v>
      </c>
      <c r="Y37" s="2034"/>
      <c r="AA37" s="2018"/>
    </row>
    <row r="38" spans="1:27" ht="13.5" customHeight="1">
      <c r="A38" s="2032"/>
      <c r="B38" s="2416" t="s">
        <v>23</v>
      </c>
      <c r="C38" s="2417"/>
      <c r="D38" s="2352">
        <f>+D402+D270+D414+D378+D127+D84+D136+D390+D148+D160++D171+D254+D101+D180+D115+D192+D201+D242++D56+D227+D70+D217+D282+D294+D306+D318+D330+D342+D354+D366</f>
        <v>59252013</v>
      </c>
      <c r="E38" s="2352">
        <f t="shared" ref="E38:W38" si="41">+E402+E270+E414+E378+E127+E84+E136+E390+E148+E160++E171+E254+E101+E180+E115+E192+E201+E242++E56+E227+E70+E217+E282+E294+E306+E318+E330+E342+E354+E366</f>
        <v>208397</v>
      </c>
      <c r="F38" s="2352">
        <f t="shared" si="41"/>
        <v>46426</v>
      </c>
      <c r="G38" s="2352">
        <f t="shared" si="41"/>
        <v>105437</v>
      </c>
      <c r="H38" s="2352">
        <f t="shared" si="41"/>
        <v>0</v>
      </c>
      <c r="I38" s="2352">
        <f t="shared" si="41"/>
        <v>470612</v>
      </c>
      <c r="J38" s="2352">
        <f t="shared" si="41"/>
        <v>378008</v>
      </c>
      <c r="K38" s="2352">
        <f t="shared" si="41"/>
        <v>1680948</v>
      </c>
      <c r="L38" s="2352">
        <f t="shared" si="41"/>
        <v>1927651</v>
      </c>
      <c r="M38" s="2352">
        <f t="shared" si="41"/>
        <v>13922587</v>
      </c>
      <c r="N38" s="2352">
        <f t="shared" si="41"/>
        <v>6773664</v>
      </c>
      <c r="O38" s="2352">
        <f t="shared" si="41"/>
        <v>2483307</v>
      </c>
      <c r="P38" s="2352">
        <f t="shared" si="41"/>
        <v>759299</v>
      </c>
      <c r="Q38" s="2352">
        <f t="shared" si="41"/>
        <v>22180197</v>
      </c>
      <c r="R38" s="2352">
        <f t="shared" si="41"/>
        <v>22389930</v>
      </c>
      <c r="S38" s="2352">
        <f t="shared" si="41"/>
        <v>0</v>
      </c>
      <c r="T38" s="2352">
        <f t="shared" si="41"/>
        <v>0</v>
      </c>
      <c r="U38" s="2352">
        <f t="shared" si="41"/>
        <v>0</v>
      </c>
      <c r="V38" s="2352">
        <f t="shared" si="41"/>
        <v>0</v>
      </c>
      <c r="W38" s="2352">
        <f t="shared" si="41"/>
        <v>0</v>
      </c>
      <c r="X38" s="2285">
        <f>SUM(Q38:W38)</f>
        <v>44570127</v>
      </c>
      <c r="Y38" s="2037"/>
      <c r="Z38" s="864"/>
      <c r="AA38" s="2018"/>
    </row>
    <row r="39" spans="1:27" ht="12" customHeight="1">
      <c r="A39" s="2032"/>
      <c r="B39" s="2277" t="s">
        <v>26</v>
      </c>
      <c r="C39" s="2281"/>
      <c r="D39" s="2352">
        <f>+D271+D416+D379+D137+D149+D229+D256+D86+D181+D243+D331+D343</f>
        <v>20467692</v>
      </c>
      <c r="E39" s="2352">
        <f t="shared" ref="E39:W39" si="42">+E271+E416+E379+E137+E149+E229+E256+E86+E181+E243+E331+E343</f>
        <v>0</v>
      </c>
      <c r="F39" s="2352">
        <f t="shared" si="42"/>
        <v>0</v>
      </c>
      <c r="G39" s="2352">
        <f t="shared" si="42"/>
        <v>0</v>
      </c>
      <c r="H39" s="2352">
        <f t="shared" si="42"/>
        <v>0</v>
      </c>
      <c r="I39" s="2352">
        <f t="shared" si="42"/>
        <v>0</v>
      </c>
      <c r="J39" s="2352">
        <f t="shared" si="42"/>
        <v>2000000</v>
      </c>
      <c r="K39" s="2352">
        <f t="shared" si="42"/>
        <v>5489864</v>
      </c>
      <c r="L39" s="2352">
        <f t="shared" si="42"/>
        <v>0</v>
      </c>
      <c r="M39" s="2352">
        <f t="shared" si="42"/>
        <v>9297692</v>
      </c>
      <c r="N39" s="2352">
        <f t="shared" si="42"/>
        <v>1807828</v>
      </c>
      <c r="O39" s="2352">
        <f t="shared" si="42"/>
        <v>0</v>
      </c>
      <c r="P39" s="2352">
        <f t="shared" si="42"/>
        <v>1000000</v>
      </c>
      <c r="Q39" s="2352">
        <f t="shared" si="42"/>
        <v>5395843</v>
      </c>
      <c r="R39" s="2352">
        <f t="shared" si="42"/>
        <v>4774157</v>
      </c>
      <c r="S39" s="2352">
        <f t="shared" si="42"/>
        <v>0</v>
      </c>
      <c r="T39" s="2352">
        <f t="shared" si="42"/>
        <v>0</v>
      </c>
      <c r="U39" s="2352">
        <f t="shared" si="42"/>
        <v>0</v>
      </c>
      <c r="V39" s="2352">
        <f t="shared" si="42"/>
        <v>0</v>
      </c>
      <c r="W39" s="2352">
        <f t="shared" si="42"/>
        <v>0</v>
      </c>
      <c r="X39" s="2285">
        <f>SUM(Q39:W39)</f>
        <v>10170000</v>
      </c>
      <c r="Y39" s="2037"/>
      <c r="Z39" s="864">
        <f>D39-D46</f>
        <v>0</v>
      </c>
      <c r="AA39" s="2018"/>
    </row>
    <row r="40" spans="1:27" ht="12" customHeight="1">
      <c r="A40" s="2032"/>
      <c r="B40" s="2277" t="s">
        <v>28</v>
      </c>
      <c r="C40" s="2281"/>
      <c r="D40" s="2352">
        <f t="shared" ref="D40:W40" si="43">+D57+D228+D71+D255+D102+D85+D116</f>
        <v>11379681</v>
      </c>
      <c r="E40" s="2352">
        <f t="shared" si="43"/>
        <v>83</v>
      </c>
      <c r="F40" s="2352">
        <f t="shared" si="43"/>
        <v>0</v>
      </c>
      <c r="G40" s="2352">
        <f t="shared" si="43"/>
        <v>0</v>
      </c>
      <c r="H40" s="2352">
        <f t="shared" si="43"/>
        <v>83</v>
      </c>
      <c r="I40" s="2352">
        <f t="shared" si="43"/>
        <v>170850</v>
      </c>
      <c r="J40" s="2352">
        <f t="shared" si="43"/>
        <v>6035414</v>
      </c>
      <c r="K40" s="2352">
        <f t="shared" si="43"/>
        <v>1616790</v>
      </c>
      <c r="L40" s="2352">
        <f t="shared" si="43"/>
        <v>1960926</v>
      </c>
      <c r="M40" s="2352">
        <f t="shared" si="43"/>
        <v>11379681</v>
      </c>
      <c r="N40" s="2352">
        <f t="shared" si="43"/>
        <v>1592587</v>
      </c>
      <c r="O40" s="2352">
        <f t="shared" si="43"/>
        <v>3031</v>
      </c>
      <c r="P40" s="2352">
        <f t="shared" si="43"/>
        <v>0</v>
      </c>
      <c r="Q40" s="2352">
        <f t="shared" si="43"/>
        <v>0</v>
      </c>
      <c r="R40" s="2352">
        <f t="shared" si="43"/>
        <v>0</v>
      </c>
      <c r="S40" s="2352">
        <f t="shared" si="43"/>
        <v>0</v>
      </c>
      <c r="T40" s="2352">
        <f t="shared" si="43"/>
        <v>0</v>
      </c>
      <c r="U40" s="2352">
        <f t="shared" si="43"/>
        <v>0</v>
      </c>
      <c r="V40" s="2352">
        <f t="shared" si="43"/>
        <v>0</v>
      </c>
      <c r="W40" s="2352">
        <f t="shared" si="43"/>
        <v>0</v>
      </c>
      <c r="X40" s="2285">
        <f>SUM(Q40:W40)</f>
        <v>0</v>
      </c>
      <c r="Y40" s="2037"/>
      <c r="Z40" s="864">
        <f>D40-D47</f>
        <v>0</v>
      </c>
      <c r="AA40" s="2018"/>
    </row>
    <row r="41" spans="1:27" ht="12" customHeight="1">
      <c r="A41" s="2032"/>
      <c r="B41" s="2277" t="s">
        <v>66</v>
      </c>
      <c r="C41" s="2281"/>
      <c r="D41" s="2352">
        <f>D391+D403+D415</f>
        <v>35985000</v>
      </c>
      <c r="E41" s="2352">
        <f t="shared" ref="E41:W41" si="44">E391+E403+E415</f>
        <v>0</v>
      </c>
      <c r="F41" s="2352">
        <f t="shared" si="44"/>
        <v>0</v>
      </c>
      <c r="G41" s="2352">
        <f t="shared" si="44"/>
        <v>0</v>
      </c>
      <c r="H41" s="2352">
        <f t="shared" si="44"/>
        <v>0</v>
      </c>
      <c r="I41" s="2352">
        <f t="shared" si="44"/>
        <v>0</v>
      </c>
      <c r="J41" s="2352">
        <f t="shared" si="44"/>
        <v>0</v>
      </c>
      <c r="K41" s="2352">
        <f t="shared" si="44"/>
        <v>0</v>
      </c>
      <c r="L41" s="2352">
        <f t="shared" si="44"/>
        <v>0</v>
      </c>
      <c r="M41" s="2352">
        <f>M391+M403+M415</f>
        <v>0</v>
      </c>
      <c r="N41" s="2352">
        <f t="shared" si="44"/>
        <v>0</v>
      </c>
      <c r="O41" s="2352">
        <f t="shared" si="44"/>
        <v>0</v>
      </c>
      <c r="P41" s="2352">
        <f t="shared" si="44"/>
        <v>0</v>
      </c>
      <c r="Q41" s="2352">
        <f t="shared" si="44"/>
        <v>18870000</v>
      </c>
      <c r="R41" s="2352">
        <f t="shared" si="44"/>
        <v>15039000</v>
      </c>
      <c r="S41" s="2352">
        <f t="shared" si="44"/>
        <v>0</v>
      </c>
      <c r="T41" s="2352">
        <f t="shared" si="44"/>
        <v>2076000</v>
      </c>
      <c r="U41" s="2352">
        <f t="shared" si="44"/>
        <v>0</v>
      </c>
      <c r="V41" s="2352">
        <f t="shared" si="44"/>
        <v>0</v>
      </c>
      <c r="W41" s="2352">
        <f t="shared" si="44"/>
        <v>0</v>
      </c>
      <c r="X41" s="2285">
        <f>SUM(Q41:W41)</f>
        <v>35985000</v>
      </c>
      <c r="Y41" s="2037"/>
      <c r="Z41" s="864"/>
      <c r="AA41" s="2018"/>
    </row>
    <row r="42" spans="1:27" s="2021" customFormat="1" ht="14.25" customHeight="1">
      <c r="A42" s="2032"/>
      <c r="B42" s="2353" t="s">
        <v>29</v>
      </c>
      <c r="C42" s="2354"/>
      <c r="D42" s="2351">
        <f>+D43</f>
        <v>593511684</v>
      </c>
      <c r="E42" s="2351">
        <f t="shared" ref="E42:W42" si="45">+E43</f>
        <v>124365</v>
      </c>
      <c r="F42" s="2351">
        <f t="shared" si="45"/>
        <v>0</v>
      </c>
      <c r="G42" s="2351">
        <f t="shared" si="45"/>
        <v>0</v>
      </c>
      <c r="H42" s="2351">
        <f t="shared" si="45"/>
        <v>8746</v>
      </c>
      <c r="I42" s="2351">
        <f t="shared" si="45"/>
        <v>839449</v>
      </c>
      <c r="J42" s="2351">
        <f t="shared" si="45"/>
        <v>6997947</v>
      </c>
      <c r="K42" s="2351">
        <f t="shared" si="45"/>
        <v>14660452</v>
      </c>
      <c r="L42" s="2351">
        <f t="shared" si="45"/>
        <v>36982432</v>
      </c>
      <c r="M42" s="2351">
        <f t="shared" si="45"/>
        <v>139832336</v>
      </c>
      <c r="N42" s="2351">
        <f t="shared" si="45"/>
        <v>43671040</v>
      </c>
      <c r="O42" s="2351">
        <f t="shared" si="45"/>
        <v>36556651</v>
      </c>
      <c r="P42" s="2351">
        <f t="shared" si="45"/>
        <v>29764924</v>
      </c>
      <c r="Q42" s="2351">
        <f t="shared" si="45"/>
        <v>231134696</v>
      </c>
      <c r="R42" s="2351">
        <f t="shared" si="45"/>
        <v>181015728</v>
      </c>
      <c r="S42" s="2351">
        <f t="shared" si="45"/>
        <v>0</v>
      </c>
      <c r="T42" s="2351">
        <f t="shared" si="45"/>
        <v>11764000</v>
      </c>
      <c r="U42" s="2351">
        <f t="shared" si="45"/>
        <v>0</v>
      </c>
      <c r="V42" s="2351">
        <f t="shared" si="45"/>
        <v>0</v>
      </c>
      <c r="W42" s="2351">
        <f t="shared" si="45"/>
        <v>0</v>
      </c>
      <c r="X42" s="2418">
        <f>+X43</f>
        <v>423914424</v>
      </c>
      <c r="Y42" s="2037"/>
      <c r="AA42" s="2018"/>
    </row>
    <row r="43" spans="1:27">
      <c r="A43" s="2032"/>
      <c r="B43" s="2419" t="s">
        <v>32</v>
      </c>
      <c r="C43" s="2420"/>
      <c r="D43" s="2421">
        <f>+D405+D273+D60+D231+D74+D418+D381+D129+D89+D139+D393+D151+D162+D173+D259+D105+D183+D118+D194+D203+D245+D210+D219+D285+D297+D309+D321+D333+D345+D357+D369</f>
        <v>593511684</v>
      </c>
      <c r="E43" s="2421">
        <f t="shared" ref="E43:W43" si="46">+E405+E273+E60+E231+E74+E418+E381+E129+E89+E139+E393+E151+E162+E173+E259+E105+E183+E118+E194+E203+E245+E210+E219+E285+E297+E309+E321+E333+E345+E357+E369</f>
        <v>124365</v>
      </c>
      <c r="F43" s="2421">
        <f t="shared" si="46"/>
        <v>0</v>
      </c>
      <c r="G43" s="2421">
        <f t="shared" si="46"/>
        <v>0</v>
      </c>
      <c r="H43" s="2421">
        <f t="shared" si="46"/>
        <v>8746</v>
      </c>
      <c r="I43" s="2421">
        <f t="shared" si="46"/>
        <v>839449</v>
      </c>
      <c r="J43" s="2421">
        <f t="shared" si="46"/>
        <v>6997947</v>
      </c>
      <c r="K43" s="2421">
        <f t="shared" si="46"/>
        <v>14660452</v>
      </c>
      <c r="L43" s="2421">
        <f t="shared" si="46"/>
        <v>36982432</v>
      </c>
      <c r="M43" s="2421">
        <f t="shared" si="46"/>
        <v>139832336</v>
      </c>
      <c r="N43" s="2421">
        <f t="shared" si="46"/>
        <v>43671040</v>
      </c>
      <c r="O43" s="2421">
        <f t="shared" si="46"/>
        <v>36556651</v>
      </c>
      <c r="P43" s="2421">
        <f t="shared" si="46"/>
        <v>29764924</v>
      </c>
      <c r="Q43" s="2421">
        <f t="shared" si="46"/>
        <v>231134696</v>
      </c>
      <c r="R43" s="2421">
        <f t="shared" si="46"/>
        <v>181015728</v>
      </c>
      <c r="S43" s="2421">
        <f t="shared" si="46"/>
        <v>0</v>
      </c>
      <c r="T43" s="2421">
        <f t="shared" si="46"/>
        <v>11764000</v>
      </c>
      <c r="U43" s="2421">
        <f t="shared" si="46"/>
        <v>0</v>
      </c>
      <c r="V43" s="2421">
        <f t="shared" si="46"/>
        <v>0</v>
      </c>
      <c r="W43" s="2421">
        <f t="shared" si="46"/>
        <v>0</v>
      </c>
      <c r="X43" s="2285">
        <f>SUM(Q43:W43)</f>
        <v>423914424</v>
      </c>
      <c r="Y43" s="2034"/>
      <c r="Z43" s="864">
        <f>D43-D52</f>
        <v>0</v>
      </c>
      <c r="AA43" s="2018"/>
    </row>
    <row r="44" spans="1:27" ht="14.25" customHeight="1">
      <c r="A44" s="2032"/>
      <c r="B44" s="1320" t="s">
        <v>33</v>
      </c>
      <c r="C44" s="1881"/>
      <c r="D44" s="2274">
        <f>+D45+D50</f>
        <v>661344057</v>
      </c>
      <c r="E44" s="2274">
        <f t="shared" ref="E44:P44" si="47">+E45+E50</f>
        <v>0</v>
      </c>
      <c r="F44" s="2274">
        <f t="shared" si="47"/>
        <v>0</v>
      </c>
      <c r="G44" s="2274">
        <f t="shared" si="47"/>
        <v>0</v>
      </c>
      <c r="H44" s="2274">
        <f t="shared" si="47"/>
        <v>0</v>
      </c>
      <c r="I44" s="2274">
        <f t="shared" si="47"/>
        <v>0</v>
      </c>
      <c r="J44" s="2274">
        <f t="shared" si="47"/>
        <v>7723800</v>
      </c>
      <c r="K44" s="2274">
        <f t="shared" si="47"/>
        <v>24110784</v>
      </c>
      <c r="L44" s="2274">
        <f t="shared" si="47"/>
        <v>12152030</v>
      </c>
      <c r="M44" s="2274">
        <f>+M45+M50</f>
        <v>166405835</v>
      </c>
      <c r="N44" s="2274">
        <f t="shared" si="47"/>
        <v>70009839</v>
      </c>
      <c r="O44" s="2274">
        <f t="shared" si="47"/>
        <v>52409382</v>
      </c>
      <c r="P44" s="2274">
        <f t="shared" si="47"/>
        <v>34794961</v>
      </c>
      <c r="Q44" s="2274">
        <f t="shared" ref="Q44:W44" si="48">+Q45+Q50</f>
        <v>253170091</v>
      </c>
      <c r="R44" s="2274">
        <f t="shared" si="48"/>
        <v>195209170</v>
      </c>
      <c r="S44" s="2274">
        <f t="shared" si="48"/>
        <v>0</v>
      </c>
      <c r="T44" s="2274">
        <f t="shared" si="48"/>
        <v>11764000</v>
      </c>
      <c r="U44" s="2274">
        <f t="shared" si="48"/>
        <v>0</v>
      </c>
      <c r="V44" s="2274">
        <f t="shared" si="48"/>
        <v>0</v>
      </c>
      <c r="W44" s="2274">
        <f t="shared" si="48"/>
        <v>0</v>
      </c>
      <c r="X44" s="3702" t="s">
        <v>34</v>
      </c>
      <c r="Y44" s="2037"/>
    </row>
    <row r="45" spans="1:27" ht="12.75" customHeight="1">
      <c r="A45" s="2032"/>
      <c r="B45" s="2275" t="s">
        <v>35</v>
      </c>
      <c r="C45" s="2040"/>
      <c r="D45" s="45">
        <f>+D46+D47+D48+D49</f>
        <v>67832373</v>
      </c>
      <c r="E45" s="45">
        <f t="shared" ref="E45:W45" si="49">+E46+E47+E48+E49</f>
        <v>0</v>
      </c>
      <c r="F45" s="45">
        <f t="shared" si="49"/>
        <v>0</v>
      </c>
      <c r="G45" s="45">
        <f t="shared" si="49"/>
        <v>0</v>
      </c>
      <c r="H45" s="45">
        <f t="shared" si="49"/>
        <v>0</v>
      </c>
      <c r="I45" s="45">
        <f t="shared" si="49"/>
        <v>0</v>
      </c>
      <c r="J45" s="45">
        <f t="shared" si="49"/>
        <v>5068526</v>
      </c>
      <c r="K45" s="45">
        <f t="shared" si="49"/>
        <v>7814923</v>
      </c>
      <c r="L45" s="45">
        <f t="shared" si="49"/>
        <v>2414028</v>
      </c>
      <c r="M45" s="45">
        <f t="shared" si="49"/>
        <v>31404518</v>
      </c>
      <c r="N45" s="45">
        <f t="shared" si="49"/>
        <v>9160017</v>
      </c>
      <c r="O45" s="45">
        <f t="shared" si="49"/>
        <v>6947024</v>
      </c>
      <c r="P45" s="45">
        <f t="shared" si="49"/>
        <v>9419285</v>
      </c>
      <c r="Q45" s="45">
        <f t="shared" si="49"/>
        <v>13815128</v>
      </c>
      <c r="R45" s="45">
        <f t="shared" si="49"/>
        <v>13193442</v>
      </c>
      <c r="S45" s="45">
        <f t="shared" si="49"/>
        <v>0</v>
      </c>
      <c r="T45" s="45">
        <f t="shared" si="49"/>
        <v>0</v>
      </c>
      <c r="U45" s="45">
        <f t="shared" si="49"/>
        <v>0</v>
      </c>
      <c r="V45" s="45">
        <f t="shared" si="49"/>
        <v>0</v>
      </c>
      <c r="W45" s="45">
        <f t="shared" si="49"/>
        <v>0</v>
      </c>
      <c r="X45" s="3703"/>
      <c r="Y45" s="2037"/>
      <c r="Z45" s="864"/>
    </row>
    <row r="46" spans="1:27" ht="11.25" customHeight="1">
      <c r="A46" s="2032"/>
      <c r="B46" s="46" t="s">
        <v>26</v>
      </c>
      <c r="C46" s="47"/>
      <c r="D46" s="2276">
        <f>+D276+D422+D384+D142+D154+D235+D263+D93+D186+D248+D336+D348</f>
        <v>20467692</v>
      </c>
      <c r="E46" s="2276">
        <f t="shared" ref="E46:W46" si="50">+E276+E422+E384+E142+E154+E235+E263+E93+E186+E248+E336+E348</f>
        <v>0</v>
      </c>
      <c r="F46" s="2276">
        <f t="shared" si="50"/>
        <v>0</v>
      </c>
      <c r="G46" s="2276">
        <f t="shared" si="50"/>
        <v>0</v>
      </c>
      <c r="H46" s="2276">
        <f t="shared" si="50"/>
        <v>0</v>
      </c>
      <c r="I46" s="2276">
        <f t="shared" si="50"/>
        <v>0</v>
      </c>
      <c r="J46" s="2276">
        <f t="shared" si="50"/>
        <v>2000000</v>
      </c>
      <c r="K46" s="2276">
        <f t="shared" si="50"/>
        <v>3500000</v>
      </c>
      <c r="L46" s="2276">
        <f t="shared" si="50"/>
        <v>1989864</v>
      </c>
      <c r="M46" s="2276">
        <f t="shared" si="50"/>
        <v>9297692</v>
      </c>
      <c r="N46" s="2276">
        <f t="shared" si="50"/>
        <v>1807828</v>
      </c>
      <c r="O46" s="2276">
        <f t="shared" si="50"/>
        <v>0</v>
      </c>
      <c r="P46" s="2276">
        <f t="shared" si="50"/>
        <v>1000000</v>
      </c>
      <c r="Q46" s="2276">
        <f t="shared" si="50"/>
        <v>5395843</v>
      </c>
      <c r="R46" s="2276">
        <f t="shared" si="50"/>
        <v>4774157</v>
      </c>
      <c r="S46" s="2276">
        <f t="shared" si="50"/>
        <v>0</v>
      </c>
      <c r="T46" s="2276">
        <f t="shared" si="50"/>
        <v>0</v>
      </c>
      <c r="U46" s="2276">
        <f t="shared" si="50"/>
        <v>0</v>
      </c>
      <c r="V46" s="2276">
        <f t="shared" si="50"/>
        <v>0</v>
      </c>
      <c r="W46" s="2276">
        <f t="shared" si="50"/>
        <v>0</v>
      </c>
      <c r="X46" s="3703"/>
      <c r="Y46" s="2037"/>
    </row>
    <row r="47" spans="1:27">
      <c r="A47" s="2032"/>
      <c r="B47" s="2277" t="s">
        <v>28</v>
      </c>
      <c r="C47" s="47"/>
      <c r="D47" s="2276">
        <f t="shared" ref="D47:W47" si="51">+D63+D234+D77+D262+D108+D92+D121</f>
        <v>11379681</v>
      </c>
      <c r="E47" s="2276">
        <f t="shared" si="51"/>
        <v>0</v>
      </c>
      <c r="F47" s="2276">
        <f t="shared" si="51"/>
        <v>0</v>
      </c>
      <c r="G47" s="2276">
        <f t="shared" si="51"/>
        <v>0</v>
      </c>
      <c r="H47" s="2276">
        <f t="shared" si="51"/>
        <v>0</v>
      </c>
      <c r="I47" s="2276">
        <f t="shared" si="51"/>
        <v>0</v>
      </c>
      <c r="J47" s="2276">
        <f t="shared" si="51"/>
        <v>3068526</v>
      </c>
      <c r="K47" s="2276">
        <f t="shared" si="51"/>
        <v>4314923</v>
      </c>
      <c r="L47" s="2276">
        <f t="shared" si="51"/>
        <v>424164</v>
      </c>
      <c r="M47" s="2276">
        <f t="shared" si="51"/>
        <v>11379681</v>
      </c>
      <c r="N47" s="2276">
        <f t="shared" si="51"/>
        <v>2875044</v>
      </c>
      <c r="O47" s="2276">
        <f t="shared" si="51"/>
        <v>697024</v>
      </c>
      <c r="P47" s="2276">
        <f t="shared" si="51"/>
        <v>0</v>
      </c>
      <c r="Q47" s="2276">
        <f t="shared" si="51"/>
        <v>0</v>
      </c>
      <c r="R47" s="2276">
        <f t="shared" si="51"/>
        <v>0</v>
      </c>
      <c r="S47" s="2276">
        <f t="shared" si="51"/>
        <v>0</v>
      </c>
      <c r="T47" s="2276">
        <f t="shared" si="51"/>
        <v>0</v>
      </c>
      <c r="U47" s="2276">
        <f t="shared" si="51"/>
        <v>0</v>
      </c>
      <c r="V47" s="2276">
        <f t="shared" si="51"/>
        <v>0</v>
      </c>
      <c r="W47" s="2276">
        <f t="shared" si="51"/>
        <v>0</v>
      </c>
      <c r="X47" s="3703"/>
      <c r="Y47" s="2037"/>
    </row>
    <row r="48" spans="1:27">
      <c r="A48" s="2032"/>
      <c r="B48" s="2277" t="s">
        <v>37</v>
      </c>
      <c r="C48" s="47"/>
      <c r="D48" s="2276">
        <f>+D165</f>
        <v>0</v>
      </c>
      <c r="E48" s="2276">
        <f t="shared" ref="E48:P48" si="52">+E165</f>
        <v>0</v>
      </c>
      <c r="F48" s="2276">
        <f t="shared" si="52"/>
        <v>0</v>
      </c>
      <c r="G48" s="2276">
        <f t="shared" si="52"/>
        <v>0</v>
      </c>
      <c r="H48" s="2276">
        <f t="shared" si="52"/>
        <v>0</v>
      </c>
      <c r="I48" s="2276">
        <f t="shared" si="52"/>
        <v>0</v>
      </c>
      <c r="J48" s="2276">
        <f t="shared" si="52"/>
        <v>0</v>
      </c>
      <c r="K48" s="2276">
        <f t="shared" si="52"/>
        <v>0</v>
      </c>
      <c r="L48" s="2276">
        <f>+L165</f>
        <v>0</v>
      </c>
      <c r="M48" s="2276">
        <f>+M165</f>
        <v>0</v>
      </c>
      <c r="N48" s="2276">
        <f t="shared" si="52"/>
        <v>0</v>
      </c>
      <c r="O48" s="2276">
        <f t="shared" si="52"/>
        <v>0</v>
      </c>
      <c r="P48" s="2276">
        <f t="shared" si="52"/>
        <v>0</v>
      </c>
      <c r="Q48" s="2276">
        <f t="shared" ref="Q48:W48" si="53">+Q165</f>
        <v>0</v>
      </c>
      <c r="R48" s="2276">
        <f t="shared" si="53"/>
        <v>0</v>
      </c>
      <c r="S48" s="2276">
        <f t="shared" si="53"/>
        <v>0</v>
      </c>
      <c r="T48" s="2276">
        <f t="shared" si="53"/>
        <v>0</v>
      </c>
      <c r="U48" s="2276">
        <f t="shared" si="53"/>
        <v>0</v>
      </c>
      <c r="V48" s="2276">
        <f t="shared" si="53"/>
        <v>0</v>
      </c>
      <c r="W48" s="2276">
        <f t="shared" si="53"/>
        <v>0</v>
      </c>
      <c r="X48" s="3703"/>
      <c r="Y48" s="2037"/>
    </row>
    <row r="49" spans="1:26">
      <c r="A49" s="2032"/>
      <c r="B49" s="2277" t="s">
        <v>66</v>
      </c>
      <c r="C49" s="47"/>
      <c r="D49" s="2276">
        <f>D396+D408+D421</f>
        <v>35985000</v>
      </c>
      <c r="E49" s="2276">
        <f t="shared" ref="E49:W49" si="54">E396+E408+E421</f>
        <v>0</v>
      </c>
      <c r="F49" s="2276">
        <f t="shared" si="54"/>
        <v>0</v>
      </c>
      <c r="G49" s="2276">
        <f t="shared" si="54"/>
        <v>0</v>
      </c>
      <c r="H49" s="2276">
        <f t="shared" si="54"/>
        <v>0</v>
      </c>
      <c r="I49" s="2276">
        <f t="shared" si="54"/>
        <v>0</v>
      </c>
      <c r="J49" s="2276">
        <f t="shared" si="54"/>
        <v>0</v>
      </c>
      <c r="K49" s="2276">
        <f t="shared" si="54"/>
        <v>0</v>
      </c>
      <c r="L49" s="2276">
        <f t="shared" si="54"/>
        <v>0</v>
      </c>
      <c r="M49" s="2276">
        <f t="shared" si="54"/>
        <v>10727145</v>
      </c>
      <c r="N49" s="2276">
        <f t="shared" si="54"/>
        <v>4477145</v>
      </c>
      <c r="O49" s="2276">
        <f t="shared" si="54"/>
        <v>6250000</v>
      </c>
      <c r="P49" s="2276">
        <f t="shared" si="54"/>
        <v>8419285</v>
      </c>
      <c r="Q49" s="2276">
        <f t="shared" si="54"/>
        <v>8419285</v>
      </c>
      <c r="R49" s="2276">
        <f t="shared" si="54"/>
        <v>8419285</v>
      </c>
      <c r="S49" s="2276">
        <f t="shared" si="54"/>
        <v>0</v>
      </c>
      <c r="T49" s="2276">
        <f t="shared" si="54"/>
        <v>0</v>
      </c>
      <c r="U49" s="2276">
        <f t="shared" si="54"/>
        <v>0</v>
      </c>
      <c r="V49" s="2276">
        <f t="shared" si="54"/>
        <v>0</v>
      </c>
      <c r="W49" s="2276">
        <f t="shared" si="54"/>
        <v>0</v>
      </c>
      <c r="X49" s="3703"/>
      <c r="Y49" s="2037"/>
    </row>
    <row r="50" spans="1:26" ht="12" customHeight="1">
      <c r="A50" s="2032"/>
      <c r="B50" s="2278" t="s">
        <v>29</v>
      </c>
      <c r="C50" s="2279"/>
      <c r="D50" s="2280">
        <f>+D51+D52</f>
        <v>593511684</v>
      </c>
      <c r="E50" s="2280">
        <f t="shared" ref="E50:P50" si="55">+E51+E52</f>
        <v>0</v>
      </c>
      <c r="F50" s="2280">
        <f t="shared" si="55"/>
        <v>0</v>
      </c>
      <c r="G50" s="2280">
        <f t="shared" si="55"/>
        <v>0</v>
      </c>
      <c r="H50" s="2280">
        <f t="shared" si="55"/>
        <v>0</v>
      </c>
      <c r="I50" s="2280">
        <f t="shared" si="55"/>
        <v>0</v>
      </c>
      <c r="J50" s="2280">
        <f t="shared" si="55"/>
        <v>2655274</v>
      </c>
      <c r="K50" s="2280">
        <f t="shared" si="55"/>
        <v>16295861</v>
      </c>
      <c r="L50" s="2280">
        <f t="shared" si="55"/>
        <v>9738002</v>
      </c>
      <c r="M50" s="2280">
        <f>+M51+M52</f>
        <v>135001317</v>
      </c>
      <c r="N50" s="2280">
        <f t="shared" si="55"/>
        <v>60849822</v>
      </c>
      <c r="O50" s="2280">
        <f t="shared" si="55"/>
        <v>45462358</v>
      </c>
      <c r="P50" s="2280">
        <f t="shared" si="55"/>
        <v>25375676</v>
      </c>
      <c r="Q50" s="2280">
        <f t="shared" ref="Q50:W50" si="56">+Q51+Q52</f>
        <v>239354963</v>
      </c>
      <c r="R50" s="2280">
        <f t="shared" si="56"/>
        <v>182015728</v>
      </c>
      <c r="S50" s="2280">
        <f t="shared" si="56"/>
        <v>0</v>
      </c>
      <c r="T50" s="2280">
        <f t="shared" si="56"/>
        <v>11764000</v>
      </c>
      <c r="U50" s="2280">
        <f t="shared" si="56"/>
        <v>0</v>
      </c>
      <c r="V50" s="2280">
        <f t="shared" si="56"/>
        <v>0</v>
      </c>
      <c r="W50" s="2280">
        <f t="shared" si="56"/>
        <v>0</v>
      </c>
      <c r="X50" s="3703"/>
      <c r="Y50" s="2037"/>
    </row>
    <row r="51" spans="1:26" ht="12" hidden="1" customHeight="1">
      <c r="A51" s="2032"/>
      <c r="B51" s="2277" t="s">
        <v>28</v>
      </c>
      <c r="C51" s="2281"/>
      <c r="D51" s="2276">
        <f t="shared" ref="D51:W51" si="57">+D65+D237+D79+D95+D265+D110</f>
        <v>0</v>
      </c>
      <c r="E51" s="2276">
        <f t="shared" si="57"/>
        <v>0</v>
      </c>
      <c r="F51" s="2276">
        <f t="shared" si="57"/>
        <v>0</v>
      </c>
      <c r="G51" s="2276">
        <f t="shared" si="57"/>
        <v>0</v>
      </c>
      <c r="H51" s="2276">
        <f t="shared" si="57"/>
        <v>0</v>
      </c>
      <c r="I51" s="2276">
        <f t="shared" si="57"/>
        <v>0</v>
      </c>
      <c r="J51" s="2276">
        <f t="shared" si="57"/>
        <v>0</v>
      </c>
      <c r="K51" s="2276">
        <f t="shared" si="57"/>
        <v>0</v>
      </c>
      <c r="L51" s="2276">
        <f t="shared" si="57"/>
        <v>0</v>
      </c>
      <c r="M51" s="2276">
        <f t="shared" si="57"/>
        <v>0</v>
      </c>
      <c r="N51" s="2276">
        <f t="shared" si="57"/>
        <v>0</v>
      </c>
      <c r="O51" s="2276">
        <f t="shared" si="57"/>
        <v>0</v>
      </c>
      <c r="P51" s="2276">
        <f t="shared" si="57"/>
        <v>0</v>
      </c>
      <c r="Q51" s="2276">
        <f t="shared" si="57"/>
        <v>0</v>
      </c>
      <c r="R51" s="2276">
        <f t="shared" si="57"/>
        <v>0</v>
      </c>
      <c r="S51" s="2276">
        <f t="shared" si="57"/>
        <v>0</v>
      </c>
      <c r="T51" s="2276">
        <f t="shared" si="57"/>
        <v>0</v>
      </c>
      <c r="U51" s="2276">
        <f t="shared" si="57"/>
        <v>0</v>
      </c>
      <c r="V51" s="2276">
        <f t="shared" si="57"/>
        <v>0</v>
      </c>
      <c r="W51" s="2276">
        <f t="shared" si="57"/>
        <v>0</v>
      </c>
      <c r="X51" s="3703"/>
      <c r="Y51" s="2037"/>
      <c r="Z51" s="864"/>
    </row>
    <row r="52" spans="1:26" ht="12.75" customHeight="1" thickBot="1">
      <c r="A52" s="2041"/>
      <c r="B52" s="48" t="s">
        <v>32</v>
      </c>
      <c r="C52" s="49"/>
      <c r="D52" s="2282">
        <f>+D410+D278+D66+D238+D80+D424+D386+D132+D96+D144+D398++D156+D167+D176+D266+D111+D188+D123+D197+D206+D250+D213+D222+D290+D302+D314+D326+D338+D350+D362+D374</f>
        <v>593511684</v>
      </c>
      <c r="E52" s="2282">
        <f t="shared" ref="E52:W52" si="58">+E410+E278+E66+E238+E80+E424+E386+E132+E96+E144+E398++E156+E167+E176+E266+E111+E188+E123+E197+E206+E250+E213+E222+E290+E302+E314+E326+E338+E350+E362+E374</f>
        <v>0</v>
      </c>
      <c r="F52" s="2282">
        <f t="shared" si="58"/>
        <v>0</v>
      </c>
      <c r="G52" s="2282">
        <f t="shared" si="58"/>
        <v>0</v>
      </c>
      <c r="H52" s="2282">
        <f t="shared" si="58"/>
        <v>0</v>
      </c>
      <c r="I52" s="2282">
        <f t="shared" si="58"/>
        <v>0</v>
      </c>
      <c r="J52" s="2282">
        <f t="shared" si="58"/>
        <v>2655274</v>
      </c>
      <c r="K52" s="2282">
        <f t="shared" si="58"/>
        <v>16295861</v>
      </c>
      <c r="L52" s="2282">
        <f t="shared" si="58"/>
        <v>9738002</v>
      </c>
      <c r="M52" s="2282">
        <f t="shared" si="58"/>
        <v>135001317</v>
      </c>
      <c r="N52" s="2282">
        <f t="shared" si="58"/>
        <v>60849822</v>
      </c>
      <c r="O52" s="2282">
        <f t="shared" si="58"/>
        <v>45462358</v>
      </c>
      <c r="P52" s="2282">
        <f t="shared" si="58"/>
        <v>25375676</v>
      </c>
      <c r="Q52" s="2282">
        <f t="shared" si="58"/>
        <v>239354963</v>
      </c>
      <c r="R52" s="2282">
        <f t="shared" si="58"/>
        <v>182015728</v>
      </c>
      <c r="S52" s="2282">
        <f t="shared" si="58"/>
        <v>0</v>
      </c>
      <c r="T52" s="2282">
        <f t="shared" si="58"/>
        <v>11764000</v>
      </c>
      <c r="U52" s="2282">
        <f t="shared" si="58"/>
        <v>0</v>
      </c>
      <c r="V52" s="2282">
        <f t="shared" si="58"/>
        <v>0</v>
      </c>
      <c r="W52" s="2282">
        <f t="shared" si="58"/>
        <v>0</v>
      </c>
      <c r="X52" s="3704"/>
      <c r="Y52" s="2042"/>
      <c r="Z52" s="864"/>
    </row>
    <row r="53" spans="1:26" ht="25.5" hidden="1" customHeight="1">
      <c r="A53" s="3600" t="s">
        <v>77</v>
      </c>
      <c r="B53" s="91"/>
      <c r="C53" s="73" t="s">
        <v>95</v>
      </c>
      <c r="D53" s="1993"/>
      <c r="E53" s="50"/>
      <c r="F53" s="51"/>
      <c r="G53" s="50"/>
      <c r="H53" s="50"/>
      <c r="I53" s="50"/>
      <c r="J53" s="50"/>
      <c r="K53" s="50"/>
      <c r="L53" s="50"/>
      <c r="M53" s="52"/>
      <c r="N53" s="52"/>
      <c r="O53" s="52"/>
      <c r="P53" s="52"/>
      <c r="Q53" s="52"/>
      <c r="R53" s="52"/>
      <c r="S53" s="52"/>
      <c r="T53" s="52"/>
      <c r="U53" s="52"/>
      <c r="V53" s="52"/>
      <c r="W53" s="52"/>
      <c r="X53" s="53"/>
      <c r="Y53" s="54" t="s">
        <v>96</v>
      </c>
    </row>
    <row r="54" spans="1:26" ht="12" hidden="1" customHeight="1">
      <c r="A54" s="3601"/>
      <c r="B54" s="38" t="s">
        <v>21</v>
      </c>
      <c r="C54" s="26"/>
      <c r="D54" s="2028">
        <f t="shared" ref="D54:P54" si="59">+D55+D58</f>
        <v>0</v>
      </c>
      <c r="E54" s="303">
        <f t="shared" si="59"/>
        <v>0</v>
      </c>
      <c r="F54" s="303">
        <f t="shared" si="59"/>
        <v>0</v>
      </c>
      <c r="G54" s="303">
        <f t="shared" si="59"/>
        <v>0</v>
      </c>
      <c r="H54" s="303">
        <f t="shared" si="59"/>
        <v>0</v>
      </c>
      <c r="I54" s="303">
        <f t="shared" si="59"/>
        <v>0</v>
      </c>
      <c r="J54" s="303">
        <f t="shared" si="59"/>
        <v>0</v>
      </c>
      <c r="K54" s="303">
        <f t="shared" si="59"/>
        <v>0</v>
      </c>
      <c r="L54" s="303">
        <f t="shared" si="59"/>
        <v>0</v>
      </c>
      <c r="M54" s="303">
        <f>+M55+M58</f>
        <v>0</v>
      </c>
      <c r="N54" s="303">
        <f t="shared" si="59"/>
        <v>0</v>
      </c>
      <c r="O54" s="259">
        <f t="shared" si="59"/>
        <v>0</v>
      </c>
      <c r="P54" s="259">
        <f t="shared" si="59"/>
        <v>0</v>
      </c>
      <c r="Q54" s="259"/>
      <c r="R54" s="259"/>
      <c r="S54" s="259"/>
      <c r="T54" s="259"/>
      <c r="U54" s="259"/>
      <c r="V54" s="259"/>
      <c r="W54" s="259"/>
      <c r="X54" s="2043">
        <f>+X55+X58</f>
        <v>0</v>
      </c>
      <c r="Y54" s="3598" t="s">
        <v>97</v>
      </c>
      <c r="Z54" s="864">
        <f>+O54+P54</f>
        <v>0</v>
      </c>
    </row>
    <row r="55" spans="1:26" ht="12" hidden="1" customHeight="1">
      <c r="A55" s="3601"/>
      <c r="B55" s="1269" t="s">
        <v>35</v>
      </c>
      <c r="C55" s="3624" t="s">
        <v>98</v>
      </c>
      <c r="D55" s="2044">
        <f>+D56+D57</f>
        <v>0</v>
      </c>
      <c r="E55" s="2044">
        <f t="shared" ref="E55:P55" si="60">+E56+E57</f>
        <v>0</v>
      </c>
      <c r="F55" s="2044">
        <f t="shared" si="60"/>
        <v>0</v>
      </c>
      <c r="G55" s="2044">
        <f t="shared" si="60"/>
        <v>0</v>
      </c>
      <c r="H55" s="2044">
        <f t="shared" si="60"/>
        <v>0</v>
      </c>
      <c r="I55" s="2044">
        <f t="shared" si="60"/>
        <v>0</v>
      </c>
      <c r="J55" s="2044">
        <f t="shared" si="60"/>
        <v>0</v>
      </c>
      <c r="K55" s="2044">
        <f t="shared" si="60"/>
        <v>0</v>
      </c>
      <c r="L55" s="2044">
        <f t="shared" si="60"/>
        <v>0</v>
      </c>
      <c r="M55" s="2044">
        <f>+M56+M57</f>
        <v>0</v>
      </c>
      <c r="N55" s="2044">
        <f t="shared" si="60"/>
        <v>0</v>
      </c>
      <c r="O55" s="2190">
        <f t="shared" si="60"/>
        <v>0</v>
      </c>
      <c r="P55" s="2044">
        <f t="shared" si="60"/>
        <v>0</v>
      </c>
      <c r="Q55" s="2044"/>
      <c r="R55" s="2044"/>
      <c r="S55" s="2044"/>
      <c r="T55" s="2044"/>
      <c r="U55" s="2044"/>
      <c r="V55" s="2044"/>
      <c r="W55" s="2044"/>
      <c r="X55" s="2045">
        <f>+X56+X57</f>
        <v>0</v>
      </c>
      <c r="Y55" s="3598"/>
    </row>
    <row r="56" spans="1:26" ht="12" hidden="1" customHeight="1">
      <c r="A56" s="3601"/>
      <c r="B56" s="2046" t="s">
        <v>23</v>
      </c>
      <c r="C56" s="3612"/>
      <c r="D56" s="325">
        <f>M56+O56+P56+Q56+R56+S56+T56+U56+V56+W56</f>
        <v>0</v>
      </c>
      <c r="E56" s="325">
        <v>0</v>
      </c>
      <c r="F56" s="325"/>
      <c r="G56" s="325"/>
      <c r="H56" s="325"/>
      <c r="I56" s="325">
        <v>0</v>
      </c>
      <c r="J56" s="325"/>
      <c r="K56" s="325"/>
      <c r="L56" s="387"/>
      <c r="M56" s="387"/>
      <c r="N56" s="387"/>
      <c r="O56" s="2083">
        <v>0</v>
      </c>
      <c r="P56" s="387">
        <v>0</v>
      </c>
      <c r="Q56" s="387"/>
      <c r="R56" s="387"/>
      <c r="S56" s="387"/>
      <c r="T56" s="387"/>
      <c r="U56" s="387"/>
      <c r="V56" s="387"/>
      <c r="W56" s="387"/>
      <c r="X56" s="44">
        <f>SUM(P56:T56)</f>
        <v>0</v>
      </c>
      <c r="Y56" s="3598"/>
    </row>
    <row r="57" spans="1:26" ht="12" hidden="1" customHeight="1">
      <c r="A57" s="3601"/>
      <c r="B57" s="2046" t="s">
        <v>28</v>
      </c>
      <c r="C57" s="3612"/>
      <c r="D57" s="325">
        <f>M57+O57+P57+Q57+R57+S57+T57+U57+V57+W57</f>
        <v>0</v>
      </c>
      <c r="E57" s="57">
        <f>+F57+G57+H57</f>
        <v>0</v>
      </c>
      <c r="F57" s="58">
        <v>0</v>
      </c>
      <c r="G57" s="57"/>
      <c r="H57" s="57"/>
      <c r="I57" s="57"/>
      <c r="J57" s="57"/>
      <c r="K57" s="57"/>
      <c r="L57" s="59">
        <v>0</v>
      </c>
      <c r="M57" s="387">
        <f>+E57+I57+J57+K57+L57+N57</f>
        <v>0</v>
      </c>
      <c r="N57" s="59">
        <v>0</v>
      </c>
      <c r="O57" s="59">
        <v>0</v>
      </c>
      <c r="P57" s="59">
        <v>0</v>
      </c>
      <c r="Q57" s="60"/>
      <c r="R57" s="60"/>
      <c r="S57" s="60"/>
      <c r="T57" s="60"/>
      <c r="U57" s="60"/>
      <c r="V57" s="60"/>
      <c r="W57" s="60"/>
      <c r="X57" s="44">
        <f>SUM(P57:T57)</f>
        <v>0</v>
      </c>
      <c r="Y57" s="3598"/>
    </row>
    <row r="58" spans="1:26" ht="12.75" hidden="1" customHeight="1">
      <c r="A58" s="3601"/>
      <c r="B58" s="1910" t="s">
        <v>29</v>
      </c>
      <c r="C58" s="3612"/>
      <c r="D58" s="61">
        <f>+D60+D59</f>
        <v>0</v>
      </c>
      <c r="E58" s="62">
        <f>+E60+E59</f>
        <v>0</v>
      </c>
      <c r="F58" s="62">
        <f>+F60+F59</f>
        <v>0</v>
      </c>
      <c r="G58" s="62">
        <f>+G59+G60</f>
        <v>0</v>
      </c>
      <c r="H58" s="62">
        <f>+H59+H60</f>
        <v>0</v>
      </c>
      <c r="I58" s="62">
        <f t="shared" ref="I58:P58" si="61">+I59+I60</f>
        <v>0</v>
      </c>
      <c r="J58" s="62">
        <f t="shared" si="61"/>
        <v>0</v>
      </c>
      <c r="K58" s="62">
        <f t="shared" si="61"/>
        <v>0</v>
      </c>
      <c r="L58" s="62">
        <f t="shared" si="61"/>
        <v>0</v>
      </c>
      <c r="M58" s="62">
        <f t="shared" si="61"/>
        <v>0</v>
      </c>
      <c r="N58" s="62">
        <f t="shared" si="61"/>
        <v>0</v>
      </c>
      <c r="O58" s="62">
        <f t="shared" si="61"/>
        <v>0</v>
      </c>
      <c r="P58" s="62">
        <f t="shared" si="61"/>
        <v>0</v>
      </c>
      <c r="Q58" s="62"/>
      <c r="R58" s="62"/>
      <c r="S58" s="62"/>
      <c r="T58" s="62"/>
      <c r="U58" s="62"/>
      <c r="V58" s="62"/>
      <c r="W58" s="62"/>
      <c r="X58" s="63">
        <f>+X60+X59</f>
        <v>0</v>
      </c>
      <c r="Y58" s="3598"/>
    </row>
    <row r="59" spans="1:26" ht="12" hidden="1" customHeight="1">
      <c r="A59" s="3601"/>
      <c r="B59" s="2046" t="s">
        <v>28</v>
      </c>
      <c r="C59" s="3201"/>
      <c r="D59" s="56">
        <f>+E59+I59+J59+K59+L59</f>
        <v>0</v>
      </c>
      <c r="E59" s="57">
        <f>+F59+G59+H59</f>
        <v>0</v>
      </c>
      <c r="F59" s="58">
        <v>0</v>
      </c>
      <c r="G59" s="57"/>
      <c r="H59" s="57"/>
      <c r="I59" s="57">
        <v>0</v>
      </c>
      <c r="J59" s="57">
        <v>0</v>
      </c>
      <c r="K59" s="57">
        <v>0</v>
      </c>
      <c r="L59" s="57"/>
      <c r="M59" s="57"/>
      <c r="N59" s="57">
        <v>0</v>
      </c>
      <c r="O59" s="57">
        <v>0</v>
      </c>
      <c r="P59" s="57">
        <v>0</v>
      </c>
      <c r="Q59" s="64"/>
      <c r="R59" s="64"/>
      <c r="S59" s="64"/>
      <c r="T59" s="64"/>
      <c r="U59" s="64"/>
      <c r="V59" s="64"/>
      <c r="W59" s="64"/>
      <c r="X59" s="55"/>
      <c r="Y59" s="3598"/>
    </row>
    <row r="60" spans="1:26" ht="12" hidden="1" customHeight="1">
      <c r="A60" s="3601"/>
      <c r="B60" s="727" t="s">
        <v>32</v>
      </c>
      <c r="C60" s="350"/>
      <c r="D60" s="2047">
        <f>M60+O60+P60+Q60+R60+S60+T60+U60+V60+W60</f>
        <v>0</v>
      </c>
      <c r="E60" s="59">
        <f>+F60+G60+H60</f>
        <v>0</v>
      </c>
      <c r="F60" s="60">
        <v>0</v>
      </c>
      <c r="G60" s="59">
        <f>15076.5-15076.5</f>
        <v>0</v>
      </c>
      <c r="H60" s="59">
        <f>77997.5-77997.5</f>
        <v>0</v>
      </c>
      <c r="I60" s="59">
        <f>149000-149000</f>
        <v>0</v>
      </c>
      <c r="J60" s="59"/>
      <c r="K60" s="59"/>
      <c r="L60" s="59"/>
      <c r="M60" s="387">
        <f>+E60+I60+J60+K60+L60+N60</f>
        <v>0</v>
      </c>
      <c r="N60" s="59">
        <v>0</v>
      </c>
      <c r="O60" s="59">
        <v>0</v>
      </c>
      <c r="P60" s="59">
        <v>0</v>
      </c>
      <c r="Q60" s="60"/>
      <c r="R60" s="60"/>
      <c r="S60" s="60"/>
      <c r="T60" s="60"/>
      <c r="U60" s="60"/>
      <c r="V60" s="60"/>
      <c r="W60" s="60"/>
      <c r="X60" s="44">
        <f>SUM(P60:T60)</f>
        <v>0</v>
      </c>
      <c r="Y60" s="3599"/>
    </row>
    <row r="61" spans="1:26" ht="12" hidden="1" customHeight="1">
      <c r="A61" s="3601"/>
      <c r="B61" s="103" t="s">
        <v>33</v>
      </c>
      <c r="C61" s="116"/>
      <c r="D61" s="134">
        <f t="shared" ref="D61:P61" si="62">+D64+D62</f>
        <v>0</v>
      </c>
      <c r="E61" s="134">
        <f t="shared" si="62"/>
        <v>0</v>
      </c>
      <c r="F61" s="134">
        <f t="shared" si="62"/>
        <v>0</v>
      </c>
      <c r="G61" s="134">
        <f t="shared" si="62"/>
        <v>0</v>
      </c>
      <c r="H61" s="134">
        <f t="shared" si="62"/>
        <v>0</v>
      </c>
      <c r="I61" s="134">
        <f t="shared" si="62"/>
        <v>0</v>
      </c>
      <c r="J61" s="134">
        <f t="shared" si="62"/>
        <v>0</v>
      </c>
      <c r="K61" s="134">
        <f t="shared" si="62"/>
        <v>0</v>
      </c>
      <c r="L61" s="134">
        <f t="shared" si="62"/>
        <v>0</v>
      </c>
      <c r="M61" s="134">
        <f>+M64+M62</f>
        <v>0</v>
      </c>
      <c r="N61" s="134">
        <f t="shared" si="62"/>
        <v>0</v>
      </c>
      <c r="O61" s="134">
        <f t="shared" si="62"/>
        <v>0</v>
      </c>
      <c r="P61" s="134">
        <f t="shared" si="62"/>
        <v>0</v>
      </c>
      <c r="Q61" s="134"/>
      <c r="R61" s="134"/>
      <c r="S61" s="134"/>
      <c r="T61" s="134"/>
      <c r="U61" s="134"/>
      <c r="V61" s="134"/>
      <c r="W61" s="134"/>
      <c r="X61" s="3635" t="s">
        <v>34</v>
      </c>
      <c r="Y61" s="3642" t="s">
        <v>290</v>
      </c>
    </row>
    <row r="62" spans="1:26" ht="12" hidden="1" customHeight="1">
      <c r="A62" s="3601"/>
      <c r="B62" s="1269" t="s">
        <v>35</v>
      </c>
      <c r="C62" s="3624" t="s">
        <v>99</v>
      </c>
      <c r="D62" s="65">
        <f>+D63</f>
        <v>0</v>
      </c>
      <c r="E62" s="65">
        <f t="shared" ref="E62:P62" si="63">+E63</f>
        <v>0</v>
      </c>
      <c r="F62" s="65">
        <f t="shared" si="63"/>
        <v>0</v>
      </c>
      <c r="G62" s="65">
        <f t="shared" si="63"/>
        <v>0</v>
      </c>
      <c r="H62" s="65">
        <f t="shared" si="63"/>
        <v>0</v>
      </c>
      <c r="I62" s="65">
        <f t="shared" si="63"/>
        <v>0</v>
      </c>
      <c r="J62" s="65">
        <f t="shared" si="63"/>
        <v>0</v>
      </c>
      <c r="K62" s="65">
        <f t="shared" si="63"/>
        <v>0</v>
      </c>
      <c r="L62" s="65">
        <f t="shared" si="63"/>
        <v>0</v>
      </c>
      <c r="M62" s="65">
        <f t="shared" si="63"/>
        <v>0</v>
      </c>
      <c r="N62" s="65">
        <f t="shared" si="63"/>
        <v>0</v>
      </c>
      <c r="O62" s="65">
        <f t="shared" si="63"/>
        <v>0</v>
      </c>
      <c r="P62" s="65">
        <f t="shared" si="63"/>
        <v>0</v>
      </c>
      <c r="Q62" s="65"/>
      <c r="R62" s="65"/>
      <c r="S62" s="65"/>
      <c r="T62" s="65"/>
      <c r="U62" s="65"/>
      <c r="V62" s="65"/>
      <c r="W62" s="65"/>
      <c r="X62" s="3635"/>
      <c r="Y62" s="3609"/>
    </row>
    <row r="63" spans="1:26" ht="12" hidden="1" customHeight="1">
      <c r="A63" s="3601"/>
      <c r="B63" s="2046" t="s">
        <v>28</v>
      </c>
      <c r="C63" s="3612"/>
      <c r="D63" s="325">
        <f>M63+O63+P63+Q63+R63+S63+T63+U63+V63+W63</f>
        <v>0</v>
      </c>
      <c r="E63" s="67"/>
      <c r="F63" s="67"/>
      <c r="G63" s="67"/>
      <c r="H63" s="67"/>
      <c r="I63" s="67"/>
      <c r="J63" s="59"/>
      <c r="K63" s="59"/>
      <c r="L63" s="67"/>
      <c r="M63" s="387">
        <f>+E63+I63+J63+K63+L63+N63</f>
        <v>0</v>
      </c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3635"/>
      <c r="Y63" s="3609"/>
    </row>
    <row r="64" spans="1:26" ht="12" hidden="1" customHeight="1">
      <c r="A64" s="3601"/>
      <c r="B64" s="1910" t="s">
        <v>29</v>
      </c>
      <c r="C64" s="3612"/>
      <c r="D64" s="61">
        <f>+D66+D65</f>
        <v>0</v>
      </c>
      <c r="E64" s="61">
        <f t="shared" ref="E64:P64" si="64">+E66+E65</f>
        <v>0</v>
      </c>
      <c r="F64" s="61">
        <f t="shared" si="64"/>
        <v>0</v>
      </c>
      <c r="G64" s="61">
        <f t="shared" si="64"/>
        <v>0</v>
      </c>
      <c r="H64" s="61">
        <f t="shared" si="64"/>
        <v>0</v>
      </c>
      <c r="I64" s="61">
        <f t="shared" si="64"/>
        <v>0</v>
      </c>
      <c r="J64" s="61">
        <f t="shared" si="64"/>
        <v>0</v>
      </c>
      <c r="K64" s="61">
        <f t="shared" si="64"/>
        <v>0</v>
      </c>
      <c r="L64" s="61">
        <f t="shared" si="64"/>
        <v>0</v>
      </c>
      <c r="M64" s="61">
        <f t="shared" si="64"/>
        <v>0</v>
      </c>
      <c r="N64" s="61">
        <f t="shared" si="64"/>
        <v>0</v>
      </c>
      <c r="O64" s="61">
        <f t="shared" si="64"/>
        <v>0</v>
      </c>
      <c r="P64" s="61">
        <f t="shared" si="64"/>
        <v>0</v>
      </c>
      <c r="Q64" s="61"/>
      <c r="R64" s="61"/>
      <c r="S64" s="61"/>
      <c r="T64" s="61"/>
      <c r="U64" s="61"/>
      <c r="V64" s="61"/>
      <c r="W64" s="61"/>
      <c r="X64" s="3635"/>
      <c r="Y64" s="3609"/>
    </row>
    <row r="65" spans="1:26" ht="15" hidden="1" customHeight="1">
      <c r="A65" s="3601"/>
      <c r="B65" s="2046" t="s">
        <v>28</v>
      </c>
      <c r="C65" s="3612"/>
      <c r="D65" s="67">
        <f>+E65+I65+J65+K65+L65</f>
        <v>0</v>
      </c>
      <c r="E65" s="59">
        <v>0</v>
      </c>
      <c r="F65" s="60"/>
      <c r="G65" s="59"/>
      <c r="H65" s="59"/>
      <c r="I65" s="59">
        <v>0</v>
      </c>
      <c r="J65" s="59">
        <v>0</v>
      </c>
      <c r="K65" s="59">
        <v>0</v>
      </c>
      <c r="L65" s="59">
        <v>0</v>
      </c>
      <c r="M65" s="59"/>
      <c r="N65" s="59">
        <v>0</v>
      </c>
      <c r="O65" s="59">
        <v>0</v>
      </c>
      <c r="P65" s="59">
        <v>0</v>
      </c>
      <c r="Q65" s="59"/>
      <c r="R65" s="59"/>
      <c r="S65" s="59"/>
      <c r="T65" s="59"/>
      <c r="U65" s="59"/>
      <c r="V65" s="59"/>
      <c r="W65" s="59"/>
      <c r="X65" s="3635"/>
      <c r="Y65" s="3609"/>
    </row>
    <row r="66" spans="1:26" ht="12" hidden="1" customHeight="1" thickBot="1">
      <c r="A66" s="3602"/>
      <c r="B66" s="68" t="s">
        <v>32</v>
      </c>
      <c r="C66" s="3613"/>
      <c r="D66" s="325">
        <f>M66+O66+P66+Q66+R66+S66+T66+U66+V66+W66</f>
        <v>0</v>
      </c>
      <c r="E66" s="70">
        <f>+F66+G66+H66</f>
        <v>0</v>
      </c>
      <c r="F66" s="71">
        <v>0</v>
      </c>
      <c r="G66" s="70">
        <v>0</v>
      </c>
      <c r="H66" s="70">
        <v>0</v>
      </c>
      <c r="I66" s="70">
        <v>0</v>
      </c>
      <c r="J66" s="70">
        <v>0</v>
      </c>
      <c r="K66" s="70"/>
      <c r="L66" s="70"/>
      <c r="M66" s="387"/>
      <c r="N66" s="70">
        <v>0</v>
      </c>
      <c r="O66" s="70">
        <v>0</v>
      </c>
      <c r="P66" s="72">
        <v>0</v>
      </c>
      <c r="Q66" s="72"/>
      <c r="R66" s="72"/>
      <c r="S66" s="72"/>
      <c r="T66" s="72"/>
      <c r="U66" s="72"/>
      <c r="V66" s="72"/>
      <c r="W66" s="72"/>
      <c r="X66" s="3636"/>
      <c r="Y66" s="3610"/>
    </row>
    <row r="67" spans="1:26" ht="28.5" hidden="1" customHeight="1">
      <c r="A67" s="3600"/>
      <c r="B67" s="91"/>
      <c r="C67" s="73" t="s">
        <v>95</v>
      </c>
      <c r="D67" s="74"/>
      <c r="E67" s="76"/>
      <c r="F67" s="75"/>
      <c r="G67" s="76"/>
      <c r="H67" s="76"/>
      <c r="I67" s="50"/>
      <c r="J67" s="50"/>
      <c r="K67" s="50"/>
      <c r="L67" s="50"/>
      <c r="M67" s="52"/>
      <c r="N67" s="52"/>
      <c r="O67" s="52"/>
      <c r="P67" s="52"/>
      <c r="Q67" s="52"/>
      <c r="R67" s="50"/>
      <c r="S67" s="50"/>
      <c r="T67" s="51"/>
      <c r="U67" s="309"/>
      <c r="V67" s="309"/>
      <c r="W67" s="309"/>
      <c r="X67" s="77"/>
      <c r="Y67" s="54"/>
    </row>
    <row r="68" spans="1:26" ht="12" hidden="1" customHeight="1">
      <c r="A68" s="3601"/>
      <c r="B68" s="97" t="s">
        <v>21</v>
      </c>
      <c r="C68" s="26"/>
      <c r="D68" s="78">
        <f>+D69+D72</f>
        <v>0</v>
      </c>
      <c r="E68" s="78">
        <f t="shared" ref="E68:O68" si="65">+E69+E72</f>
        <v>0</v>
      </c>
      <c r="F68" s="78">
        <f t="shared" si="65"/>
        <v>0</v>
      </c>
      <c r="G68" s="78">
        <f t="shared" si="65"/>
        <v>0</v>
      </c>
      <c r="H68" s="78">
        <f t="shared" si="65"/>
        <v>0</v>
      </c>
      <c r="I68" s="78">
        <f t="shared" si="65"/>
        <v>0</v>
      </c>
      <c r="J68" s="78">
        <f t="shared" si="65"/>
        <v>0</v>
      </c>
      <c r="K68" s="78">
        <f t="shared" si="65"/>
        <v>0</v>
      </c>
      <c r="L68" s="78">
        <f t="shared" si="65"/>
        <v>0</v>
      </c>
      <c r="M68" s="78">
        <f>+M69+M72</f>
        <v>0</v>
      </c>
      <c r="N68" s="78">
        <f t="shared" si="65"/>
        <v>0</v>
      </c>
      <c r="O68" s="78">
        <f t="shared" si="65"/>
        <v>0</v>
      </c>
      <c r="P68" s="78">
        <f>+P69+P72</f>
        <v>0</v>
      </c>
      <c r="Q68" s="78"/>
      <c r="R68" s="78"/>
      <c r="S68" s="78"/>
      <c r="T68" s="78"/>
      <c r="U68" s="317"/>
      <c r="V68" s="317"/>
      <c r="W68" s="317"/>
      <c r="X68" s="117"/>
      <c r="Y68" s="3598" t="s">
        <v>97</v>
      </c>
      <c r="Z68" s="864">
        <f>+O68+P68</f>
        <v>0</v>
      </c>
    </row>
    <row r="69" spans="1:26" ht="12" hidden="1" customHeight="1">
      <c r="A69" s="3601"/>
      <c r="B69" s="2048" t="s">
        <v>35</v>
      </c>
      <c r="C69" s="3624" t="s">
        <v>98</v>
      </c>
      <c r="D69" s="81">
        <f>+D70+D71</f>
        <v>0</v>
      </c>
      <c r="E69" s="81">
        <f t="shared" ref="E69:P69" si="66">+E70+E71</f>
        <v>0</v>
      </c>
      <c r="F69" s="81">
        <f t="shared" si="66"/>
        <v>0</v>
      </c>
      <c r="G69" s="81">
        <f t="shared" si="66"/>
        <v>0</v>
      </c>
      <c r="H69" s="81">
        <f t="shared" si="66"/>
        <v>0</v>
      </c>
      <c r="I69" s="81">
        <f t="shared" si="66"/>
        <v>0</v>
      </c>
      <c r="J69" s="81">
        <f t="shared" si="66"/>
        <v>0</v>
      </c>
      <c r="K69" s="81">
        <f t="shared" si="66"/>
        <v>0</v>
      </c>
      <c r="L69" s="81">
        <f t="shared" si="66"/>
        <v>0</v>
      </c>
      <c r="M69" s="81">
        <f>+M70+M71</f>
        <v>0</v>
      </c>
      <c r="N69" s="81">
        <f t="shared" si="66"/>
        <v>0</v>
      </c>
      <c r="O69" s="81">
        <f t="shared" si="66"/>
        <v>0</v>
      </c>
      <c r="P69" s="81">
        <f t="shared" si="66"/>
        <v>0</v>
      </c>
      <c r="Q69" s="81"/>
      <c r="R69" s="81"/>
      <c r="S69" s="81"/>
      <c r="T69" s="81"/>
      <c r="U69" s="318"/>
      <c r="V69" s="318"/>
      <c r="W69" s="318"/>
      <c r="X69" s="406"/>
      <c r="Y69" s="3598"/>
    </row>
    <row r="70" spans="1:26" ht="12" hidden="1" customHeight="1">
      <c r="A70" s="3601"/>
      <c r="B70" s="1909" t="s">
        <v>23</v>
      </c>
      <c r="C70" s="3612"/>
      <c r="D70" s="325">
        <f>SUM(M70:T70)</f>
        <v>0</v>
      </c>
      <c r="E70" s="84">
        <v>0</v>
      </c>
      <c r="F70" s="84"/>
      <c r="G70" s="84"/>
      <c r="H70" s="84"/>
      <c r="I70" s="84">
        <v>0</v>
      </c>
      <c r="J70" s="84"/>
      <c r="K70" s="84"/>
      <c r="L70" s="84"/>
      <c r="M70" s="387">
        <f>+E70+I70+J70+K70+L70</f>
        <v>0</v>
      </c>
      <c r="N70" s="84"/>
      <c r="O70" s="84">
        <f>10018-10018</f>
        <v>0</v>
      </c>
      <c r="P70" s="84">
        <v>0</v>
      </c>
      <c r="Q70" s="84"/>
      <c r="R70" s="84"/>
      <c r="S70" s="84"/>
      <c r="T70" s="84"/>
      <c r="U70" s="319"/>
      <c r="V70" s="319"/>
      <c r="W70" s="319"/>
      <c r="X70" s="85"/>
      <c r="Y70" s="3598"/>
    </row>
    <row r="71" spans="1:26" ht="12.75" hidden="1" customHeight="1">
      <c r="A71" s="3601"/>
      <c r="B71" s="1909" t="s">
        <v>28</v>
      </c>
      <c r="C71" s="3625"/>
      <c r="D71" s="325">
        <f>SUM(M71:T71)</f>
        <v>0</v>
      </c>
      <c r="E71" s="57">
        <f>+F71+G71+H71</f>
        <v>0</v>
      </c>
      <c r="F71" s="60"/>
      <c r="G71" s="92"/>
      <c r="H71" s="92"/>
      <c r="I71" s="92"/>
      <c r="J71" s="92"/>
      <c r="K71" s="92"/>
      <c r="L71" s="59">
        <v>0</v>
      </c>
      <c r="M71" s="387"/>
      <c r="N71" s="60">
        <v>0</v>
      </c>
      <c r="O71" s="110">
        <v>0</v>
      </c>
      <c r="P71" s="60">
        <v>0</v>
      </c>
      <c r="Q71" s="60"/>
      <c r="R71" s="60"/>
      <c r="S71" s="60"/>
      <c r="T71" s="60"/>
      <c r="U71" s="268"/>
      <c r="V71" s="268"/>
      <c r="W71" s="268"/>
      <c r="X71" s="85"/>
      <c r="Y71" s="3598"/>
    </row>
    <row r="72" spans="1:26" ht="12" hidden="1" customHeight="1">
      <c r="A72" s="3601"/>
      <c r="B72" s="2049" t="s">
        <v>29</v>
      </c>
      <c r="C72" s="3625"/>
      <c r="D72" s="61">
        <f>+D74+D73</f>
        <v>0</v>
      </c>
      <c r="E72" s="61">
        <f t="shared" ref="E72:P72" si="67">+E74+E73</f>
        <v>0</v>
      </c>
      <c r="F72" s="61">
        <f t="shared" si="67"/>
        <v>0</v>
      </c>
      <c r="G72" s="61">
        <f t="shared" si="67"/>
        <v>0</v>
      </c>
      <c r="H72" s="61">
        <f t="shared" si="67"/>
        <v>0</v>
      </c>
      <c r="I72" s="61">
        <f t="shared" si="67"/>
        <v>0</v>
      </c>
      <c r="J72" s="61">
        <f t="shared" si="67"/>
        <v>0</v>
      </c>
      <c r="K72" s="61">
        <f t="shared" si="67"/>
        <v>0</v>
      </c>
      <c r="L72" s="61">
        <f t="shared" si="67"/>
        <v>0</v>
      </c>
      <c r="M72" s="61">
        <f t="shared" si="67"/>
        <v>0</v>
      </c>
      <c r="N72" s="61">
        <f t="shared" si="67"/>
        <v>0</v>
      </c>
      <c r="O72" s="61">
        <f t="shared" si="67"/>
        <v>0</v>
      </c>
      <c r="P72" s="61">
        <f t="shared" si="67"/>
        <v>0</v>
      </c>
      <c r="Q72" s="61"/>
      <c r="R72" s="61"/>
      <c r="S72" s="61"/>
      <c r="T72" s="61"/>
      <c r="U72" s="320"/>
      <c r="V72" s="320"/>
      <c r="W72" s="320"/>
      <c r="X72" s="418"/>
      <c r="Y72" s="3598"/>
    </row>
    <row r="73" spans="1:26" ht="12" hidden="1" customHeight="1">
      <c r="A73" s="3601"/>
      <c r="B73" s="1909" t="s">
        <v>28</v>
      </c>
      <c r="C73" s="3625"/>
      <c r="D73" s="56">
        <f>+E73+I73+J73+K73+L73</f>
        <v>0</v>
      </c>
      <c r="E73" s="57">
        <f>+F73+G73+H73</f>
        <v>0</v>
      </c>
      <c r="F73" s="60">
        <v>0</v>
      </c>
      <c r="G73" s="92">
        <v>0</v>
      </c>
      <c r="H73" s="92">
        <v>0</v>
      </c>
      <c r="I73" s="92">
        <v>0</v>
      </c>
      <c r="J73" s="92">
        <v>0</v>
      </c>
      <c r="K73" s="92">
        <v>0</v>
      </c>
      <c r="L73" s="59">
        <v>0</v>
      </c>
      <c r="M73" s="60"/>
      <c r="N73" s="60">
        <v>0</v>
      </c>
      <c r="O73" s="60">
        <v>0</v>
      </c>
      <c r="P73" s="60">
        <v>0</v>
      </c>
      <c r="Q73" s="60"/>
      <c r="R73" s="60"/>
      <c r="S73" s="60"/>
      <c r="T73" s="60"/>
      <c r="U73" s="268"/>
      <c r="V73" s="268"/>
      <c r="W73" s="268"/>
      <c r="X73" s="419"/>
      <c r="Y73" s="3598"/>
    </row>
    <row r="74" spans="1:26" ht="12" hidden="1" customHeight="1">
      <c r="A74" s="3601"/>
      <c r="B74" s="2050" t="s">
        <v>32</v>
      </c>
      <c r="C74" s="3628"/>
      <c r="D74" s="325">
        <f>SUM(M74:T74)</f>
        <v>0</v>
      </c>
      <c r="E74" s="57">
        <f>+F74+G74+H74</f>
        <v>0</v>
      </c>
      <c r="F74" s="64">
        <v>0</v>
      </c>
      <c r="G74" s="86"/>
      <c r="H74" s="86"/>
      <c r="I74" s="86"/>
      <c r="J74" s="86"/>
      <c r="K74" s="86"/>
      <c r="L74" s="57">
        <v>0</v>
      </c>
      <c r="M74" s="387">
        <f>+E74+I74+J74+K74+L74</f>
        <v>0</v>
      </c>
      <c r="N74" s="57">
        <v>0</v>
      </c>
      <c r="O74" s="57">
        <v>0</v>
      </c>
      <c r="P74" s="57">
        <v>0</v>
      </c>
      <c r="Q74" s="57"/>
      <c r="R74" s="57"/>
      <c r="S74" s="64"/>
      <c r="T74" s="64"/>
      <c r="U74" s="268"/>
      <c r="V74" s="268"/>
      <c r="W74" s="268"/>
      <c r="X74" s="420"/>
      <c r="Y74" s="3599"/>
    </row>
    <row r="75" spans="1:26" ht="12" hidden="1" customHeight="1">
      <c r="A75" s="3637"/>
      <c r="B75" s="97" t="s">
        <v>33</v>
      </c>
      <c r="C75" s="26"/>
      <c r="D75" s="258">
        <f>+D76+D78</f>
        <v>0</v>
      </c>
      <c r="E75" s="258">
        <f t="shared" ref="E75:P75" si="68">+E76+E78</f>
        <v>0</v>
      </c>
      <c r="F75" s="258">
        <f t="shared" si="68"/>
        <v>0</v>
      </c>
      <c r="G75" s="258">
        <f t="shared" si="68"/>
        <v>0</v>
      </c>
      <c r="H75" s="258">
        <f t="shared" si="68"/>
        <v>0</v>
      </c>
      <c r="I75" s="258">
        <f t="shared" si="68"/>
        <v>0</v>
      </c>
      <c r="J75" s="258">
        <f t="shared" si="68"/>
        <v>0</v>
      </c>
      <c r="K75" s="258">
        <f t="shared" si="68"/>
        <v>0</v>
      </c>
      <c r="L75" s="258">
        <f t="shared" si="68"/>
        <v>0</v>
      </c>
      <c r="M75" s="258">
        <f>+M76+M78</f>
        <v>0</v>
      </c>
      <c r="N75" s="258">
        <f t="shared" si="68"/>
        <v>0</v>
      </c>
      <c r="O75" s="258">
        <f t="shared" si="68"/>
        <v>0</v>
      </c>
      <c r="P75" s="258">
        <f t="shared" si="68"/>
        <v>0</v>
      </c>
      <c r="Q75" s="258"/>
      <c r="R75" s="258"/>
      <c r="S75" s="258"/>
      <c r="T75" s="258"/>
      <c r="U75" s="2051"/>
      <c r="V75" s="2051"/>
      <c r="W75" s="2051"/>
      <c r="X75" s="3198"/>
      <c r="Y75" s="3642" t="s">
        <v>290</v>
      </c>
    </row>
    <row r="76" spans="1:26" ht="12" hidden="1" customHeight="1">
      <c r="A76" s="3637"/>
      <c r="B76" s="2048" t="s">
        <v>35</v>
      </c>
      <c r="C76" s="3624" t="s">
        <v>99</v>
      </c>
      <c r="D76" s="65">
        <f>+D77</f>
        <v>0</v>
      </c>
      <c r="E76" s="65">
        <f t="shared" ref="E76:P76" si="69">+E77</f>
        <v>0</v>
      </c>
      <c r="F76" s="65">
        <f t="shared" si="69"/>
        <v>0</v>
      </c>
      <c r="G76" s="65">
        <f t="shared" si="69"/>
        <v>0</v>
      </c>
      <c r="H76" s="65">
        <f t="shared" si="69"/>
        <v>0</v>
      </c>
      <c r="I76" s="65">
        <f t="shared" si="69"/>
        <v>0</v>
      </c>
      <c r="J76" s="65">
        <f t="shared" si="69"/>
        <v>0</v>
      </c>
      <c r="K76" s="65">
        <f t="shared" si="69"/>
        <v>0</v>
      </c>
      <c r="L76" s="65">
        <f t="shared" si="69"/>
        <v>0</v>
      </c>
      <c r="M76" s="65">
        <f t="shared" si="69"/>
        <v>0</v>
      </c>
      <c r="N76" s="65">
        <f t="shared" si="69"/>
        <v>0</v>
      </c>
      <c r="O76" s="65">
        <f t="shared" si="69"/>
        <v>0</v>
      </c>
      <c r="P76" s="65">
        <f t="shared" si="69"/>
        <v>0</v>
      </c>
      <c r="Q76" s="65"/>
      <c r="R76" s="65"/>
      <c r="S76" s="65"/>
      <c r="T76" s="65"/>
      <c r="U76" s="320"/>
      <c r="V76" s="320"/>
      <c r="W76" s="320"/>
      <c r="X76" s="3199"/>
      <c r="Y76" s="3609"/>
    </row>
    <row r="77" spans="1:26" ht="12" hidden="1" customHeight="1">
      <c r="A77" s="3637"/>
      <c r="B77" s="1909" t="s">
        <v>28</v>
      </c>
      <c r="C77" s="3612"/>
      <c r="D77" s="325">
        <f>SUM(M77:T77)</f>
        <v>0</v>
      </c>
      <c r="E77" s="67">
        <v>0</v>
      </c>
      <c r="F77" s="67">
        <v>0</v>
      </c>
      <c r="G77" s="67">
        <v>0</v>
      </c>
      <c r="H77" s="67">
        <v>0</v>
      </c>
      <c r="I77" s="67">
        <v>0</v>
      </c>
      <c r="J77" s="92"/>
      <c r="K77" s="92"/>
      <c r="L77" s="67"/>
      <c r="M77" s="387"/>
      <c r="N77" s="67">
        <v>0</v>
      </c>
      <c r="O77" s="67">
        <v>0</v>
      </c>
      <c r="P77" s="67">
        <v>0</v>
      </c>
      <c r="Q77" s="67"/>
      <c r="R77" s="67"/>
      <c r="S77" s="67"/>
      <c r="T77" s="67"/>
      <c r="U77" s="125"/>
      <c r="V77" s="125"/>
      <c r="W77" s="125"/>
      <c r="X77" s="3199"/>
      <c r="Y77" s="3609"/>
    </row>
    <row r="78" spans="1:26" ht="12" hidden="1" customHeight="1">
      <c r="A78" s="3637"/>
      <c r="B78" s="2049" t="s">
        <v>29</v>
      </c>
      <c r="C78" s="3612"/>
      <c r="D78" s="61">
        <f>+D80+D79</f>
        <v>0</v>
      </c>
      <c r="E78" s="61">
        <f t="shared" ref="E78:P78" si="70">+E80+E79</f>
        <v>0</v>
      </c>
      <c r="F78" s="61">
        <f t="shared" si="70"/>
        <v>0</v>
      </c>
      <c r="G78" s="61">
        <f t="shared" si="70"/>
        <v>0</v>
      </c>
      <c r="H78" s="61">
        <f t="shared" si="70"/>
        <v>0</v>
      </c>
      <c r="I78" s="61">
        <f t="shared" si="70"/>
        <v>0</v>
      </c>
      <c r="J78" s="61">
        <f t="shared" si="70"/>
        <v>0</v>
      </c>
      <c r="K78" s="61">
        <f t="shared" si="70"/>
        <v>0</v>
      </c>
      <c r="L78" s="61">
        <f t="shared" si="70"/>
        <v>0</v>
      </c>
      <c r="M78" s="61">
        <f t="shared" si="70"/>
        <v>0</v>
      </c>
      <c r="N78" s="61">
        <f t="shared" si="70"/>
        <v>0</v>
      </c>
      <c r="O78" s="61">
        <f t="shared" si="70"/>
        <v>0</v>
      </c>
      <c r="P78" s="61">
        <f t="shared" si="70"/>
        <v>0</v>
      </c>
      <c r="Q78" s="61"/>
      <c r="R78" s="61"/>
      <c r="S78" s="61"/>
      <c r="T78" s="61"/>
      <c r="U78" s="320"/>
      <c r="V78" s="320"/>
      <c r="W78" s="320"/>
      <c r="X78" s="3199"/>
      <c r="Y78" s="3609"/>
    </row>
    <row r="79" spans="1:26" ht="12" hidden="1" customHeight="1">
      <c r="A79" s="3637"/>
      <c r="B79" s="1909" t="s">
        <v>28</v>
      </c>
      <c r="C79" s="3612"/>
      <c r="D79" s="325">
        <f>SUM(M79:T79)</f>
        <v>0</v>
      </c>
      <c r="E79" s="59">
        <v>0</v>
      </c>
      <c r="F79" s="60"/>
      <c r="G79" s="92"/>
      <c r="H79" s="92"/>
      <c r="I79" s="92">
        <v>0</v>
      </c>
      <c r="J79" s="92">
        <v>0</v>
      </c>
      <c r="K79" s="92">
        <v>0</v>
      </c>
      <c r="L79" s="59">
        <v>0</v>
      </c>
      <c r="M79" s="387">
        <f>+E79+I79+J79+K79+L79</f>
        <v>0</v>
      </c>
      <c r="N79" s="60">
        <v>0</v>
      </c>
      <c r="O79" s="60">
        <v>0</v>
      </c>
      <c r="P79" s="60">
        <v>0</v>
      </c>
      <c r="Q79" s="60"/>
      <c r="R79" s="60"/>
      <c r="S79" s="60"/>
      <c r="T79" s="60"/>
      <c r="U79" s="268"/>
      <c r="V79" s="268"/>
      <c r="W79" s="268"/>
      <c r="X79" s="3199"/>
      <c r="Y79" s="3609"/>
    </row>
    <row r="80" spans="1:26" ht="12" hidden="1" customHeight="1" thickBot="1">
      <c r="A80" s="3638"/>
      <c r="B80" s="93" t="s">
        <v>32</v>
      </c>
      <c r="C80" s="3613"/>
      <c r="D80" s="325">
        <f>SUM(M80:T80)</f>
        <v>0</v>
      </c>
      <c r="E80" s="89">
        <f>+F80+G80+H80</f>
        <v>0</v>
      </c>
      <c r="F80" s="90">
        <v>0</v>
      </c>
      <c r="G80" s="95">
        <v>0</v>
      </c>
      <c r="H80" s="89">
        <v>0</v>
      </c>
      <c r="I80" s="89">
        <v>0</v>
      </c>
      <c r="J80" s="89"/>
      <c r="K80" s="89"/>
      <c r="L80" s="89"/>
      <c r="M80" s="70">
        <f>L80+E80+I80+J80+K80</f>
        <v>0</v>
      </c>
      <c r="N80" s="89">
        <v>0</v>
      </c>
      <c r="O80" s="89">
        <v>0</v>
      </c>
      <c r="P80" s="89">
        <v>0</v>
      </c>
      <c r="Q80" s="89"/>
      <c r="R80" s="89"/>
      <c r="S80" s="89"/>
      <c r="T80" s="89"/>
      <c r="U80" s="72"/>
      <c r="V80" s="72"/>
      <c r="W80" s="72"/>
      <c r="X80" s="3200"/>
      <c r="Y80" s="3610"/>
    </row>
    <row r="81" spans="1:26" ht="24" hidden="1" customHeight="1">
      <c r="A81" s="3600"/>
      <c r="B81" s="91"/>
      <c r="C81" s="73" t="s">
        <v>95</v>
      </c>
      <c r="D81" s="74"/>
      <c r="E81" s="96"/>
      <c r="F81" s="75"/>
      <c r="G81" s="76"/>
      <c r="H81" s="76"/>
      <c r="I81" s="50"/>
      <c r="J81" s="50"/>
      <c r="K81" s="50"/>
      <c r="L81" s="50"/>
      <c r="M81" s="50"/>
      <c r="N81" s="50"/>
      <c r="O81" s="50"/>
      <c r="P81" s="52"/>
      <c r="Q81" s="52"/>
      <c r="R81" s="52"/>
      <c r="S81" s="52"/>
      <c r="T81" s="52"/>
      <c r="U81" s="52"/>
      <c r="V81" s="52"/>
      <c r="W81" s="52"/>
      <c r="X81" s="53"/>
      <c r="Y81" s="54" t="s">
        <v>96</v>
      </c>
    </row>
    <row r="82" spans="1:26" ht="12" hidden="1" customHeight="1">
      <c r="A82" s="3601"/>
      <c r="B82" s="97" t="s">
        <v>21</v>
      </c>
      <c r="C82" s="26"/>
      <c r="D82" s="78"/>
      <c r="E82" s="79"/>
      <c r="F82" s="78"/>
      <c r="G82" s="78"/>
      <c r="H82" s="79"/>
      <c r="I82" s="78"/>
      <c r="J82" s="78"/>
      <c r="K82" s="79"/>
      <c r="L82" s="78"/>
      <c r="M82" s="78"/>
      <c r="N82" s="78"/>
      <c r="O82" s="78"/>
      <c r="P82" s="78"/>
      <c r="Q82" s="78"/>
      <c r="R82" s="78"/>
      <c r="S82" s="78"/>
      <c r="T82" s="78"/>
      <c r="U82" s="78"/>
      <c r="V82" s="78"/>
      <c r="W82" s="78"/>
      <c r="X82" s="80">
        <f>+X83+X87</f>
        <v>0</v>
      </c>
      <c r="Y82" s="3598" t="s">
        <v>97</v>
      </c>
      <c r="Z82" s="864">
        <f>+O82+P82</f>
        <v>0</v>
      </c>
    </row>
    <row r="83" spans="1:26" ht="12" hidden="1" customHeight="1">
      <c r="A83" s="3601"/>
      <c r="B83" s="2048" t="s">
        <v>35</v>
      </c>
      <c r="C83" s="3624" t="s">
        <v>98</v>
      </c>
      <c r="D83" s="98"/>
      <c r="E83" s="98"/>
      <c r="F83" s="98"/>
      <c r="G83" s="98"/>
      <c r="H83" s="98"/>
      <c r="I83" s="98"/>
      <c r="J83" s="98"/>
      <c r="K83" s="98"/>
      <c r="L83" s="98"/>
      <c r="M83" s="98"/>
      <c r="N83" s="98"/>
      <c r="O83" s="98"/>
      <c r="P83" s="98"/>
      <c r="Q83" s="98"/>
      <c r="R83" s="98"/>
      <c r="S83" s="98"/>
      <c r="T83" s="98"/>
      <c r="U83" s="98"/>
      <c r="V83" s="98"/>
      <c r="W83" s="98"/>
      <c r="X83" s="99">
        <f>+X84+X85+X86</f>
        <v>0</v>
      </c>
      <c r="Y83" s="3598"/>
    </row>
    <row r="84" spans="1:26" ht="12" hidden="1" customHeight="1">
      <c r="A84" s="3601"/>
      <c r="B84" s="811" t="s">
        <v>23</v>
      </c>
      <c r="C84" s="3625"/>
      <c r="D84" s="325"/>
      <c r="E84" s="413"/>
      <c r="F84" s="92"/>
      <c r="G84" s="59"/>
      <c r="H84" s="59"/>
      <c r="I84" s="59"/>
      <c r="J84" s="59"/>
      <c r="K84" s="59"/>
      <c r="L84" s="92"/>
      <c r="M84" s="387"/>
      <c r="N84" s="92"/>
      <c r="O84" s="92"/>
      <c r="P84" s="110"/>
      <c r="Q84" s="60"/>
      <c r="R84" s="60"/>
      <c r="S84" s="60"/>
      <c r="T84" s="60"/>
      <c r="U84" s="60"/>
      <c r="V84" s="60"/>
      <c r="W84" s="60"/>
      <c r="X84" s="44">
        <f>SUM(Q84:W84)</f>
        <v>0</v>
      </c>
      <c r="Y84" s="3598"/>
    </row>
    <row r="85" spans="1:26" ht="12" hidden="1" customHeight="1">
      <c r="A85" s="3601"/>
      <c r="B85" s="1909" t="s">
        <v>28</v>
      </c>
      <c r="C85" s="3625"/>
      <c r="D85" s="325"/>
      <c r="E85" s="59"/>
      <c r="F85" s="64"/>
      <c r="G85" s="57"/>
      <c r="H85" s="57"/>
      <c r="I85" s="57"/>
      <c r="J85" s="57"/>
      <c r="K85" s="57"/>
      <c r="L85" s="60"/>
      <c r="M85" s="387"/>
      <c r="N85" s="60"/>
      <c r="O85" s="60"/>
      <c r="P85" s="60"/>
      <c r="Q85" s="60"/>
      <c r="R85" s="60"/>
      <c r="S85" s="60"/>
      <c r="T85" s="60"/>
      <c r="U85" s="60"/>
      <c r="V85" s="60"/>
      <c r="W85" s="60"/>
      <c r="X85" s="44">
        <f>SUM(Q85:W85)</f>
        <v>0</v>
      </c>
      <c r="Y85" s="3598"/>
    </row>
    <row r="86" spans="1:26" ht="12" hidden="1" customHeight="1">
      <c r="A86" s="3601"/>
      <c r="B86" s="1909" t="s">
        <v>26</v>
      </c>
      <c r="C86" s="3625"/>
      <c r="D86" s="325"/>
      <c r="E86" s="60"/>
      <c r="F86" s="64"/>
      <c r="G86" s="64"/>
      <c r="H86" s="64"/>
      <c r="I86" s="64"/>
      <c r="J86" s="64"/>
      <c r="K86" s="64"/>
      <c r="L86" s="60"/>
      <c r="M86" s="387"/>
      <c r="N86" s="60"/>
      <c r="O86" s="60"/>
      <c r="P86" s="60"/>
      <c r="Q86" s="60"/>
      <c r="R86" s="60"/>
      <c r="S86" s="60"/>
      <c r="T86" s="60"/>
      <c r="U86" s="60"/>
      <c r="V86" s="60"/>
      <c r="W86" s="60"/>
      <c r="X86" s="44">
        <f>SUM(Q86:W86)</f>
        <v>0</v>
      </c>
      <c r="Y86" s="3598"/>
    </row>
    <row r="87" spans="1:26" ht="12" hidden="1" customHeight="1">
      <c r="A87" s="3601"/>
      <c r="B87" s="2052" t="s">
        <v>29</v>
      </c>
      <c r="C87" s="3625"/>
      <c r="D87" s="61"/>
      <c r="E87" s="61"/>
      <c r="F87" s="61"/>
      <c r="G87" s="61"/>
      <c r="H87" s="61"/>
      <c r="I87" s="61"/>
      <c r="J87" s="61"/>
      <c r="K87" s="61"/>
      <c r="L87" s="61"/>
      <c r="M87" s="61"/>
      <c r="N87" s="61"/>
      <c r="O87" s="61"/>
      <c r="P87" s="61"/>
      <c r="Q87" s="61"/>
      <c r="R87" s="61"/>
      <c r="S87" s="61"/>
      <c r="T87" s="61"/>
      <c r="U87" s="61"/>
      <c r="V87" s="61"/>
      <c r="W87" s="61"/>
      <c r="X87" s="99">
        <f>+X89+X88</f>
        <v>0</v>
      </c>
      <c r="Y87" s="3598"/>
    </row>
    <row r="88" spans="1:26" ht="12.75" hidden="1" customHeight="1">
      <c r="A88" s="3601"/>
      <c r="B88" s="1909" t="s">
        <v>28</v>
      </c>
      <c r="C88" s="3625"/>
      <c r="D88" s="56"/>
      <c r="E88" s="59"/>
      <c r="F88" s="64"/>
      <c r="G88" s="57"/>
      <c r="H88" s="57"/>
      <c r="I88" s="57"/>
      <c r="J88" s="57"/>
      <c r="K88" s="57"/>
      <c r="L88" s="57"/>
      <c r="M88" s="387"/>
      <c r="N88" s="57"/>
      <c r="O88" s="57"/>
      <c r="P88" s="64"/>
      <c r="Q88" s="64"/>
      <c r="R88" s="64"/>
      <c r="S88" s="64"/>
      <c r="T88" s="64"/>
      <c r="U88" s="64"/>
      <c r="V88" s="64"/>
      <c r="W88" s="64"/>
      <c r="X88" s="44">
        <f>SUM(P88:T88)</f>
        <v>0</v>
      </c>
      <c r="Y88" s="3598"/>
    </row>
    <row r="89" spans="1:26" ht="12" hidden="1" customHeight="1">
      <c r="A89" s="3601"/>
      <c r="B89" s="811" t="s">
        <v>32</v>
      </c>
      <c r="C89" s="3628"/>
      <c r="D89" s="325"/>
      <c r="E89" s="59"/>
      <c r="F89" s="64"/>
      <c r="G89" s="57"/>
      <c r="H89" s="57"/>
      <c r="I89" s="57"/>
      <c r="J89" s="57"/>
      <c r="K89" s="57"/>
      <c r="L89" s="57"/>
      <c r="M89" s="387"/>
      <c r="N89" s="57"/>
      <c r="O89" s="57"/>
      <c r="P89" s="64"/>
      <c r="Q89" s="64"/>
      <c r="R89" s="64"/>
      <c r="S89" s="64"/>
      <c r="T89" s="64"/>
      <c r="U89" s="64"/>
      <c r="V89" s="64"/>
      <c r="W89" s="64"/>
      <c r="X89" s="44">
        <f>SUM(Q89:W89)</f>
        <v>0</v>
      </c>
      <c r="Y89" s="3599"/>
    </row>
    <row r="90" spans="1:26" hidden="1">
      <c r="A90" s="3637"/>
      <c r="B90" s="101" t="s">
        <v>33</v>
      </c>
      <c r="C90" s="26"/>
      <c r="D90" s="258"/>
      <c r="E90" s="258"/>
      <c r="F90" s="258"/>
      <c r="G90" s="258"/>
      <c r="H90" s="258"/>
      <c r="I90" s="258"/>
      <c r="J90" s="258"/>
      <c r="K90" s="258"/>
      <c r="L90" s="258"/>
      <c r="M90" s="258"/>
      <c r="N90" s="258"/>
      <c r="O90" s="258"/>
      <c r="P90" s="258"/>
      <c r="Q90" s="258"/>
      <c r="R90" s="258"/>
      <c r="S90" s="258"/>
      <c r="T90" s="258"/>
      <c r="U90" s="258"/>
      <c r="V90" s="258"/>
      <c r="W90" s="258"/>
      <c r="X90" s="3667" t="s">
        <v>34</v>
      </c>
      <c r="Y90" s="3642" t="s">
        <v>290</v>
      </c>
      <c r="Z90" s="864">
        <v>-34928177</v>
      </c>
    </row>
    <row r="91" spans="1:26" hidden="1">
      <c r="A91" s="3637"/>
      <c r="B91" s="2048" t="s">
        <v>35</v>
      </c>
      <c r="C91" s="3624" t="s">
        <v>99</v>
      </c>
      <c r="D91" s="65"/>
      <c r="E91" s="65"/>
      <c r="F91" s="65"/>
      <c r="G91" s="65"/>
      <c r="H91" s="65"/>
      <c r="I91" s="65"/>
      <c r="J91" s="65"/>
      <c r="K91" s="65"/>
      <c r="L91" s="65"/>
      <c r="M91" s="65"/>
      <c r="N91" s="65"/>
      <c r="O91" s="65"/>
      <c r="P91" s="65"/>
      <c r="Q91" s="65"/>
      <c r="R91" s="65"/>
      <c r="S91" s="65"/>
      <c r="T91" s="65"/>
      <c r="U91" s="65"/>
      <c r="V91" s="65"/>
      <c r="W91" s="65"/>
      <c r="X91" s="3635"/>
      <c r="Y91" s="3609"/>
    </row>
    <row r="92" spans="1:26" ht="12" hidden="1" customHeight="1">
      <c r="A92" s="3637"/>
      <c r="B92" s="1909" t="s">
        <v>28</v>
      </c>
      <c r="C92" s="3612"/>
      <c r="D92" s="325"/>
      <c r="E92" s="60"/>
      <c r="F92" s="60"/>
      <c r="G92" s="59"/>
      <c r="H92" s="92"/>
      <c r="I92" s="92"/>
      <c r="J92" s="59"/>
      <c r="K92" s="59"/>
      <c r="L92" s="59"/>
      <c r="M92" s="387"/>
      <c r="N92" s="59"/>
      <c r="O92" s="59"/>
      <c r="P92" s="413"/>
      <c r="Q92" s="413"/>
      <c r="R92" s="413"/>
      <c r="S92" s="413"/>
      <c r="T92" s="413"/>
      <c r="U92" s="413"/>
      <c r="V92" s="413"/>
      <c r="W92" s="413"/>
      <c r="X92" s="3635"/>
      <c r="Y92" s="3609"/>
    </row>
    <row r="93" spans="1:26" ht="10.5" hidden="1" customHeight="1">
      <c r="A93" s="3637"/>
      <c r="B93" s="1909" t="s">
        <v>26</v>
      </c>
      <c r="C93" s="3612"/>
      <c r="D93" s="325"/>
      <c r="E93" s="60"/>
      <c r="F93" s="60"/>
      <c r="G93" s="60"/>
      <c r="H93" s="110"/>
      <c r="I93" s="110"/>
      <c r="J93" s="60"/>
      <c r="K93" s="60"/>
      <c r="L93" s="60"/>
      <c r="M93" s="387"/>
      <c r="N93" s="60"/>
      <c r="O93" s="60"/>
      <c r="P93" s="59"/>
      <c r="Q93" s="60"/>
      <c r="R93" s="60"/>
      <c r="S93" s="60"/>
      <c r="T93" s="60"/>
      <c r="U93" s="60"/>
      <c r="V93" s="60"/>
      <c r="W93" s="60"/>
      <c r="X93" s="3635"/>
      <c r="Y93" s="3609"/>
    </row>
    <row r="94" spans="1:26" ht="12" hidden="1" customHeight="1">
      <c r="A94" s="3637"/>
      <c r="B94" s="2052" t="s">
        <v>29</v>
      </c>
      <c r="C94" s="3612"/>
      <c r="D94" s="1907"/>
      <c r="E94" s="1907"/>
      <c r="F94" s="1907"/>
      <c r="G94" s="1907"/>
      <c r="H94" s="1907"/>
      <c r="I94" s="1907"/>
      <c r="J94" s="1907"/>
      <c r="K94" s="2053"/>
      <c r="L94" s="1907"/>
      <c r="M94" s="1907"/>
      <c r="N94" s="1907"/>
      <c r="O94" s="1907"/>
      <c r="P94" s="1907"/>
      <c r="Q94" s="1907"/>
      <c r="R94" s="1907"/>
      <c r="S94" s="1907"/>
      <c r="T94" s="1907"/>
      <c r="U94" s="1907"/>
      <c r="V94" s="1907"/>
      <c r="W94" s="1907"/>
      <c r="X94" s="3635"/>
      <c r="Y94" s="3609"/>
    </row>
    <row r="95" spans="1:26" ht="12" hidden="1" customHeight="1" thickBot="1">
      <c r="A95" s="3637"/>
      <c r="B95" s="1909" t="s">
        <v>28</v>
      </c>
      <c r="C95" s="3612"/>
      <c r="D95" s="67"/>
      <c r="E95" s="60"/>
      <c r="F95" s="60"/>
      <c r="G95" s="59"/>
      <c r="H95" s="92"/>
      <c r="I95" s="92"/>
      <c r="J95" s="59"/>
      <c r="K95" s="59"/>
      <c r="L95" s="92"/>
      <c r="M95" s="59"/>
      <c r="N95" s="59"/>
      <c r="O95" s="59"/>
      <c r="P95" s="413"/>
      <c r="Q95" s="413"/>
      <c r="R95" s="413"/>
      <c r="S95" s="413"/>
      <c r="T95" s="413"/>
      <c r="U95" s="413"/>
      <c r="V95" s="413"/>
      <c r="W95" s="413"/>
      <c r="X95" s="3636"/>
      <c r="Y95" s="3609"/>
    </row>
    <row r="96" spans="1:26" ht="12.75" hidden="1" customHeight="1" thickBot="1">
      <c r="A96" s="3638"/>
      <c r="B96" s="93" t="s">
        <v>32</v>
      </c>
      <c r="C96" s="3613"/>
      <c r="D96" s="325"/>
      <c r="E96" s="71"/>
      <c r="F96" s="71"/>
      <c r="G96" s="70"/>
      <c r="H96" s="874"/>
      <c r="I96" s="874"/>
      <c r="J96" s="70"/>
      <c r="K96" s="70"/>
      <c r="L96" s="874"/>
      <c r="M96" s="387"/>
      <c r="N96" s="70"/>
      <c r="O96" s="70"/>
      <c r="P96" s="72"/>
      <c r="Q96" s="72"/>
      <c r="R96" s="72"/>
      <c r="S96" s="72"/>
      <c r="T96" s="72"/>
      <c r="U96" s="72"/>
      <c r="V96" s="72"/>
      <c r="W96" s="72"/>
      <c r="X96" s="2054"/>
      <c r="Y96" s="3610"/>
    </row>
    <row r="97" spans="1:29" s="353" customFormat="1" ht="16.5" customHeight="1" thickBot="1">
      <c r="A97" s="868"/>
      <c r="B97" s="378" t="s">
        <v>517</v>
      </c>
      <c r="C97" s="869"/>
      <c r="D97" s="2089"/>
      <c r="E97" s="2090"/>
      <c r="F97" s="2090"/>
      <c r="G97" s="2091"/>
      <c r="H97" s="2091"/>
      <c r="I97" s="2091"/>
      <c r="J97" s="2091"/>
      <c r="K97" s="2091"/>
      <c r="L97" s="2091"/>
      <c r="M97" s="870"/>
      <c r="N97" s="2092"/>
      <c r="O97" s="2092"/>
      <c r="P97" s="2092"/>
      <c r="Q97" s="2092"/>
      <c r="R97" s="2092"/>
      <c r="S97" s="2092"/>
      <c r="T97" s="2092"/>
      <c r="U97" s="2092"/>
      <c r="V97" s="2092"/>
      <c r="W97" s="2092"/>
      <c r="X97" s="871"/>
      <c r="Y97" s="872"/>
    </row>
    <row r="98" spans="1:29" ht="27" customHeight="1">
      <c r="A98" s="3714" t="s">
        <v>77</v>
      </c>
      <c r="B98" s="707" t="s">
        <v>463</v>
      </c>
      <c r="C98" s="73" t="s">
        <v>95</v>
      </c>
      <c r="D98" s="74"/>
      <c r="E98" s="96"/>
      <c r="F98" s="75"/>
      <c r="G98" s="76"/>
      <c r="H98" s="76"/>
      <c r="I98" s="50"/>
      <c r="J98" s="50"/>
      <c r="K98" s="50"/>
      <c r="L98" s="50"/>
      <c r="M98" s="50"/>
      <c r="N98" s="50"/>
      <c r="O98" s="50"/>
      <c r="P98" s="52"/>
      <c r="Q98" s="52"/>
      <c r="R98" s="52"/>
      <c r="S98" s="52"/>
      <c r="T98" s="52"/>
      <c r="U98" s="52"/>
      <c r="V98" s="52"/>
      <c r="W98" s="52"/>
      <c r="X98" s="53"/>
      <c r="Y98" s="54" t="s">
        <v>96</v>
      </c>
    </row>
    <row r="99" spans="1:29" ht="13.5" customHeight="1">
      <c r="A99" s="3715"/>
      <c r="B99" s="25" t="s">
        <v>21</v>
      </c>
      <c r="C99" s="26"/>
      <c r="D99" s="78">
        <f t="shared" ref="D99:P99" si="71">+D100+D103</f>
        <v>16024504</v>
      </c>
      <c r="E99" s="78">
        <f t="shared" si="71"/>
        <v>15437</v>
      </c>
      <c r="F99" s="78">
        <f t="shared" si="71"/>
        <v>0</v>
      </c>
      <c r="G99" s="78">
        <f t="shared" si="71"/>
        <v>15437</v>
      </c>
      <c r="H99" s="78">
        <f t="shared" si="71"/>
        <v>0</v>
      </c>
      <c r="I99" s="78">
        <f t="shared" si="71"/>
        <v>342392</v>
      </c>
      <c r="J99" s="78">
        <f t="shared" si="71"/>
        <v>8517618</v>
      </c>
      <c r="K99" s="78">
        <f t="shared" si="71"/>
        <v>6851153</v>
      </c>
      <c r="L99" s="78">
        <f t="shared" si="71"/>
        <v>46043</v>
      </c>
      <c r="M99" s="78">
        <f>+M100+M103</f>
        <v>15820209</v>
      </c>
      <c r="N99" s="78">
        <f t="shared" si="71"/>
        <v>47566</v>
      </c>
      <c r="O99" s="78">
        <f t="shared" si="71"/>
        <v>0</v>
      </c>
      <c r="P99" s="78">
        <f t="shared" si="71"/>
        <v>27234</v>
      </c>
      <c r="Q99" s="78">
        <f>+Q100+Q103</f>
        <v>177061</v>
      </c>
      <c r="R99" s="78"/>
      <c r="S99" s="78"/>
      <c r="T99" s="78"/>
      <c r="U99" s="78"/>
      <c r="V99" s="78"/>
      <c r="W99" s="78"/>
      <c r="X99" s="80">
        <f>+X100+X103</f>
        <v>177061</v>
      </c>
      <c r="Y99" s="3598" t="s">
        <v>97</v>
      </c>
    </row>
    <row r="100" spans="1:29" ht="12" customHeight="1">
      <c r="A100" s="3715"/>
      <c r="B100" s="217" t="s">
        <v>35</v>
      </c>
      <c r="C100" s="3624" t="s">
        <v>98</v>
      </c>
      <c r="D100" s="81">
        <f t="shared" ref="D100:P100" si="72">+D101+D102</f>
        <v>8216891</v>
      </c>
      <c r="E100" s="81">
        <f t="shared" si="72"/>
        <v>15437</v>
      </c>
      <c r="F100" s="81">
        <f t="shared" si="72"/>
        <v>0</v>
      </c>
      <c r="G100" s="81">
        <f t="shared" si="72"/>
        <v>15437</v>
      </c>
      <c r="H100" s="81">
        <f t="shared" si="72"/>
        <v>0</v>
      </c>
      <c r="I100" s="81">
        <f t="shared" si="72"/>
        <v>171542</v>
      </c>
      <c r="J100" s="81">
        <f t="shared" si="72"/>
        <v>6033655</v>
      </c>
      <c r="K100" s="81">
        <f t="shared" si="72"/>
        <v>1698353</v>
      </c>
      <c r="L100" s="81">
        <f t="shared" si="72"/>
        <v>46043</v>
      </c>
      <c r="M100" s="81">
        <f>+M101+M102</f>
        <v>8012596</v>
      </c>
      <c r="N100" s="81">
        <f t="shared" si="72"/>
        <v>47566</v>
      </c>
      <c r="O100" s="81">
        <f t="shared" si="72"/>
        <v>0</v>
      </c>
      <c r="P100" s="81">
        <f t="shared" si="72"/>
        <v>27234</v>
      </c>
      <c r="Q100" s="81">
        <f>+Q101+Q102</f>
        <v>177061</v>
      </c>
      <c r="R100" s="81"/>
      <c r="S100" s="81"/>
      <c r="T100" s="81"/>
      <c r="U100" s="81"/>
      <c r="V100" s="81"/>
      <c r="W100" s="81"/>
      <c r="X100" s="99">
        <f>+X101+X102</f>
        <v>177061</v>
      </c>
      <c r="Y100" s="3598"/>
    </row>
    <row r="101" spans="1:29" ht="12" customHeight="1">
      <c r="A101" s="3715"/>
      <c r="B101" s="727" t="s">
        <v>23</v>
      </c>
      <c r="C101" s="3612"/>
      <c r="D101" s="325">
        <f>M101+P101+Q101+R101+S101+T101+U101+V101+W101</f>
        <v>409278</v>
      </c>
      <c r="E101" s="60">
        <f>+F101+G101+H101</f>
        <v>15437</v>
      </c>
      <c r="F101" s="60">
        <v>0</v>
      </c>
      <c r="G101" s="92">
        <v>15437</v>
      </c>
      <c r="H101" s="92">
        <v>0</v>
      </c>
      <c r="I101" s="92">
        <v>692</v>
      </c>
      <c r="J101" s="92">
        <f>480+922</f>
        <v>1402</v>
      </c>
      <c r="K101" s="92">
        <v>93843</v>
      </c>
      <c r="L101" s="59">
        <f>140000-93957</f>
        <v>46043</v>
      </c>
      <c r="M101" s="387">
        <f t="shared" ref="M101:M102" si="73">+E101+I101+J101+K101+L101+N101+O101</f>
        <v>204983</v>
      </c>
      <c r="N101" s="92">
        <f>120000+80000-152434</f>
        <v>47566</v>
      </c>
      <c r="O101" s="92">
        <f>152434-152434</f>
        <v>0</v>
      </c>
      <c r="P101" s="110">
        <f>152434-97966-27234</f>
        <v>27234</v>
      </c>
      <c r="Q101" s="110">
        <f>51861+97966+27234</f>
        <v>177061</v>
      </c>
      <c r="R101" s="60"/>
      <c r="S101" s="60"/>
      <c r="T101" s="60"/>
      <c r="U101" s="60"/>
      <c r="V101" s="60"/>
      <c r="W101" s="60"/>
      <c r="X101" s="44">
        <f>SUM(Q101:W101)</f>
        <v>177061</v>
      </c>
      <c r="Y101" s="3598"/>
    </row>
    <row r="102" spans="1:29" ht="12" customHeight="1">
      <c r="A102" s="3715"/>
      <c r="B102" s="2046" t="s">
        <v>28</v>
      </c>
      <c r="C102" s="3612"/>
      <c r="D102" s="325">
        <f>M102+P102+Q102+R102+S102+T102+U102+V102+W102</f>
        <v>7807613</v>
      </c>
      <c r="E102" s="59">
        <v>0</v>
      </c>
      <c r="F102" s="60"/>
      <c r="G102" s="59"/>
      <c r="H102" s="92"/>
      <c r="I102" s="92">
        <f>171196-346</f>
        <v>170850</v>
      </c>
      <c r="J102" s="92">
        <f>6032714-461</f>
        <v>6032253</v>
      </c>
      <c r="K102" s="92">
        <v>1604510</v>
      </c>
      <c r="L102" s="60">
        <v>0</v>
      </c>
      <c r="M102" s="387">
        <f t="shared" si="73"/>
        <v>7807613</v>
      </c>
      <c r="N102" s="60">
        <v>0</v>
      </c>
      <c r="O102" s="60">
        <v>0</v>
      </c>
      <c r="P102" s="60">
        <v>0</v>
      </c>
      <c r="Q102" s="60"/>
      <c r="R102" s="60"/>
      <c r="S102" s="60"/>
      <c r="T102" s="60"/>
      <c r="U102" s="60"/>
      <c r="V102" s="60"/>
      <c r="W102" s="60"/>
      <c r="X102" s="44">
        <f>SUM(Q102:W102)</f>
        <v>0</v>
      </c>
      <c r="Y102" s="3598"/>
    </row>
    <row r="103" spans="1:29" ht="12" customHeight="1">
      <c r="A103" s="3715"/>
      <c r="B103" s="1910" t="s">
        <v>29</v>
      </c>
      <c r="C103" s="3612"/>
      <c r="D103" s="61">
        <f t="shared" ref="D103:P103" si="74">+D104+D105</f>
        <v>7807613</v>
      </c>
      <c r="E103" s="61">
        <f t="shared" si="74"/>
        <v>0</v>
      </c>
      <c r="F103" s="61">
        <f t="shared" si="74"/>
        <v>0</v>
      </c>
      <c r="G103" s="61">
        <f t="shared" si="74"/>
        <v>0</v>
      </c>
      <c r="H103" s="61">
        <f t="shared" si="74"/>
        <v>0</v>
      </c>
      <c r="I103" s="61">
        <f t="shared" si="74"/>
        <v>170850</v>
      </c>
      <c r="J103" s="61">
        <f t="shared" si="74"/>
        <v>2483963</v>
      </c>
      <c r="K103" s="61">
        <f t="shared" si="74"/>
        <v>5152800</v>
      </c>
      <c r="L103" s="61">
        <f t="shared" si="74"/>
        <v>0</v>
      </c>
      <c r="M103" s="61">
        <f t="shared" si="74"/>
        <v>7807613</v>
      </c>
      <c r="N103" s="61">
        <f t="shared" si="74"/>
        <v>0</v>
      </c>
      <c r="O103" s="61">
        <f t="shared" si="74"/>
        <v>0</v>
      </c>
      <c r="P103" s="61">
        <f t="shared" si="74"/>
        <v>0</v>
      </c>
      <c r="Q103" s="61"/>
      <c r="R103" s="61"/>
      <c r="S103" s="61"/>
      <c r="T103" s="61"/>
      <c r="U103" s="61"/>
      <c r="V103" s="61"/>
      <c r="W103" s="61"/>
      <c r="X103" s="99">
        <f>+X104+X105</f>
        <v>0</v>
      </c>
      <c r="Y103" s="3598"/>
    </row>
    <row r="104" spans="1:29" ht="12" hidden="1" customHeight="1">
      <c r="A104" s="3715"/>
      <c r="B104" s="811" t="s">
        <v>28</v>
      </c>
      <c r="C104" s="3612"/>
      <c r="D104" s="67">
        <f>+E104+I104+J104+K104+L104</f>
        <v>0</v>
      </c>
      <c r="E104" s="59">
        <v>0</v>
      </c>
      <c r="F104" s="60"/>
      <c r="G104" s="59"/>
      <c r="H104" s="92"/>
      <c r="I104" s="92">
        <v>0</v>
      </c>
      <c r="J104" s="92">
        <v>0</v>
      </c>
      <c r="K104" s="59">
        <v>0</v>
      </c>
      <c r="L104" s="59">
        <v>0</v>
      </c>
      <c r="M104" s="59"/>
      <c r="N104" s="59">
        <v>0</v>
      </c>
      <c r="O104" s="59">
        <v>0</v>
      </c>
      <c r="P104" s="60">
        <v>0</v>
      </c>
      <c r="Q104" s="60"/>
      <c r="R104" s="60"/>
      <c r="S104" s="60"/>
      <c r="T104" s="60"/>
      <c r="U104" s="268"/>
      <c r="V104" s="268"/>
      <c r="W104" s="268"/>
      <c r="X104" s="85"/>
      <c r="Y104" s="3598"/>
    </row>
    <row r="105" spans="1:29" ht="12" customHeight="1">
      <c r="A105" s="3715"/>
      <c r="B105" s="811" t="s">
        <v>32</v>
      </c>
      <c r="C105" s="3670"/>
      <c r="D105" s="325">
        <f>M105+P105+Q105+R105+S105+T105+U105+V105+W105</f>
        <v>7807613</v>
      </c>
      <c r="E105" s="59">
        <v>0</v>
      </c>
      <c r="F105" s="60"/>
      <c r="G105" s="59"/>
      <c r="H105" s="92"/>
      <c r="I105" s="92">
        <f>171196-346</f>
        <v>170850</v>
      </c>
      <c r="J105" s="92">
        <f>2484424-461</f>
        <v>2483963</v>
      </c>
      <c r="K105" s="59">
        <v>5152800</v>
      </c>
      <c r="L105" s="59">
        <v>0</v>
      </c>
      <c r="M105" s="387">
        <f>+E105+I105+J105+K105+L105+N105+O105</f>
        <v>7807613</v>
      </c>
      <c r="N105" s="59">
        <v>0</v>
      </c>
      <c r="O105" s="59">
        <v>0</v>
      </c>
      <c r="P105" s="60">
        <v>0</v>
      </c>
      <c r="Q105" s="60"/>
      <c r="R105" s="60"/>
      <c r="S105" s="60"/>
      <c r="T105" s="60"/>
      <c r="U105" s="60"/>
      <c r="V105" s="60"/>
      <c r="W105" s="60"/>
      <c r="X105" s="44">
        <f>SUM(Q105:W105)</f>
        <v>0</v>
      </c>
      <c r="Y105" s="3599"/>
    </row>
    <row r="106" spans="1:29" ht="12" customHeight="1">
      <c r="A106" s="3715"/>
      <c r="B106" s="103" t="s">
        <v>33</v>
      </c>
      <c r="C106" s="26"/>
      <c r="D106" s="258">
        <f t="shared" ref="D106:P106" si="75">+D109+D107</f>
        <v>15615226</v>
      </c>
      <c r="E106" s="258">
        <f t="shared" si="75"/>
        <v>0</v>
      </c>
      <c r="F106" s="258">
        <f t="shared" si="75"/>
        <v>0</v>
      </c>
      <c r="G106" s="258">
        <f t="shared" si="75"/>
        <v>0</v>
      </c>
      <c r="H106" s="258">
        <f t="shared" si="75"/>
        <v>0</v>
      </c>
      <c r="I106" s="258">
        <f t="shared" si="75"/>
        <v>0</v>
      </c>
      <c r="J106" s="258">
        <f t="shared" si="75"/>
        <v>5723800</v>
      </c>
      <c r="K106" s="258">
        <f t="shared" si="75"/>
        <v>9043098</v>
      </c>
      <c r="L106" s="258">
        <f t="shared" si="75"/>
        <v>848328</v>
      </c>
      <c r="M106" s="258">
        <f>+M109+M107</f>
        <v>15615226</v>
      </c>
      <c r="N106" s="258">
        <f t="shared" si="75"/>
        <v>0</v>
      </c>
      <c r="O106" s="258">
        <f t="shared" si="75"/>
        <v>0</v>
      </c>
      <c r="P106" s="258">
        <f t="shared" si="75"/>
        <v>0</v>
      </c>
      <c r="Q106" s="258"/>
      <c r="R106" s="258"/>
      <c r="S106" s="258"/>
      <c r="T106" s="258"/>
      <c r="U106" s="2055"/>
      <c r="V106" s="2055"/>
      <c r="W106" s="2055"/>
      <c r="X106" s="3667" t="s">
        <v>34</v>
      </c>
      <c r="Y106" s="3642" t="s">
        <v>291</v>
      </c>
      <c r="Z106" s="864">
        <v>0</v>
      </c>
    </row>
    <row r="107" spans="1:29" ht="12" customHeight="1">
      <c r="A107" s="3715"/>
      <c r="B107" s="1269" t="s">
        <v>35</v>
      </c>
      <c r="C107" s="3624" t="s">
        <v>99</v>
      </c>
      <c r="D107" s="61">
        <f t="shared" ref="D107:P107" si="76">+D108</f>
        <v>7807613</v>
      </c>
      <c r="E107" s="61">
        <f t="shared" si="76"/>
        <v>0</v>
      </c>
      <c r="F107" s="61">
        <f t="shared" si="76"/>
        <v>0</v>
      </c>
      <c r="G107" s="61">
        <f t="shared" si="76"/>
        <v>0</v>
      </c>
      <c r="H107" s="61">
        <f t="shared" si="76"/>
        <v>0</v>
      </c>
      <c r="I107" s="61">
        <f t="shared" si="76"/>
        <v>0</v>
      </c>
      <c r="J107" s="61">
        <f t="shared" si="76"/>
        <v>3068526</v>
      </c>
      <c r="K107" s="61">
        <f t="shared" si="76"/>
        <v>4314923</v>
      </c>
      <c r="L107" s="61">
        <f t="shared" si="76"/>
        <v>424164</v>
      </c>
      <c r="M107" s="61">
        <f t="shared" si="76"/>
        <v>7807613</v>
      </c>
      <c r="N107" s="61">
        <f t="shared" si="76"/>
        <v>0</v>
      </c>
      <c r="O107" s="61">
        <f t="shared" si="76"/>
        <v>0</v>
      </c>
      <c r="P107" s="61">
        <f t="shared" si="76"/>
        <v>0</v>
      </c>
      <c r="Q107" s="61"/>
      <c r="R107" s="61"/>
      <c r="S107" s="61"/>
      <c r="T107" s="61"/>
      <c r="U107" s="61"/>
      <c r="V107" s="61"/>
      <c r="W107" s="61"/>
      <c r="X107" s="3635"/>
      <c r="Y107" s="3609"/>
    </row>
    <row r="108" spans="1:29" ht="12" customHeight="1">
      <c r="A108" s="3715"/>
      <c r="B108" s="1909" t="s">
        <v>28</v>
      </c>
      <c r="C108" s="3612"/>
      <c r="D108" s="325">
        <f>M108+P108+Q108+R108+S108+T108+U108+V108+W108</f>
        <v>7807613</v>
      </c>
      <c r="E108" s="66">
        <f>+F108+G108+H108</f>
        <v>0</v>
      </c>
      <c r="F108" s="66">
        <v>0</v>
      </c>
      <c r="G108" s="66">
        <v>0</v>
      </c>
      <c r="H108" s="66">
        <v>0</v>
      </c>
      <c r="I108" s="66">
        <v>0</v>
      </c>
      <c r="J108" s="66">
        <f>3073867-5341</f>
        <v>3068526</v>
      </c>
      <c r="K108" s="66">
        <v>4314923</v>
      </c>
      <c r="L108" s="66">
        <f>424625-461</f>
        <v>424164</v>
      </c>
      <c r="M108" s="387">
        <f>+E108+I108+J108+K108+L108+N108+O108</f>
        <v>7807613</v>
      </c>
      <c r="N108" s="66">
        <v>0</v>
      </c>
      <c r="O108" s="66">
        <v>0</v>
      </c>
      <c r="P108" s="67">
        <v>0</v>
      </c>
      <c r="Q108" s="67"/>
      <c r="R108" s="67"/>
      <c r="S108" s="67"/>
      <c r="T108" s="61"/>
      <c r="U108" s="61"/>
      <c r="V108" s="61"/>
      <c r="W108" s="61"/>
      <c r="X108" s="3635"/>
      <c r="Y108" s="3609"/>
    </row>
    <row r="109" spans="1:29" ht="12" customHeight="1">
      <c r="A109" s="3715"/>
      <c r="B109" s="885" t="s">
        <v>29</v>
      </c>
      <c r="C109" s="3612"/>
      <c r="D109" s="1907">
        <f t="shared" ref="D109:P109" si="77">+D110+D111</f>
        <v>7807613</v>
      </c>
      <c r="E109" s="1907">
        <f t="shared" si="77"/>
        <v>0</v>
      </c>
      <c r="F109" s="1907">
        <f t="shared" si="77"/>
        <v>0</v>
      </c>
      <c r="G109" s="1907">
        <f t="shared" si="77"/>
        <v>0</v>
      </c>
      <c r="H109" s="1907">
        <f t="shared" si="77"/>
        <v>0</v>
      </c>
      <c r="I109" s="1907">
        <f t="shared" si="77"/>
        <v>0</v>
      </c>
      <c r="J109" s="1907">
        <f t="shared" si="77"/>
        <v>2655274</v>
      </c>
      <c r="K109" s="1907">
        <f t="shared" si="77"/>
        <v>4728175</v>
      </c>
      <c r="L109" s="1907">
        <f t="shared" si="77"/>
        <v>424164</v>
      </c>
      <c r="M109" s="1907">
        <f t="shared" si="77"/>
        <v>7807613</v>
      </c>
      <c r="N109" s="1907">
        <f t="shared" si="77"/>
        <v>0</v>
      </c>
      <c r="O109" s="1907">
        <f t="shared" si="77"/>
        <v>0</v>
      </c>
      <c r="P109" s="1912">
        <f t="shared" si="77"/>
        <v>0</v>
      </c>
      <c r="Q109" s="1912"/>
      <c r="R109" s="1912"/>
      <c r="S109" s="1912"/>
      <c r="T109" s="67"/>
      <c r="U109" s="67"/>
      <c r="V109" s="67"/>
      <c r="W109" s="67"/>
      <c r="X109" s="3635"/>
      <c r="Y109" s="3609"/>
    </row>
    <row r="110" spans="1:29" ht="12" hidden="1" customHeight="1">
      <c r="A110" s="3715"/>
      <c r="B110" s="811" t="s">
        <v>28</v>
      </c>
      <c r="C110" s="3612"/>
      <c r="D110" s="67">
        <f>+E110+I110+J110+K110+L110</f>
        <v>0</v>
      </c>
      <c r="E110" s="66">
        <f>+F110+G110+H110</f>
        <v>0</v>
      </c>
      <c r="F110" s="66">
        <v>0</v>
      </c>
      <c r="G110" s="66">
        <v>0</v>
      </c>
      <c r="H110" s="66">
        <v>0</v>
      </c>
      <c r="I110" s="66">
        <v>0</v>
      </c>
      <c r="J110" s="66">
        <v>0</v>
      </c>
      <c r="K110" s="66">
        <v>0</v>
      </c>
      <c r="L110" s="66">
        <v>0</v>
      </c>
      <c r="M110" s="66"/>
      <c r="N110" s="66">
        <v>0</v>
      </c>
      <c r="O110" s="66">
        <v>0</v>
      </c>
      <c r="P110" s="67">
        <v>0</v>
      </c>
      <c r="Q110" s="67"/>
      <c r="R110" s="67"/>
      <c r="S110" s="67"/>
      <c r="T110" s="1912"/>
      <c r="U110" s="1912"/>
      <c r="V110" s="1912"/>
      <c r="W110" s="1912"/>
      <c r="X110" s="3635"/>
      <c r="Y110" s="3609"/>
    </row>
    <row r="111" spans="1:29" ht="13.5" thickBot="1">
      <c r="A111" s="3716"/>
      <c r="B111" s="2056" t="s">
        <v>32</v>
      </c>
      <c r="C111" s="3613"/>
      <c r="D111" s="325">
        <f>M111+P111+Q111+R111+S111+T111+U111+V111+W111</f>
        <v>7807613</v>
      </c>
      <c r="E111" s="69">
        <v>0</v>
      </c>
      <c r="F111" s="69"/>
      <c r="G111" s="69"/>
      <c r="H111" s="69"/>
      <c r="I111" s="69">
        <v>0</v>
      </c>
      <c r="J111" s="69">
        <v>2655274</v>
      </c>
      <c r="K111" s="69">
        <v>4728175</v>
      </c>
      <c r="L111" s="69">
        <f>424625-461</f>
        <v>424164</v>
      </c>
      <c r="M111" s="387">
        <f>+E111+I111+J111+K111+L111+N111+O111</f>
        <v>7807613</v>
      </c>
      <c r="N111" s="69">
        <v>0</v>
      </c>
      <c r="O111" s="69">
        <v>0</v>
      </c>
      <c r="P111" s="94">
        <v>0</v>
      </c>
      <c r="Q111" s="94"/>
      <c r="R111" s="94"/>
      <c r="S111" s="94"/>
      <c r="T111" s="67"/>
      <c r="U111" s="67"/>
      <c r="V111" s="67"/>
      <c r="W111" s="67"/>
      <c r="X111" s="3636"/>
      <c r="Y111" s="3610"/>
    </row>
    <row r="112" spans="1:29" ht="25.5" customHeight="1">
      <c r="A112" s="3600" t="s">
        <v>78</v>
      </c>
      <c r="B112" s="91" t="s">
        <v>464</v>
      </c>
      <c r="C112" s="73" t="s">
        <v>95</v>
      </c>
      <c r="D112" s="74"/>
      <c r="E112" s="76"/>
      <c r="F112" s="75"/>
      <c r="G112" s="75"/>
      <c r="H112" s="76"/>
      <c r="I112" s="51"/>
      <c r="J112" s="50"/>
      <c r="K112" s="50"/>
      <c r="L112" s="51"/>
      <c r="M112" s="51"/>
      <c r="N112" s="50"/>
      <c r="O112" s="50"/>
      <c r="P112" s="50"/>
      <c r="Q112" s="50"/>
      <c r="R112" s="50"/>
      <c r="S112" s="309"/>
      <c r="T112" s="51"/>
      <c r="U112" s="309"/>
      <c r="V112" s="309"/>
      <c r="W112" s="309"/>
      <c r="X112" s="77"/>
      <c r="Y112" s="54" t="s">
        <v>96</v>
      </c>
      <c r="AC112" s="2057"/>
    </row>
    <row r="113" spans="1:29" ht="13.5" customHeight="1">
      <c r="A113" s="3601"/>
      <c r="B113" s="101" t="s">
        <v>21</v>
      </c>
      <c r="C113" s="26"/>
      <c r="D113" s="78">
        <f>+D114+D117</f>
        <v>43928360</v>
      </c>
      <c r="E113" s="78">
        <f>+E114+E117</f>
        <v>123795</v>
      </c>
      <c r="F113" s="78">
        <f t="shared" ref="F113:P113" si="78">+F114+F117</f>
        <v>32804</v>
      </c>
      <c r="G113" s="78">
        <f t="shared" si="78"/>
        <v>90000</v>
      </c>
      <c r="H113" s="78">
        <f t="shared" si="78"/>
        <v>991</v>
      </c>
      <c r="I113" s="78">
        <f t="shared" si="78"/>
        <v>0</v>
      </c>
      <c r="J113" s="78">
        <f t="shared" si="78"/>
        <v>64525</v>
      </c>
      <c r="K113" s="78">
        <f t="shared" si="78"/>
        <v>348320</v>
      </c>
      <c r="L113" s="78">
        <f t="shared" si="78"/>
        <v>23596094</v>
      </c>
      <c r="M113" s="78">
        <f>+M114+M117</f>
        <v>43321404</v>
      </c>
      <c r="N113" s="78">
        <f t="shared" si="78"/>
        <v>19081556</v>
      </c>
      <c r="O113" s="78">
        <f t="shared" si="78"/>
        <v>107114</v>
      </c>
      <c r="P113" s="78">
        <f t="shared" si="78"/>
        <v>26956</v>
      </c>
      <c r="Q113" s="78">
        <f>+Q114+Q117</f>
        <v>580000</v>
      </c>
      <c r="R113" s="78"/>
      <c r="S113" s="78"/>
      <c r="T113" s="78"/>
      <c r="U113" s="78"/>
      <c r="V113" s="78"/>
      <c r="W113" s="78"/>
      <c r="X113" s="80">
        <f>+X114+X117</f>
        <v>580000</v>
      </c>
      <c r="Y113" s="3598" t="s">
        <v>97</v>
      </c>
      <c r="Z113" s="864"/>
      <c r="AA113" s="864"/>
      <c r="AB113" s="864"/>
      <c r="AC113" s="864"/>
    </row>
    <row r="114" spans="1:29" ht="12" customHeight="1">
      <c r="A114" s="3601"/>
      <c r="B114" s="294" t="s">
        <v>35</v>
      </c>
      <c r="C114" s="3624" t="s">
        <v>98</v>
      </c>
      <c r="D114" s="81">
        <f>+D115+D116</f>
        <v>4857513</v>
      </c>
      <c r="E114" s="81">
        <f t="shared" ref="E114:P114" si="79">+E115+E116</f>
        <v>122887</v>
      </c>
      <c r="F114" s="81">
        <f>+F115+F116</f>
        <v>32804</v>
      </c>
      <c r="G114" s="81">
        <f t="shared" si="79"/>
        <v>90000</v>
      </c>
      <c r="H114" s="81">
        <f t="shared" si="79"/>
        <v>83</v>
      </c>
      <c r="I114" s="81">
        <f t="shared" si="79"/>
        <v>0</v>
      </c>
      <c r="J114" s="81">
        <f t="shared" si="79"/>
        <v>29956</v>
      </c>
      <c r="K114" s="81">
        <f t="shared" si="79"/>
        <v>214004</v>
      </c>
      <c r="L114" s="81">
        <f t="shared" si="79"/>
        <v>2147726</v>
      </c>
      <c r="M114" s="81">
        <f>+M115+M116</f>
        <v>4250557</v>
      </c>
      <c r="N114" s="81">
        <f t="shared" si="79"/>
        <v>1662025</v>
      </c>
      <c r="O114" s="81">
        <f t="shared" si="79"/>
        <v>73959</v>
      </c>
      <c r="P114" s="81">
        <f t="shared" si="79"/>
        <v>26956</v>
      </c>
      <c r="Q114" s="81">
        <f>+Q115+Q116</f>
        <v>580000</v>
      </c>
      <c r="R114" s="81"/>
      <c r="S114" s="81"/>
      <c r="T114" s="81"/>
      <c r="U114" s="81"/>
      <c r="V114" s="81"/>
      <c r="W114" s="81"/>
      <c r="X114" s="82">
        <f>+X115+X116</f>
        <v>580000</v>
      </c>
      <c r="Y114" s="3598"/>
    </row>
    <row r="115" spans="1:29" ht="12" customHeight="1">
      <c r="A115" s="3601"/>
      <c r="B115" s="811" t="s">
        <v>23</v>
      </c>
      <c r="C115" s="3612"/>
      <c r="D115" s="325">
        <f>M115+P115+Q115+R115+S115+T115+U115+V115+W115</f>
        <v>1285445</v>
      </c>
      <c r="E115" s="59">
        <f>SUM(F115:H115)</f>
        <v>122804</v>
      </c>
      <c r="F115" s="60">
        <v>32804</v>
      </c>
      <c r="G115" s="109">
        <f>37373+52627</f>
        <v>90000</v>
      </c>
      <c r="H115" s="92">
        <v>0</v>
      </c>
      <c r="I115" s="110">
        <v>0</v>
      </c>
      <c r="J115" s="92">
        <v>26795</v>
      </c>
      <c r="K115" s="92">
        <v>201724</v>
      </c>
      <c r="L115" s="110">
        <f>569196-394091+11695</f>
        <v>186800</v>
      </c>
      <c r="M115" s="387">
        <f>+E115+I115+J115+K115+L115+N115+O115</f>
        <v>678489</v>
      </c>
      <c r="N115" s="110">
        <f>11682038-350000-44502+1878075-1251700+2734240+1522270-9727593-252893+2958342-1085184-1071136-332514-1172002-5436883+18880</f>
        <v>69438</v>
      </c>
      <c r="O115" s="110">
        <f>607727+141130-360710-252813-64406</f>
        <v>70928</v>
      </c>
      <c r="P115" s="110">
        <f>400000-200000-173044</f>
        <v>26956</v>
      </c>
      <c r="Q115" s="110">
        <f>200000+173044+206956</f>
        <v>580000</v>
      </c>
      <c r="R115" s="60"/>
      <c r="S115" s="60"/>
      <c r="T115" s="60"/>
      <c r="U115" s="60"/>
      <c r="V115" s="60"/>
      <c r="W115" s="60"/>
      <c r="X115" s="44">
        <f>SUM(Q115:W115)</f>
        <v>580000</v>
      </c>
      <c r="Y115" s="3598"/>
    </row>
    <row r="116" spans="1:29" ht="12" customHeight="1">
      <c r="A116" s="3601"/>
      <c r="B116" s="811" t="s">
        <v>28</v>
      </c>
      <c r="C116" s="3612"/>
      <c r="D116" s="325">
        <f>M116+P116+Q116+R116+S116+T116+U116+V116+W116</f>
        <v>3572068</v>
      </c>
      <c r="E116" s="59">
        <f>SUM(F116:H116)</f>
        <v>83</v>
      </c>
      <c r="F116" s="60"/>
      <c r="G116" s="109">
        <f>4408-4408</f>
        <v>0</v>
      </c>
      <c r="H116" s="110">
        <v>83</v>
      </c>
      <c r="I116" s="110">
        <v>0</v>
      </c>
      <c r="J116" s="110">
        <v>3161</v>
      </c>
      <c r="K116" s="110">
        <v>12280</v>
      </c>
      <c r="L116" s="110">
        <f>1961906-980</f>
        <v>1960926</v>
      </c>
      <c r="M116" s="387">
        <f t="shared" ref="M116" si="80">+E116+I116+J116+K116+L116+N116+O116</f>
        <v>3572068</v>
      </c>
      <c r="N116" s="60">
        <f>982154+1925+11925+228580+233248-12123-155430+25377-7406+285919-1582</f>
        <v>1592587</v>
      </c>
      <c r="O116" s="60">
        <f>13517-9987-499</f>
        <v>3031</v>
      </c>
      <c r="P116" s="60">
        <v>0</v>
      </c>
      <c r="Q116" s="60"/>
      <c r="R116" s="60"/>
      <c r="S116" s="60"/>
      <c r="T116" s="60"/>
      <c r="U116" s="60"/>
      <c r="V116" s="60"/>
      <c r="W116" s="60"/>
      <c r="X116" s="44">
        <f>SUM(Q116:W116)</f>
        <v>0</v>
      </c>
      <c r="Y116" s="3598"/>
    </row>
    <row r="117" spans="1:29" ht="12" customHeight="1">
      <c r="A117" s="3601"/>
      <c r="B117" s="2052" t="s">
        <v>29</v>
      </c>
      <c r="C117" s="3612"/>
      <c r="D117" s="61">
        <f>+D118</f>
        <v>39070847</v>
      </c>
      <c r="E117" s="61">
        <f t="shared" ref="E117:P117" si="81">+E118</f>
        <v>908</v>
      </c>
      <c r="F117" s="61">
        <f t="shared" si="81"/>
        <v>0</v>
      </c>
      <c r="G117" s="111">
        <f t="shared" si="81"/>
        <v>0</v>
      </c>
      <c r="H117" s="61">
        <f t="shared" si="81"/>
        <v>908</v>
      </c>
      <c r="I117" s="61">
        <f t="shared" si="81"/>
        <v>0</v>
      </c>
      <c r="J117" s="61">
        <f>+J118</f>
        <v>34569</v>
      </c>
      <c r="K117" s="61">
        <f t="shared" si="81"/>
        <v>134316</v>
      </c>
      <c r="L117" s="61">
        <f t="shared" si="81"/>
        <v>21448368</v>
      </c>
      <c r="M117" s="61">
        <f t="shared" si="81"/>
        <v>39070847</v>
      </c>
      <c r="N117" s="61">
        <f t="shared" si="81"/>
        <v>17419531</v>
      </c>
      <c r="O117" s="61">
        <f t="shared" si="81"/>
        <v>33155</v>
      </c>
      <c r="P117" s="61">
        <f t="shared" si="81"/>
        <v>0</v>
      </c>
      <c r="Q117" s="61"/>
      <c r="R117" s="61"/>
      <c r="S117" s="61"/>
      <c r="T117" s="61"/>
      <c r="U117" s="61"/>
      <c r="V117" s="61"/>
      <c r="W117" s="61"/>
      <c r="X117" s="82">
        <f>+X118</f>
        <v>0</v>
      </c>
      <c r="Y117" s="3598"/>
    </row>
    <row r="118" spans="1:29" ht="12" customHeight="1">
      <c r="A118" s="3601"/>
      <c r="B118" s="811" t="s">
        <v>32</v>
      </c>
      <c r="C118" s="350"/>
      <c r="D118" s="325">
        <f>M118+P118+Q118+R118+S118+T118+U118+V118+W118</f>
        <v>39070847</v>
      </c>
      <c r="E118" s="59">
        <f>SUM(F118:H118)</f>
        <v>908</v>
      </c>
      <c r="F118" s="60">
        <v>0</v>
      </c>
      <c r="G118" s="112">
        <f>48219-48219</f>
        <v>0</v>
      </c>
      <c r="H118" s="92">
        <v>908</v>
      </c>
      <c r="I118" s="92">
        <v>0</v>
      </c>
      <c r="J118" s="92">
        <v>34569</v>
      </c>
      <c r="K118" s="92">
        <v>134316</v>
      </c>
      <c r="L118" s="60">
        <f>21459083-10715</f>
        <v>21448368</v>
      </c>
      <c r="M118" s="387">
        <f>+E118+I118+J118+K118+L118+N118+O118</f>
        <v>39070847</v>
      </c>
      <c r="N118" s="60">
        <f>5115033+42577-1878075+1239775+1037180+1824245+9752343+252893-1802912+559807+287542+332514+673907-17298</f>
        <v>17419531</v>
      </c>
      <c r="O118" s="60">
        <f>169756-131143-5458</f>
        <v>33155</v>
      </c>
      <c r="P118" s="60">
        <v>0</v>
      </c>
      <c r="Q118" s="60"/>
      <c r="R118" s="60"/>
      <c r="S118" s="60"/>
      <c r="T118" s="60"/>
      <c r="U118" s="60"/>
      <c r="V118" s="60"/>
      <c r="W118" s="60"/>
      <c r="X118" s="44">
        <f>SUM(Q118:W118)</f>
        <v>0</v>
      </c>
      <c r="Y118" s="3599"/>
    </row>
    <row r="119" spans="1:29" ht="12" customHeight="1">
      <c r="A119" s="3601"/>
      <c r="B119" s="238" t="s">
        <v>33</v>
      </c>
      <c r="C119" s="116"/>
      <c r="D119" s="134">
        <f t="shared" ref="D119:P119" si="82">+D122+D120</f>
        <v>42642915</v>
      </c>
      <c r="E119" s="134">
        <f t="shared" si="82"/>
        <v>0</v>
      </c>
      <c r="F119" s="134">
        <f t="shared" si="82"/>
        <v>0</v>
      </c>
      <c r="G119" s="134">
        <f t="shared" si="82"/>
        <v>0</v>
      </c>
      <c r="H119" s="134">
        <f t="shared" si="82"/>
        <v>0</v>
      </c>
      <c r="I119" s="134">
        <f t="shared" si="82"/>
        <v>0</v>
      </c>
      <c r="J119" s="134">
        <f t="shared" si="82"/>
        <v>0</v>
      </c>
      <c r="K119" s="134">
        <f t="shared" si="82"/>
        <v>0</v>
      </c>
      <c r="L119" s="134">
        <f t="shared" si="82"/>
        <v>0</v>
      </c>
      <c r="M119" s="134">
        <f>+M122+M120</f>
        <v>42642915</v>
      </c>
      <c r="N119" s="134">
        <f t="shared" si="82"/>
        <v>38151329</v>
      </c>
      <c r="O119" s="134">
        <f t="shared" si="82"/>
        <v>4491586</v>
      </c>
      <c r="P119" s="134">
        <f t="shared" si="82"/>
        <v>0</v>
      </c>
      <c r="Q119" s="134"/>
      <c r="R119" s="134"/>
      <c r="S119" s="134"/>
      <c r="T119" s="134"/>
      <c r="U119" s="134"/>
      <c r="V119" s="134"/>
      <c r="W119" s="134"/>
      <c r="X119" s="3635" t="s">
        <v>34</v>
      </c>
      <c r="Y119" s="3705" t="s">
        <v>291</v>
      </c>
      <c r="Z119" s="864"/>
    </row>
    <row r="120" spans="1:29" ht="12" customHeight="1">
      <c r="A120" s="3601"/>
      <c r="B120" s="2048" t="s">
        <v>35</v>
      </c>
      <c r="C120" s="3624" t="s">
        <v>99</v>
      </c>
      <c r="D120" s="61">
        <f t="shared" ref="D120:P120" si="83">+D121</f>
        <v>3572068</v>
      </c>
      <c r="E120" s="61">
        <f t="shared" si="83"/>
        <v>0</v>
      </c>
      <c r="F120" s="61">
        <f t="shared" si="83"/>
        <v>0</v>
      </c>
      <c r="G120" s="61">
        <f t="shared" si="83"/>
        <v>0</v>
      </c>
      <c r="H120" s="61">
        <f t="shared" si="83"/>
        <v>0</v>
      </c>
      <c r="I120" s="61">
        <f t="shared" si="83"/>
        <v>0</v>
      </c>
      <c r="J120" s="61">
        <f t="shared" si="83"/>
        <v>0</v>
      </c>
      <c r="K120" s="61">
        <f t="shared" si="83"/>
        <v>0</v>
      </c>
      <c r="L120" s="61">
        <f t="shared" si="83"/>
        <v>0</v>
      </c>
      <c r="M120" s="61">
        <f t="shared" si="83"/>
        <v>3572068</v>
      </c>
      <c r="N120" s="61">
        <f t="shared" si="83"/>
        <v>2875044</v>
      </c>
      <c r="O120" s="61">
        <f t="shared" si="83"/>
        <v>697024</v>
      </c>
      <c r="P120" s="61">
        <f t="shared" si="83"/>
        <v>0</v>
      </c>
      <c r="Q120" s="61"/>
      <c r="R120" s="61"/>
      <c r="S120" s="61"/>
      <c r="T120" s="61"/>
      <c r="U120" s="61"/>
      <c r="V120" s="61"/>
      <c r="W120" s="61"/>
      <c r="X120" s="3635"/>
      <c r="Y120" s="3598"/>
    </row>
    <row r="121" spans="1:29" ht="12" customHeight="1">
      <c r="A121" s="3601"/>
      <c r="B121" s="1909" t="s">
        <v>28</v>
      </c>
      <c r="C121" s="3612"/>
      <c r="D121" s="325">
        <f>M121+P121+Q121+R121+S121+T121+U121+V121+W121</f>
        <v>3572068</v>
      </c>
      <c r="E121" s="66">
        <f>+F121+G121+H121</f>
        <v>0</v>
      </c>
      <c r="F121" s="66">
        <v>0</v>
      </c>
      <c r="G121" s="66">
        <v>0</v>
      </c>
      <c r="H121" s="66">
        <v>0</v>
      </c>
      <c r="I121" s="66">
        <v>0</v>
      </c>
      <c r="J121" s="66"/>
      <c r="K121" s="66"/>
      <c r="L121" s="66">
        <f>1127582+26462-251100-902944</f>
        <v>0</v>
      </c>
      <c r="M121" s="387">
        <f>+E121+I121+J121+K121+L121+N121+O121</f>
        <v>3572068</v>
      </c>
      <c r="N121" s="66">
        <f>1701861-26462+251100+902944+28680+2812-105495+119604</f>
        <v>2875044</v>
      </c>
      <c r="O121" s="66">
        <f>158254+7110-119604+658733-499-911-6059</f>
        <v>697024</v>
      </c>
      <c r="P121" s="67">
        <f>911-911</f>
        <v>0</v>
      </c>
      <c r="Q121" s="67"/>
      <c r="R121" s="67"/>
      <c r="S121" s="67"/>
      <c r="T121" s="67"/>
      <c r="U121" s="67"/>
      <c r="V121" s="67"/>
      <c r="W121" s="67"/>
      <c r="X121" s="3635"/>
      <c r="Y121" s="3598"/>
    </row>
    <row r="122" spans="1:29" ht="12" customHeight="1">
      <c r="A122" s="3601"/>
      <c r="B122" s="2052" t="s">
        <v>29</v>
      </c>
      <c r="C122" s="3612"/>
      <c r="D122" s="1907">
        <f>+D123</f>
        <v>39070847</v>
      </c>
      <c r="E122" s="1907">
        <f t="shared" ref="E122:P122" si="84">+E123</f>
        <v>0</v>
      </c>
      <c r="F122" s="1907">
        <f t="shared" si="84"/>
        <v>0</v>
      </c>
      <c r="G122" s="1907">
        <f t="shared" si="84"/>
        <v>0</v>
      </c>
      <c r="H122" s="1907">
        <f t="shared" si="84"/>
        <v>0</v>
      </c>
      <c r="I122" s="1907">
        <f t="shared" si="84"/>
        <v>0</v>
      </c>
      <c r="J122" s="1907">
        <f t="shared" si="84"/>
        <v>0</v>
      </c>
      <c r="K122" s="1907">
        <f t="shared" si="84"/>
        <v>0</v>
      </c>
      <c r="L122" s="1907">
        <f t="shared" si="84"/>
        <v>0</v>
      </c>
      <c r="M122" s="1907">
        <f t="shared" si="84"/>
        <v>39070847</v>
      </c>
      <c r="N122" s="1907">
        <f t="shared" si="84"/>
        <v>35276285</v>
      </c>
      <c r="O122" s="1907">
        <f t="shared" si="84"/>
        <v>3794562</v>
      </c>
      <c r="P122" s="1907">
        <f t="shared" si="84"/>
        <v>0</v>
      </c>
      <c r="Q122" s="1907"/>
      <c r="R122" s="1907"/>
      <c r="S122" s="1907"/>
      <c r="T122" s="1907"/>
      <c r="U122" s="1907"/>
      <c r="V122" s="1907"/>
      <c r="W122" s="1907"/>
      <c r="X122" s="3635"/>
      <c r="Y122" s="3598"/>
    </row>
    <row r="123" spans="1:29" ht="12" customHeight="1" thickBot="1">
      <c r="A123" s="3602"/>
      <c r="B123" s="93" t="s">
        <v>32</v>
      </c>
      <c r="C123" s="3613"/>
      <c r="D123" s="325">
        <f>M123+P123+Q123+R123+S123+T123+U123+V123+W123</f>
        <v>39070847</v>
      </c>
      <c r="E123" s="89">
        <f>+F123+G123+H123</f>
        <v>0</v>
      </c>
      <c r="F123" s="113">
        <v>0</v>
      </c>
      <c r="G123" s="113">
        <v>0</v>
      </c>
      <c r="H123" s="113">
        <v>0</v>
      </c>
      <c r="I123" s="113">
        <v>0</v>
      </c>
      <c r="J123" s="113">
        <v>0</v>
      </c>
      <c r="K123" s="113">
        <v>0</v>
      </c>
      <c r="L123" s="113">
        <f>5872418-2026462+251100-4097056</f>
        <v>0</v>
      </c>
      <c r="M123" s="387">
        <f>+E123+I123+J123+K123+L123+N123+O123</f>
        <v>39070847</v>
      </c>
      <c r="N123" s="113">
        <f>8863251+93584-3373414+3157951+4097056+896030+20170438+500453+146951-743533+1467518</f>
        <v>35276285</v>
      </c>
      <c r="O123" s="113">
        <f>1941746+932070-1135004+2137440-5458-9960-66272</f>
        <v>3794562</v>
      </c>
      <c r="P123" s="114">
        <f>9960-9960</f>
        <v>0</v>
      </c>
      <c r="Q123" s="114"/>
      <c r="R123" s="114"/>
      <c r="S123" s="114"/>
      <c r="T123" s="114"/>
      <c r="U123" s="114"/>
      <c r="V123" s="114"/>
      <c r="W123" s="114"/>
      <c r="X123" s="3636"/>
      <c r="Y123" s="3672"/>
    </row>
    <row r="124" spans="1:29" hidden="1">
      <c r="A124" s="3600"/>
      <c r="B124" s="91"/>
      <c r="C124" s="73" t="s">
        <v>95</v>
      </c>
      <c r="D124" s="75"/>
      <c r="E124" s="76"/>
      <c r="F124" s="75"/>
      <c r="G124" s="76"/>
      <c r="H124" s="76"/>
      <c r="I124" s="50"/>
      <c r="J124" s="50"/>
      <c r="K124" s="50"/>
      <c r="L124" s="50"/>
      <c r="M124" s="52"/>
      <c r="N124" s="52"/>
      <c r="O124" s="52"/>
      <c r="P124" s="52"/>
      <c r="Q124" s="52"/>
      <c r="R124" s="52"/>
      <c r="S124" s="52"/>
      <c r="T124" s="52"/>
      <c r="U124" s="52"/>
      <c r="V124" s="52"/>
      <c r="W124" s="52"/>
      <c r="X124" s="53"/>
      <c r="Y124" s="115"/>
    </row>
    <row r="125" spans="1:29" ht="13.5" hidden="1" customHeight="1">
      <c r="A125" s="3601"/>
      <c r="B125" s="97" t="s">
        <v>21</v>
      </c>
      <c r="C125" s="26"/>
      <c r="D125" s="78">
        <f t="shared" ref="D125:P125" si="85">+D126+D128</f>
        <v>0</v>
      </c>
      <c r="E125" s="79">
        <f t="shared" si="85"/>
        <v>0</v>
      </c>
      <c r="F125" s="78">
        <f t="shared" si="85"/>
        <v>0</v>
      </c>
      <c r="G125" s="79">
        <f t="shared" si="85"/>
        <v>0</v>
      </c>
      <c r="H125" s="79">
        <f t="shared" si="85"/>
        <v>0</v>
      </c>
      <c r="I125" s="79">
        <f t="shared" si="85"/>
        <v>0</v>
      </c>
      <c r="J125" s="79">
        <f t="shared" si="85"/>
        <v>0</v>
      </c>
      <c r="K125" s="79">
        <f t="shared" si="85"/>
        <v>0</v>
      </c>
      <c r="L125" s="79">
        <f t="shared" si="85"/>
        <v>0</v>
      </c>
      <c r="M125" s="79">
        <f>+M126+M128</f>
        <v>0</v>
      </c>
      <c r="N125" s="79">
        <f t="shared" si="85"/>
        <v>0</v>
      </c>
      <c r="O125" s="79">
        <f t="shared" si="85"/>
        <v>0</v>
      </c>
      <c r="P125" s="79">
        <f t="shared" si="85"/>
        <v>0</v>
      </c>
      <c r="Q125" s="79"/>
      <c r="R125" s="79"/>
      <c r="S125" s="79"/>
      <c r="T125" s="79"/>
      <c r="U125" s="79"/>
      <c r="V125" s="79"/>
      <c r="W125" s="79"/>
      <c r="X125" s="80">
        <f>+X126+X128</f>
        <v>0</v>
      </c>
      <c r="Y125" s="3598" t="s">
        <v>101</v>
      </c>
      <c r="Z125" s="864"/>
    </row>
    <row r="126" spans="1:29" hidden="1">
      <c r="A126" s="3601"/>
      <c r="B126" s="2048" t="s">
        <v>35</v>
      </c>
      <c r="C126" s="3624" t="s">
        <v>98</v>
      </c>
      <c r="D126" s="127">
        <f>+D127</f>
        <v>0</v>
      </c>
      <c r="E126" s="127">
        <f t="shared" ref="E126:P126" si="86">+E127</f>
        <v>0</v>
      </c>
      <c r="F126" s="127">
        <f t="shared" si="86"/>
        <v>0</v>
      </c>
      <c r="G126" s="127">
        <f t="shared" si="86"/>
        <v>0</v>
      </c>
      <c r="H126" s="127">
        <f t="shared" si="86"/>
        <v>0</v>
      </c>
      <c r="I126" s="127">
        <f t="shared" si="86"/>
        <v>0</v>
      </c>
      <c r="J126" s="127">
        <f t="shared" si="86"/>
        <v>0</v>
      </c>
      <c r="K126" s="127">
        <f t="shared" si="86"/>
        <v>0</v>
      </c>
      <c r="L126" s="127">
        <f t="shared" si="86"/>
        <v>0</v>
      </c>
      <c r="M126" s="127">
        <f t="shared" si="86"/>
        <v>0</v>
      </c>
      <c r="N126" s="127">
        <f t="shared" si="86"/>
        <v>0</v>
      </c>
      <c r="O126" s="127">
        <f t="shared" si="86"/>
        <v>0</v>
      </c>
      <c r="P126" s="127">
        <f t="shared" si="86"/>
        <v>0</v>
      </c>
      <c r="Q126" s="127"/>
      <c r="R126" s="127"/>
      <c r="S126" s="127"/>
      <c r="T126" s="127"/>
      <c r="U126" s="127"/>
      <c r="V126" s="127"/>
      <c r="W126" s="127"/>
      <c r="X126" s="99">
        <f>+X127</f>
        <v>0</v>
      </c>
      <c r="Y126" s="3598"/>
      <c r="Z126" s="864"/>
    </row>
    <row r="127" spans="1:29" hidden="1">
      <c r="A127" s="3601"/>
      <c r="B127" s="1909" t="s">
        <v>23</v>
      </c>
      <c r="C127" s="3625"/>
      <c r="D127" s="325">
        <f>M127+O127+P127+Q127+R127+S127+T127+U127+V127+W127</f>
        <v>0</v>
      </c>
      <c r="E127" s="59">
        <f>+F127+G127+H127</f>
        <v>0</v>
      </c>
      <c r="F127" s="60">
        <v>0</v>
      </c>
      <c r="G127" s="59">
        <v>0</v>
      </c>
      <c r="H127" s="92">
        <v>0</v>
      </c>
      <c r="I127" s="92"/>
      <c r="J127" s="92">
        <f>12200-12200</f>
        <v>0</v>
      </c>
      <c r="K127" s="59"/>
      <c r="L127" s="92"/>
      <c r="M127" s="387"/>
      <c r="N127" s="92"/>
      <c r="O127" s="59">
        <v>0</v>
      </c>
      <c r="P127" s="60">
        <v>0</v>
      </c>
      <c r="Q127" s="60"/>
      <c r="R127" s="60"/>
      <c r="S127" s="60"/>
      <c r="T127" s="60"/>
      <c r="U127" s="60"/>
      <c r="V127" s="60"/>
      <c r="W127" s="60"/>
      <c r="X127" s="44">
        <f>SUM(P127:T127)</f>
        <v>0</v>
      </c>
      <c r="Y127" s="3598"/>
    </row>
    <row r="128" spans="1:29" hidden="1">
      <c r="A128" s="3601"/>
      <c r="B128" s="2049" t="s">
        <v>29</v>
      </c>
      <c r="C128" s="3625"/>
      <c r="D128" s="61">
        <f>+D129</f>
        <v>0</v>
      </c>
      <c r="E128" s="61">
        <f t="shared" ref="E128:P128" si="87">+E129</f>
        <v>0</v>
      </c>
      <c r="F128" s="61">
        <f t="shared" si="87"/>
        <v>0</v>
      </c>
      <c r="G128" s="61">
        <f t="shared" si="87"/>
        <v>0</v>
      </c>
      <c r="H128" s="61">
        <f t="shared" si="87"/>
        <v>0</v>
      </c>
      <c r="I128" s="61">
        <f t="shared" si="87"/>
        <v>0</v>
      </c>
      <c r="J128" s="61">
        <f t="shared" si="87"/>
        <v>0</v>
      </c>
      <c r="K128" s="61">
        <f t="shared" si="87"/>
        <v>0</v>
      </c>
      <c r="L128" s="61">
        <f t="shared" si="87"/>
        <v>0</v>
      </c>
      <c r="M128" s="61">
        <f t="shared" si="87"/>
        <v>0</v>
      </c>
      <c r="N128" s="61">
        <f t="shared" si="87"/>
        <v>0</v>
      </c>
      <c r="O128" s="61">
        <f t="shared" si="87"/>
        <v>0</v>
      </c>
      <c r="P128" s="61">
        <f t="shared" si="87"/>
        <v>0</v>
      </c>
      <c r="Q128" s="61"/>
      <c r="R128" s="61"/>
      <c r="S128" s="61"/>
      <c r="T128" s="61"/>
      <c r="U128" s="61"/>
      <c r="V128" s="61"/>
      <c r="W128" s="61"/>
      <c r="X128" s="99">
        <f>+X129</f>
        <v>0</v>
      </c>
      <c r="Y128" s="3598"/>
    </row>
    <row r="129" spans="1:26" hidden="1">
      <c r="A129" s="3601"/>
      <c r="B129" s="2058" t="s">
        <v>32</v>
      </c>
      <c r="C129" s="3628"/>
      <c r="D129" s="325">
        <f>M129+O129+P129+Q129+R129+S129+T129+U129+V129+W129</f>
        <v>0</v>
      </c>
      <c r="E129" s="59">
        <f>+F129+G129+H129</f>
        <v>0</v>
      </c>
      <c r="F129" s="64">
        <v>0</v>
      </c>
      <c r="G129" s="86">
        <v>0</v>
      </c>
      <c r="H129" s="86">
        <v>0</v>
      </c>
      <c r="I129" s="86">
        <f>122000-122000</f>
        <v>0</v>
      </c>
      <c r="J129" s="86"/>
      <c r="K129" s="57"/>
      <c r="L129" s="57"/>
      <c r="M129" s="387"/>
      <c r="N129" s="57"/>
      <c r="O129" s="57">
        <v>0</v>
      </c>
      <c r="P129" s="64">
        <v>0</v>
      </c>
      <c r="Q129" s="64"/>
      <c r="R129" s="64"/>
      <c r="S129" s="64"/>
      <c r="T129" s="64"/>
      <c r="U129" s="64"/>
      <c r="V129" s="64"/>
      <c r="W129" s="64"/>
      <c r="X129" s="44">
        <f>SUM(P129:T129)</f>
        <v>0</v>
      </c>
      <c r="Y129" s="3599"/>
    </row>
    <row r="130" spans="1:26" ht="12.75" hidden="1" customHeight="1">
      <c r="A130" s="3637"/>
      <c r="B130" s="101" t="s">
        <v>33</v>
      </c>
      <c r="C130" s="26"/>
      <c r="D130" s="258">
        <f>+D131</f>
        <v>0</v>
      </c>
      <c r="E130" s="258">
        <f t="shared" ref="E130:P131" si="88">+E131</f>
        <v>0</v>
      </c>
      <c r="F130" s="258">
        <f t="shared" si="88"/>
        <v>0</v>
      </c>
      <c r="G130" s="258">
        <f t="shared" si="88"/>
        <v>0</v>
      </c>
      <c r="H130" s="258">
        <f t="shared" si="88"/>
        <v>0</v>
      </c>
      <c r="I130" s="258">
        <f t="shared" si="88"/>
        <v>0</v>
      </c>
      <c r="J130" s="258">
        <f t="shared" si="88"/>
        <v>0</v>
      </c>
      <c r="K130" s="258">
        <f t="shared" si="88"/>
        <v>0</v>
      </c>
      <c r="L130" s="258">
        <f t="shared" si="88"/>
        <v>0</v>
      </c>
      <c r="M130" s="258">
        <f t="shared" si="88"/>
        <v>0</v>
      </c>
      <c r="N130" s="258">
        <f t="shared" si="88"/>
        <v>0</v>
      </c>
      <c r="O130" s="258">
        <f t="shared" si="88"/>
        <v>0</v>
      </c>
      <c r="P130" s="258">
        <f t="shared" si="88"/>
        <v>0</v>
      </c>
      <c r="Q130" s="258"/>
      <c r="R130" s="258"/>
      <c r="S130" s="258"/>
      <c r="T130" s="258"/>
      <c r="U130" s="258"/>
      <c r="V130" s="258"/>
      <c r="W130" s="258"/>
      <c r="X130" s="3706" t="s">
        <v>34</v>
      </c>
      <c r="Y130" s="3642" t="s">
        <v>118</v>
      </c>
    </row>
    <row r="131" spans="1:26" s="353" customFormat="1" ht="12.75" hidden="1" customHeight="1">
      <c r="A131" s="3637"/>
      <c r="B131" s="2052" t="s">
        <v>29</v>
      </c>
      <c r="C131" s="3624" t="s">
        <v>99</v>
      </c>
      <c r="D131" s="1907">
        <f>+D132</f>
        <v>0</v>
      </c>
      <c r="E131" s="1907">
        <f t="shared" si="88"/>
        <v>0</v>
      </c>
      <c r="F131" s="1907">
        <f t="shared" si="88"/>
        <v>0</v>
      </c>
      <c r="G131" s="1907">
        <f t="shared" si="88"/>
        <v>0</v>
      </c>
      <c r="H131" s="1907">
        <f t="shared" si="88"/>
        <v>0</v>
      </c>
      <c r="I131" s="1907">
        <f t="shared" si="88"/>
        <v>0</v>
      </c>
      <c r="J131" s="1907">
        <f t="shared" si="88"/>
        <v>0</v>
      </c>
      <c r="K131" s="1907">
        <f t="shared" si="88"/>
        <v>0</v>
      </c>
      <c r="L131" s="2053">
        <f t="shared" si="88"/>
        <v>0</v>
      </c>
      <c r="M131" s="2053">
        <f t="shared" si="88"/>
        <v>0</v>
      </c>
      <c r="N131" s="2053">
        <f t="shared" si="88"/>
        <v>0</v>
      </c>
      <c r="O131" s="2053">
        <f t="shared" si="88"/>
        <v>0</v>
      </c>
      <c r="P131" s="1907">
        <f t="shared" si="88"/>
        <v>0</v>
      </c>
      <c r="Q131" s="1907"/>
      <c r="R131" s="1907"/>
      <c r="S131" s="1907"/>
      <c r="T131" s="1907"/>
      <c r="U131" s="1907"/>
      <c r="V131" s="1907"/>
      <c r="W131" s="1907"/>
      <c r="X131" s="3707"/>
      <c r="Y131" s="3609"/>
    </row>
    <row r="132" spans="1:26" ht="13.5" hidden="1" thickBot="1">
      <c r="A132" s="3638"/>
      <c r="B132" s="93" t="s">
        <v>32</v>
      </c>
      <c r="C132" s="3626"/>
      <c r="D132" s="325">
        <f>M132+O132+P132+Q132+R132+S132+T132+U132+V132+W132</f>
        <v>0</v>
      </c>
      <c r="E132" s="95">
        <f>+F132+G132+H132</f>
        <v>0</v>
      </c>
      <c r="F132" s="310">
        <v>0</v>
      </c>
      <c r="G132" s="95">
        <v>0</v>
      </c>
      <c r="H132" s="95">
        <v>0</v>
      </c>
      <c r="I132" s="95">
        <v>0</v>
      </c>
      <c r="J132" s="95">
        <f>101397-101397</f>
        <v>0</v>
      </c>
      <c r="K132" s="95"/>
      <c r="L132" s="95"/>
      <c r="M132" s="387"/>
      <c r="N132" s="95"/>
      <c r="O132" s="95"/>
      <c r="P132" s="2059">
        <v>0</v>
      </c>
      <c r="Q132" s="72"/>
      <c r="R132" s="72"/>
      <c r="S132" s="72"/>
      <c r="T132" s="72"/>
      <c r="U132" s="72"/>
      <c r="V132" s="72"/>
      <c r="W132" s="72"/>
      <c r="X132" s="3708"/>
      <c r="Y132" s="3610"/>
    </row>
    <row r="133" spans="1:26" ht="21.75" hidden="1" customHeight="1">
      <c r="A133" s="3600"/>
      <c r="B133" s="91"/>
      <c r="C133" s="73" t="s">
        <v>95</v>
      </c>
      <c r="D133" s="1993"/>
      <c r="E133" s="128"/>
      <c r="F133" s="128"/>
      <c r="G133" s="129"/>
      <c r="H133" s="129"/>
      <c r="I133" s="129"/>
      <c r="J133" s="129"/>
      <c r="K133" s="129"/>
      <c r="L133" s="129"/>
      <c r="M133" s="52"/>
      <c r="N133" s="52"/>
      <c r="O133" s="52"/>
      <c r="P133" s="52"/>
      <c r="Q133" s="52"/>
      <c r="R133" s="52"/>
      <c r="S133" s="108"/>
      <c r="T133" s="108"/>
      <c r="U133" s="108"/>
      <c r="V133" s="108"/>
      <c r="W133" s="108"/>
      <c r="X133" s="124"/>
      <c r="Y133" s="3597" t="s">
        <v>100</v>
      </c>
    </row>
    <row r="134" spans="1:26" ht="13.5" hidden="1" customHeight="1">
      <c r="A134" s="3601"/>
      <c r="B134" s="38" t="s">
        <v>21</v>
      </c>
      <c r="C134" s="26"/>
      <c r="D134" s="78">
        <f>+D135+D138</f>
        <v>0</v>
      </c>
      <c r="E134" s="78">
        <f t="shared" ref="E134:O134" si="89">+E135+E138</f>
        <v>0</v>
      </c>
      <c r="F134" s="78">
        <f t="shared" si="89"/>
        <v>0</v>
      </c>
      <c r="G134" s="78">
        <f t="shared" si="89"/>
        <v>0</v>
      </c>
      <c r="H134" s="78">
        <f t="shared" si="89"/>
        <v>0</v>
      </c>
      <c r="I134" s="78">
        <f t="shared" si="89"/>
        <v>0</v>
      </c>
      <c r="J134" s="78">
        <f t="shared" si="89"/>
        <v>0</v>
      </c>
      <c r="K134" s="78">
        <f t="shared" si="89"/>
        <v>0</v>
      </c>
      <c r="L134" s="78">
        <f t="shared" si="89"/>
        <v>0</v>
      </c>
      <c r="M134" s="78"/>
      <c r="N134" s="78">
        <f t="shared" si="89"/>
        <v>0</v>
      </c>
      <c r="O134" s="78">
        <f t="shared" si="89"/>
        <v>0</v>
      </c>
      <c r="P134" s="78">
        <f>+P135+P138</f>
        <v>0</v>
      </c>
      <c r="Q134" s="78"/>
      <c r="R134" s="78"/>
      <c r="S134" s="317"/>
      <c r="T134" s="317"/>
      <c r="U134" s="317"/>
      <c r="V134" s="317"/>
      <c r="W134" s="317"/>
      <c r="X134" s="117"/>
      <c r="Y134" s="3598"/>
      <c r="Z134" s="864"/>
    </row>
    <row r="135" spans="1:26" ht="13.5" hidden="1" customHeight="1">
      <c r="A135" s="3601"/>
      <c r="B135" s="1269" t="s">
        <v>35</v>
      </c>
      <c r="C135" s="3624" t="s">
        <v>98</v>
      </c>
      <c r="D135" s="2060">
        <f>+D136+D137</f>
        <v>0</v>
      </c>
      <c r="E135" s="2060">
        <f t="shared" ref="E135:P135" si="90">+E136+E137</f>
        <v>0</v>
      </c>
      <c r="F135" s="2060">
        <f t="shared" si="90"/>
        <v>0</v>
      </c>
      <c r="G135" s="2060">
        <f t="shared" si="90"/>
        <v>0</v>
      </c>
      <c r="H135" s="2060">
        <f t="shared" si="90"/>
        <v>0</v>
      </c>
      <c r="I135" s="2060">
        <f t="shared" si="90"/>
        <v>0</v>
      </c>
      <c r="J135" s="2060">
        <f t="shared" si="90"/>
        <v>0</v>
      </c>
      <c r="K135" s="2060">
        <f t="shared" si="90"/>
        <v>0</v>
      </c>
      <c r="L135" s="2060">
        <f t="shared" si="90"/>
        <v>0</v>
      </c>
      <c r="M135" s="2060"/>
      <c r="N135" s="2060">
        <f t="shared" si="90"/>
        <v>0</v>
      </c>
      <c r="O135" s="2060">
        <f t="shared" si="90"/>
        <v>0</v>
      </c>
      <c r="P135" s="2060">
        <f t="shared" si="90"/>
        <v>0</v>
      </c>
      <c r="Q135" s="2060"/>
      <c r="R135" s="2060"/>
      <c r="S135" s="2061"/>
      <c r="T135" s="2061"/>
      <c r="U135" s="2061"/>
      <c r="V135" s="2061"/>
      <c r="W135" s="2061"/>
      <c r="X135" s="83"/>
      <c r="Y135" s="3598"/>
      <c r="Z135" s="864"/>
    </row>
    <row r="136" spans="1:26" hidden="1">
      <c r="A136" s="3601"/>
      <c r="B136" s="1909" t="s">
        <v>23</v>
      </c>
      <c r="C136" s="3625"/>
      <c r="D136" s="66">
        <f>+E136+I136+J136+K136+L136</f>
        <v>0</v>
      </c>
      <c r="E136" s="60">
        <f>+F136+G136+H136</f>
        <v>0</v>
      </c>
      <c r="F136" s="60"/>
      <c r="G136" s="59"/>
      <c r="H136" s="92"/>
      <c r="I136" s="92"/>
      <c r="J136" s="92"/>
      <c r="K136" s="59">
        <v>0</v>
      </c>
      <c r="L136" s="92"/>
      <c r="M136" s="92"/>
      <c r="N136" s="59">
        <v>0</v>
      </c>
      <c r="O136" s="59">
        <v>0</v>
      </c>
      <c r="P136" s="60">
        <v>0</v>
      </c>
      <c r="Q136" s="60"/>
      <c r="R136" s="60"/>
      <c r="S136" s="268"/>
      <c r="T136" s="268"/>
      <c r="U136" s="268"/>
      <c r="V136" s="268"/>
      <c r="W136" s="268"/>
      <c r="X136" s="85"/>
      <c r="Y136" s="3598"/>
    </row>
    <row r="137" spans="1:26" ht="10.5" hidden="1" customHeight="1">
      <c r="A137" s="3601"/>
      <c r="B137" s="118" t="s">
        <v>26</v>
      </c>
      <c r="C137" s="3625"/>
      <c r="D137" s="66">
        <f>+E137+I137+J137+K137+L137</f>
        <v>0</v>
      </c>
      <c r="E137" s="60">
        <f>+F137+G137+H137</f>
        <v>0</v>
      </c>
      <c r="F137" s="57"/>
      <c r="G137" s="57"/>
      <c r="H137" s="86"/>
      <c r="I137" s="86">
        <v>0</v>
      </c>
      <c r="J137" s="86"/>
      <c r="K137" s="57">
        <v>0</v>
      </c>
      <c r="L137" s="57">
        <v>0</v>
      </c>
      <c r="M137" s="57"/>
      <c r="N137" s="57">
        <v>0</v>
      </c>
      <c r="O137" s="57">
        <v>0</v>
      </c>
      <c r="P137" s="57">
        <v>0</v>
      </c>
      <c r="Q137" s="57"/>
      <c r="R137" s="57"/>
      <c r="S137" s="268"/>
      <c r="T137" s="268"/>
      <c r="U137" s="268"/>
      <c r="V137" s="268"/>
      <c r="W137" s="268"/>
      <c r="X137" s="85"/>
      <c r="Y137" s="3598"/>
    </row>
    <row r="138" spans="1:26" ht="12.75" hidden="1" customHeight="1">
      <c r="A138" s="3601"/>
      <c r="B138" s="885" t="s">
        <v>29</v>
      </c>
      <c r="C138" s="3625"/>
      <c r="D138" s="61">
        <f>+D139</f>
        <v>0</v>
      </c>
      <c r="E138" s="61">
        <f t="shared" ref="E138:P138" si="91">+E139</f>
        <v>0</v>
      </c>
      <c r="F138" s="61">
        <f t="shared" si="91"/>
        <v>0</v>
      </c>
      <c r="G138" s="61">
        <f t="shared" si="91"/>
        <v>0</v>
      </c>
      <c r="H138" s="61">
        <f t="shared" si="91"/>
        <v>0</v>
      </c>
      <c r="I138" s="61">
        <f t="shared" si="91"/>
        <v>0</v>
      </c>
      <c r="J138" s="61">
        <f t="shared" si="91"/>
        <v>0</v>
      </c>
      <c r="K138" s="61">
        <f t="shared" si="91"/>
        <v>0</v>
      </c>
      <c r="L138" s="61">
        <f t="shared" si="91"/>
        <v>0</v>
      </c>
      <c r="M138" s="61"/>
      <c r="N138" s="61">
        <f t="shared" si="91"/>
        <v>0</v>
      </c>
      <c r="O138" s="61">
        <f t="shared" si="91"/>
        <v>0</v>
      </c>
      <c r="P138" s="61">
        <f t="shared" si="91"/>
        <v>0</v>
      </c>
      <c r="Q138" s="61"/>
      <c r="R138" s="61"/>
      <c r="S138" s="320"/>
      <c r="T138" s="320"/>
      <c r="U138" s="320"/>
      <c r="V138" s="320"/>
      <c r="W138" s="320"/>
      <c r="X138" s="83"/>
      <c r="Y138" s="3598"/>
    </row>
    <row r="139" spans="1:26" ht="11.25" hidden="1" customHeight="1">
      <c r="A139" s="3601"/>
      <c r="B139" s="2058" t="s">
        <v>32</v>
      </c>
      <c r="C139" s="3628"/>
      <c r="D139" s="56">
        <f>+E139+I139+J139+K139+L139</f>
        <v>0</v>
      </c>
      <c r="E139" s="57">
        <f>+F139+G139+H139</f>
        <v>0</v>
      </c>
      <c r="F139" s="64">
        <v>0</v>
      </c>
      <c r="G139" s="86"/>
      <c r="H139" s="86"/>
      <c r="I139" s="86"/>
      <c r="J139" s="86"/>
      <c r="K139" s="86">
        <v>0</v>
      </c>
      <c r="L139" s="57">
        <v>0</v>
      </c>
      <c r="M139" s="57"/>
      <c r="N139" s="57">
        <v>0</v>
      </c>
      <c r="O139" s="57">
        <v>0</v>
      </c>
      <c r="P139" s="64">
        <v>0</v>
      </c>
      <c r="Q139" s="64"/>
      <c r="R139" s="64"/>
      <c r="S139" s="268"/>
      <c r="T139" s="268"/>
      <c r="U139" s="268"/>
      <c r="V139" s="268"/>
      <c r="W139" s="268"/>
      <c r="X139" s="85"/>
      <c r="Y139" s="3598"/>
    </row>
    <row r="140" spans="1:26" ht="12.75" hidden="1" customHeight="1">
      <c r="A140" s="3637"/>
      <c r="B140" s="25" t="s">
        <v>33</v>
      </c>
      <c r="C140" s="26"/>
      <c r="D140" s="258">
        <f>+D143+D141</f>
        <v>0</v>
      </c>
      <c r="E140" s="258">
        <f t="shared" ref="E140:P140" si="92">+E143+E141</f>
        <v>0</v>
      </c>
      <c r="F140" s="258">
        <f t="shared" si="92"/>
        <v>0</v>
      </c>
      <c r="G140" s="258">
        <f t="shared" si="92"/>
        <v>0</v>
      </c>
      <c r="H140" s="258">
        <f t="shared" si="92"/>
        <v>0</v>
      </c>
      <c r="I140" s="258">
        <f t="shared" si="92"/>
        <v>0</v>
      </c>
      <c r="J140" s="258">
        <f t="shared" si="92"/>
        <v>0</v>
      </c>
      <c r="K140" s="258">
        <f t="shared" si="92"/>
        <v>0</v>
      </c>
      <c r="L140" s="258">
        <f t="shared" si="92"/>
        <v>0</v>
      </c>
      <c r="M140" s="258"/>
      <c r="N140" s="258">
        <f t="shared" si="92"/>
        <v>0</v>
      </c>
      <c r="O140" s="258">
        <f t="shared" si="92"/>
        <v>0</v>
      </c>
      <c r="P140" s="258">
        <f t="shared" si="92"/>
        <v>0</v>
      </c>
      <c r="Q140" s="258"/>
      <c r="R140" s="258"/>
      <c r="S140" s="2062"/>
      <c r="T140" s="2062"/>
      <c r="U140" s="2062"/>
      <c r="V140" s="2062"/>
      <c r="W140" s="2062"/>
      <c r="X140" s="2063"/>
      <c r="Y140" s="3622"/>
    </row>
    <row r="141" spans="1:26" ht="13.5" hidden="1" customHeight="1">
      <c r="A141" s="3637"/>
      <c r="B141" s="1269" t="s">
        <v>35</v>
      </c>
      <c r="C141" s="3624" t="s">
        <v>99</v>
      </c>
      <c r="D141" s="65">
        <f>+D142</f>
        <v>0</v>
      </c>
      <c r="E141" s="65">
        <f t="shared" ref="E141:P141" si="93">+E142</f>
        <v>0</v>
      </c>
      <c r="F141" s="65">
        <f t="shared" si="93"/>
        <v>0</v>
      </c>
      <c r="G141" s="65">
        <f t="shared" si="93"/>
        <v>0</v>
      </c>
      <c r="H141" s="65">
        <f t="shared" si="93"/>
        <v>0</v>
      </c>
      <c r="I141" s="65">
        <f t="shared" si="93"/>
        <v>0</v>
      </c>
      <c r="J141" s="65">
        <f t="shared" si="93"/>
        <v>0</v>
      </c>
      <c r="K141" s="65">
        <f t="shared" si="93"/>
        <v>0</v>
      </c>
      <c r="L141" s="65">
        <f t="shared" si="93"/>
        <v>0</v>
      </c>
      <c r="M141" s="65"/>
      <c r="N141" s="65">
        <f t="shared" si="93"/>
        <v>0</v>
      </c>
      <c r="O141" s="65">
        <f t="shared" si="93"/>
        <v>0</v>
      </c>
      <c r="P141" s="65">
        <f t="shared" si="93"/>
        <v>0</v>
      </c>
      <c r="Q141" s="65"/>
      <c r="R141" s="65"/>
      <c r="S141" s="320"/>
      <c r="T141" s="320"/>
      <c r="U141" s="320"/>
      <c r="V141" s="320"/>
      <c r="W141" s="320"/>
      <c r="X141" s="87"/>
      <c r="Y141" s="3622"/>
    </row>
    <row r="142" spans="1:26" ht="11.25" hidden="1" customHeight="1">
      <c r="A142" s="3637"/>
      <c r="B142" s="118" t="s">
        <v>26</v>
      </c>
      <c r="C142" s="3612"/>
      <c r="D142" s="66">
        <f>+E142+I142+J142+K142+L142+N142+O142</f>
        <v>0</v>
      </c>
      <c r="E142" s="67">
        <f>+F142+G142+H142</f>
        <v>0</v>
      </c>
      <c r="F142" s="67">
        <v>0</v>
      </c>
      <c r="G142" s="67">
        <v>0</v>
      </c>
      <c r="H142" s="67">
        <v>0</v>
      </c>
      <c r="I142" s="67">
        <v>0</v>
      </c>
      <c r="J142" s="67"/>
      <c r="K142" s="67">
        <v>0</v>
      </c>
      <c r="L142" s="67">
        <v>0</v>
      </c>
      <c r="M142" s="67"/>
      <c r="N142" s="67">
        <v>0</v>
      </c>
      <c r="O142" s="67">
        <v>0</v>
      </c>
      <c r="P142" s="67">
        <v>0</v>
      </c>
      <c r="Q142" s="67"/>
      <c r="R142" s="67"/>
      <c r="S142" s="125"/>
      <c r="T142" s="125"/>
      <c r="U142" s="125"/>
      <c r="V142" s="125"/>
      <c r="W142" s="125"/>
      <c r="X142" s="120"/>
      <c r="Y142" s="3622"/>
    </row>
    <row r="143" spans="1:26" s="353" customFormat="1" ht="12.75" hidden="1" customHeight="1">
      <c r="A143" s="3637"/>
      <c r="B143" s="885" t="s">
        <v>29</v>
      </c>
      <c r="C143" s="3612"/>
      <c r="D143" s="1907">
        <f>+D144</f>
        <v>0</v>
      </c>
      <c r="E143" s="1907">
        <f t="shared" ref="E143:P143" si="94">+E144</f>
        <v>0</v>
      </c>
      <c r="F143" s="1907">
        <f t="shared" si="94"/>
        <v>0</v>
      </c>
      <c r="G143" s="1907">
        <f t="shared" si="94"/>
        <v>0</v>
      </c>
      <c r="H143" s="1907">
        <f t="shared" si="94"/>
        <v>0</v>
      </c>
      <c r="I143" s="2053">
        <f t="shared" si="94"/>
        <v>0</v>
      </c>
      <c r="J143" s="2053">
        <f t="shared" si="94"/>
        <v>0</v>
      </c>
      <c r="K143" s="1907">
        <f t="shared" si="94"/>
        <v>0</v>
      </c>
      <c r="L143" s="1907">
        <f t="shared" si="94"/>
        <v>0</v>
      </c>
      <c r="M143" s="1907"/>
      <c r="N143" s="1907">
        <f t="shared" si="94"/>
        <v>0</v>
      </c>
      <c r="O143" s="1907">
        <f t="shared" si="94"/>
        <v>0</v>
      </c>
      <c r="P143" s="1907">
        <f t="shared" si="94"/>
        <v>0</v>
      </c>
      <c r="Q143" s="1907"/>
      <c r="R143" s="1907"/>
      <c r="S143" s="2064"/>
      <c r="T143" s="2064"/>
      <c r="U143" s="2064"/>
      <c r="V143" s="2064"/>
      <c r="W143" s="2064"/>
      <c r="X143" s="2065"/>
      <c r="Y143" s="3622"/>
    </row>
    <row r="144" spans="1:26" ht="13.5" hidden="1" thickBot="1">
      <c r="A144" s="3638"/>
      <c r="B144" s="93" t="s">
        <v>32</v>
      </c>
      <c r="C144" s="3613"/>
      <c r="D144" s="113">
        <f>+E144+I144+J144+K144+L144</f>
        <v>0</v>
      </c>
      <c r="E144" s="89">
        <f>+F144+G144+H144</f>
        <v>0</v>
      </c>
      <c r="F144" s="90">
        <v>0</v>
      </c>
      <c r="G144" s="89">
        <v>0</v>
      </c>
      <c r="H144" s="95">
        <v>0</v>
      </c>
      <c r="I144" s="89"/>
      <c r="J144" s="89"/>
      <c r="K144" s="89"/>
      <c r="L144" s="89">
        <v>0</v>
      </c>
      <c r="M144" s="89"/>
      <c r="N144" s="89">
        <v>0</v>
      </c>
      <c r="O144" s="89">
        <v>0</v>
      </c>
      <c r="P144" s="72">
        <v>0</v>
      </c>
      <c r="Q144" s="72"/>
      <c r="R144" s="72"/>
      <c r="S144" s="72"/>
      <c r="T144" s="72"/>
      <c r="U144" s="72"/>
      <c r="V144" s="72"/>
      <c r="W144" s="72"/>
      <c r="X144" s="2066"/>
      <c r="Y144" s="3623"/>
    </row>
    <row r="145" spans="1:26" ht="24.75" customHeight="1">
      <c r="A145" s="3600" t="s">
        <v>79</v>
      </c>
      <c r="B145" s="380" t="s">
        <v>465</v>
      </c>
      <c r="C145" s="73" t="s">
        <v>95</v>
      </c>
      <c r="D145" s="74"/>
      <c r="E145" s="130"/>
      <c r="F145" s="74"/>
      <c r="G145" s="130"/>
      <c r="H145" s="130"/>
      <c r="I145" s="132"/>
      <c r="J145" s="132"/>
      <c r="K145" s="132"/>
      <c r="L145" s="132"/>
      <c r="M145" s="123"/>
      <c r="N145" s="123"/>
      <c r="O145" s="123"/>
      <c r="P145" s="123"/>
      <c r="Q145" s="123"/>
      <c r="R145" s="123"/>
      <c r="S145" s="123"/>
      <c r="T145" s="123"/>
      <c r="U145" s="123"/>
      <c r="V145" s="123"/>
      <c r="W145" s="123"/>
      <c r="X145" s="53"/>
      <c r="Y145" s="115"/>
    </row>
    <row r="146" spans="1:26" ht="13.5" customHeight="1">
      <c r="A146" s="3601"/>
      <c r="B146" s="665" t="s">
        <v>21</v>
      </c>
      <c r="C146" s="836"/>
      <c r="D146" s="837">
        <f>+D147+D150</f>
        <v>21403332</v>
      </c>
      <c r="E146" s="837">
        <f t="shared" ref="E146:O146" si="95">+E147+E150</f>
        <v>41480</v>
      </c>
      <c r="F146" s="837">
        <f t="shared" si="95"/>
        <v>0</v>
      </c>
      <c r="G146" s="837">
        <f t="shared" si="95"/>
        <v>0</v>
      </c>
      <c r="H146" s="837">
        <f t="shared" si="95"/>
        <v>7838</v>
      </c>
      <c r="I146" s="837">
        <f t="shared" si="95"/>
        <v>201799</v>
      </c>
      <c r="J146" s="837">
        <f t="shared" si="95"/>
        <v>5853415</v>
      </c>
      <c r="K146" s="837">
        <f t="shared" si="95"/>
        <v>15106381</v>
      </c>
      <c r="L146" s="837">
        <f t="shared" si="95"/>
        <v>257</v>
      </c>
      <c r="M146" s="837">
        <f>+M147+M150</f>
        <v>21203332</v>
      </c>
      <c r="N146" s="837">
        <f t="shared" si="95"/>
        <v>0</v>
      </c>
      <c r="O146" s="837">
        <f t="shared" si="95"/>
        <v>0</v>
      </c>
      <c r="P146" s="837">
        <f>+P147+P150</f>
        <v>0</v>
      </c>
      <c r="Q146" s="837">
        <f>+Q147+Q150</f>
        <v>200000</v>
      </c>
      <c r="R146" s="837"/>
      <c r="S146" s="837"/>
      <c r="T146" s="837"/>
      <c r="U146" s="837"/>
      <c r="V146" s="837"/>
      <c r="W146" s="837"/>
      <c r="X146" s="838">
        <f>+X147+X150</f>
        <v>200000</v>
      </c>
      <c r="Y146" s="3598" t="s">
        <v>101</v>
      </c>
      <c r="Z146" s="864"/>
    </row>
    <row r="147" spans="1:26" ht="12.75" customHeight="1">
      <c r="A147" s="3601"/>
      <c r="B147" s="217" t="s">
        <v>35</v>
      </c>
      <c r="C147" s="3627" t="s">
        <v>98</v>
      </c>
      <c r="D147" s="839">
        <f>+D148+D149</f>
        <v>8942798</v>
      </c>
      <c r="E147" s="839">
        <f t="shared" ref="E147:P147" si="96">+E148+E149</f>
        <v>0</v>
      </c>
      <c r="F147" s="839">
        <f t="shared" si="96"/>
        <v>0</v>
      </c>
      <c r="G147" s="839">
        <f t="shared" si="96"/>
        <v>0</v>
      </c>
      <c r="H147" s="839">
        <f t="shared" si="96"/>
        <v>0</v>
      </c>
      <c r="I147" s="839">
        <f t="shared" si="96"/>
        <v>0</v>
      </c>
      <c r="J147" s="839">
        <f t="shared" si="96"/>
        <v>2000000</v>
      </c>
      <c r="K147" s="839">
        <f t="shared" si="96"/>
        <v>6742541</v>
      </c>
      <c r="L147" s="839">
        <f t="shared" si="96"/>
        <v>257</v>
      </c>
      <c r="M147" s="839">
        <f>+M148+M149</f>
        <v>8742798</v>
      </c>
      <c r="N147" s="839">
        <f t="shared" si="96"/>
        <v>0</v>
      </c>
      <c r="O147" s="839">
        <f t="shared" si="96"/>
        <v>0</v>
      </c>
      <c r="P147" s="839">
        <f t="shared" si="96"/>
        <v>0</v>
      </c>
      <c r="Q147" s="839">
        <f>+Q148+Q149</f>
        <v>200000</v>
      </c>
      <c r="R147" s="839"/>
      <c r="S147" s="839"/>
      <c r="T147" s="839"/>
      <c r="U147" s="839"/>
      <c r="V147" s="839"/>
      <c r="W147" s="839"/>
      <c r="X147" s="840">
        <f>X148</f>
        <v>200000</v>
      </c>
      <c r="Y147" s="3598"/>
      <c r="Z147" s="864"/>
    </row>
    <row r="148" spans="1:26" ht="10.5" customHeight="1">
      <c r="A148" s="3601"/>
      <c r="B148" s="811" t="s">
        <v>23</v>
      </c>
      <c r="C148" s="3612"/>
      <c r="D148" s="325">
        <f t="shared" ref="D148:D149" si="97">M148+P148+Q148+R148+S148+T148+U148+V148+W148</f>
        <v>1452934</v>
      </c>
      <c r="E148" s="810">
        <v>0</v>
      </c>
      <c r="F148" s="841">
        <v>0</v>
      </c>
      <c r="G148" s="810">
        <v>0</v>
      </c>
      <c r="H148" s="818">
        <v>0</v>
      </c>
      <c r="I148" s="818"/>
      <c r="J148" s="818">
        <v>0</v>
      </c>
      <c r="K148" s="818">
        <f>3145326+93584-1989864+3268+363</f>
        <v>1252677</v>
      </c>
      <c r="L148" s="818">
        <f>300000-100000-150000-49743</f>
        <v>257</v>
      </c>
      <c r="M148" s="387">
        <f t="shared" ref="M148:M149" si="98">+E148+I148+J148+K148+L148+N148+O148</f>
        <v>1252934</v>
      </c>
      <c r="N148" s="842">
        <f>200000+150000-150000-200000</f>
        <v>0</v>
      </c>
      <c r="O148" s="841">
        <f>200000-200000</f>
        <v>0</v>
      </c>
      <c r="P148" s="842">
        <f>200000-89000-111000</f>
        <v>0</v>
      </c>
      <c r="Q148" s="842">
        <f>89000+111000</f>
        <v>200000</v>
      </c>
      <c r="R148" s="841"/>
      <c r="S148" s="841"/>
      <c r="T148" s="841"/>
      <c r="U148" s="841"/>
      <c r="V148" s="841"/>
      <c r="W148" s="841"/>
      <c r="X148" s="44">
        <f>SUM(Q148:W148)</f>
        <v>200000</v>
      </c>
      <c r="Y148" s="3598"/>
    </row>
    <row r="149" spans="1:26">
      <c r="A149" s="3601"/>
      <c r="B149" s="118" t="s">
        <v>26</v>
      </c>
      <c r="C149" s="3612"/>
      <c r="D149" s="325">
        <f t="shared" si="97"/>
        <v>7489864</v>
      </c>
      <c r="E149" s="810">
        <v>0</v>
      </c>
      <c r="F149" s="841"/>
      <c r="G149" s="810"/>
      <c r="H149" s="818"/>
      <c r="I149" s="818">
        <v>0</v>
      </c>
      <c r="J149" s="818">
        <v>2000000</v>
      </c>
      <c r="K149" s="810">
        <f>3500000+1989864</f>
        <v>5489864</v>
      </c>
      <c r="L149" s="810">
        <v>0</v>
      </c>
      <c r="M149" s="387">
        <f t="shared" si="98"/>
        <v>7489864</v>
      </c>
      <c r="N149" s="841">
        <v>0</v>
      </c>
      <c r="O149" s="841">
        <v>0</v>
      </c>
      <c r="P149" s="842">
        <v>0</v>
      </c>
      <c r="Q149" s="842"/>
      <c r="R149" s="841"/>
      <c r="S149" s="841"/>
      <c r="T149" s="841"/>
      <c r="U149" s="841"/>
      <c r="V149" s="841"/>
      <c r="W149" s="841"/>
      <c r="X149" s="44">
        <f>SUM(Q149:W149)</f>
        <v>0</v>
      </c>
      <c r="Y149" s="3598"/>
    </row>
    <row r="150" spans="1:26" ht="12" customHeight="1">
      <c r="A150" s="3601"/>
      <c r="B150" s="885" t="s">
        <v>29</v>
      </c>
      <c r="C150" s="3612"/>
      <c r="D150" s="843">
        <f>+D151</f>
        <v>12460534</v>
      </c>
      <c r="E150" s="844">
        <f t="shared" ref="E150:K150" si="99">+E151</f>
        <v>41480</v>
      </c>
      <c r="F150" s="843">
        <f t="shared" si="99"/>
        <v>0</v>
      </c>
      <c r="G150" s="844">
        <f t="shared" si="99"/>
        <v>0</v>
      </c>
      <c r="H150" s="844">
        <f t="shared" si="99"/>
        <v>7838</v>
      </c>
      <c r="I150" s="844">
        <f t="shared" si="99"/>
        <v>201799</v>
      </c>
      <c r="J150" s="844">
        <f t="shared" si="99"/>
        <v>3853415</v>
      </c>
      <c r="K150" s="844">
        <f t="shared" si="99"/>
        <v>8363840</v>
      </c>
      <c r="L150" s="844">
        <f>+L151</f>
        <v>0</v>
      </c>
      <c r="M150" s="844">
        <f>+M151</f>
        <v>12460534</v>
      </c>
      <c r="N150" s="844">
        <f>+N151</f>
        <v>0</v>
      </c>
      <c r="O150" s="844">
        <f>+O151</f>
        <v>0</v>
      </c>
      <c r="P150" s="844">
        <f>+P151</f>
        <v>0</v>
      </c>
      <c r="Q150" s="844"/>
      <c r="R150" s="844"/>
      <c r="S150" s="843"/>
      <c r="T150" s="843"/>
      <c r="U150" s="843"/>
      <c r="V150" s="843"/>
      <c r="W150" s="843"/>
      <c r="X150" s="840">
        <f>+X151</f>
        <v>0</v>
      </c>
      <c r="Y150" s="3598"/>
    </row>
    <row r="151" spans="1:26" ht="11.25" customHeight="1">
      <c r="A151" s="3601"/>
      <c r="B151" s="811" t="s">
        <v>32</v>
      </c>
      <c r="C151" s="3670"/>
      <c r="D151" s="325">
        <f>M151+P151+Q151+R151+S151+T151+U151+V151+W151</f>
        <v>12460534</v>
      </c>
      <c r="E151" s="810">
        <f>6538+34942</f>
        <v>41480</v>
      </c>
      <c r="F151" s="841">
        <v>0</v>
      </c>
      <c r="G151" s="810">
        <v>0</v>
      </c>
      <c r="H151" s="818">
        <v>7838</v>
      </c>
      <c r="I151" s="818">
        <f>31810+169989</f>
        <v>201799</v>
      </c>
      <c r="J151" s="818">
        <v>3853415</v>
      </c>
      <c r="K151" s="810">
        <f>8461055-93584-3268-363</f>
        <v>8363840</v>
      </c>
      <c r="L151" s="810">
        <v>0</v>
      </c>
      <c r="M151" s="387">
        <f>+E151+I151+J151+K151+L151+N151+O151</f>
        <v>12460534</v>
      </c>
      <c r="N151" s="841">
        <v>0</v>
      </c>
      <c r="O151" s="841">
        <v>0</v>
      </c>
      <c r="P151" s="841">
        <v>0</v>
      </c>
      <c r="Q151" s="841"/>
      <c r="R151" s="841"/>
      <c r="S151" s="841"/>
      <c r="T151" s="841"/>
      <c r="U151" s="841"/>
      <c r="V151" s="841"/>
      <c r="W151" s="841"/>
      <c r="X151" s="44">
        <f>SUM(Q151:W151)</f>
        <v>0</v>
      </c>
      <c r="Y151" s="3599"/>
    </row>
    <row r="152" spans="1:26" ht="12" customHeight="1">
      <c r="A152" s="3637"/>
      <c r="B152" s="103" t="s">
        <v>33</v>
      </c>
      <c r="C152" s="116"/>
      <c r="D152" s="134">
        <f>+D153+D155</f>
        <v>19950398</v>
      </c>
      <c r="E152" s="134">
        <f t="shared" ref="E152:P152" si="100">+E153+E155</f>
        <v>0</v>
      </c>
      <c r="F152" s="134">
        <f t="shared" si="100"/>
        <v>0</v>
      </c>
      <c r="G152" s="134">
        <f t="shared" si="100"/>
        <v>0</v>
      </c>
      <c r="H152" s="134">
        <f t="shared" si="100"/>
        <v>0</v>
      </c>
      <c r="I152" s="134">
        <f t="shared" si="100"/>
        <v>0</v>
      </c>
      <c r="J152" s="134">
        <f t="shared" si="100"/>
        <v>2000000</v>
      </c>
      <c r="K152" s="134">
        <f t="shared" si="100"/>
        <v>15067686</v>
      </c>
      <c r="L152" s="134">
        <f t="shared" si="100"/>
        <v>2882712</v>
      </c>
      <c r="M152" s="134">
        <f>+M153+M155</f>
        <v>19950398</v>
      </c>
      <c r="N152" s="134">
        <f t="shared" si="100"/>
        <v>0</v>
      </c>
      <c r="O152" s="134">
        <f t="shared" si="100"/>
        <v>0</v>
      </c>
      <c r="P152" s="134">
        <f t="shared" si="100"/>
        <v>0</v>
      </c>
      <c r="Q152" s="134"/>
      <c r="R152" s="134"/>
      <c r="S152" s="134"/>
      <c r="T152" s="134"/>
      <c r="U152" s="134"/>
      <c r="V152" s="134"/>
      <c r="W152" s="134"/>
      <c r="X152" s="3709" t="s">
        <v>34</v>
      </c>
      <c r="Y152" s="3646" t="s">
        <v>118</v>
      </c>
      <c r="Z152" s="864"/>
    </row>
    <row r="153" spans="1:26" ht="13.5" customHeight="1">
      <c r="A153" s="3637"/>
      <c r="B153" s="855" t="s">
        <v>35</v>
      </c>
      <c r="C153" s="3627" t="s">
        <v>99</v>
      </c>
      <c r="D153" s="65">
        <f>+D154</f>
        <v>7489864</v>
      </c>
      <c r="E153" s="65">
        <f t="shared" ref="E153:P153" si="101">+E154</f>
        <v>0</v>
      </c>
      <c r="F153" s="65">
        <f t="shared" si="101"/>
        <v>0</v>
      </c>
      <c r="G153" s="65">
        <f t="shared" si="101"/>
        <v>0</v>
      </c>
      <c r="H153" s="65">
        <f t="shared" si="101"/>
        <v>0</v>
      </c>
      <c r="I153" s="65">
        <f t="shared" si="101"/>
        <v>0</v>
      </c>
      <c r="J153" s="65">
        <f t="shared" si="101"/>
        <v>2000000</v>
      </c>
      <c r="K153" s="65">
        <f t="shared" si="101"/>
        <v>3500000</v>
      </c>
      <c r="L153" s="65">
        <f t="shared" si="101"/>
        <v>1989864</v>
      </c>
      <c r="M153" s="65">
        <f t="shared" si="101"/>
        <v>7489864</v>
      </c>
      <c r="N153" s="65">
        <f t="shared" si="101"/>
        <v>0</v>
      </c>
      <c r="O153" s="65">
        <f t="shared" si="101"/>
        <v>0</v>
      </c>
      <c r="P153" s="65">
        <f t="shared" si="101"/>
        <v>0</v>
      </c>
      <c r="Q153" s="65"/>
      <c r="R153" s="65"/>
      <c r="S153" s="65"/>
      <c r="T153" s="65"/>
      <c r="U153" s="65"/>
      <c r="V153" s="65"/>
      <c r="W153" s="65"/>
      <c r="X153" s="3710"/>
      <c r="Y153" s="3609"/>
    </row>
    <row r="154" spans="1:26" ht="13.5" customHeight="1">
      <c r="A154" s="3637"/>
      <c r="B154" s="118" t="s">
        <v>26</v>
      </c>
      <c r="C154" s="3612"/>
      <c r="D154" s="325">
        <f>M154+P154+Q154+R154+S154+T154+U154+V154+W154</f>
        <v>7489864</v>
      </c>
      <c r="E154" s="845">
        <f>+F154+G154+H154</f>
        <v>0</v>
      </c>
      <c r="F154" s="845">
        <v>0</v>
      </c>
      <c r="G154" s="845">
        <v>0</v>
      </c>
      <c r="H154" s="845">
        <v>0</v>
      </c>
      <c r="I154" s="845">
        <v>0</v>
      </c>
      <c r="J154" s="845">
        <v>2000000</v>
      </c>
      <c r="K154" s="845">
        <v>3500000</v>
      </c>
      <c r="L154" s="845">
        <f>800000+1189864</f>
        <v>1989864</v>
      </c>
      <c r="M154" s="387">
        <f>+E154+I154+J154+K154+L154+N154+O154</f>
        <v>7489864</v>
      </c>
      <c r="N154" s="845">
        <v>0</v>
      </c>
      <c r="O154" s="845">
        <v>0</v>
      </c>
      <c r="P154" s="845">
        <v>0</v>
      </c>
      <c r="Q154" s="845"/>
      <c r="R154" s="845"/>
      <c r="S154" s="845"/>
      <c r="T154" s="845"/>
      <c r="U154" s="845"/>
      <c r="V154" s="845"/>
      <c r="W154" s="845"/>
      <c r="X154" s="3710"/>
      <c r="Y154" s="3609"/>
    </row>
    <row r="155" spans="1:26" s="353" customFormat="1" ht="12.75" customHeight="1">
      <c r="A155" s="3637"/>
      <c r="B155" s="885" t="s">
        <v>29</v>
      </c>
      <c r="C155" s="3612"/>
      <c r="D155" s="2067">
        <f t="shared" ref="D155:P155" si="102">+D156</f>
        <v>12460534</v>
      </c>
      <c r="E155" s="2068">
        <f t="shared" si="102"/>
        <v>0</v>
      </c>
      <c r="F155" s="2068">
        <f t="shared" si="102"/>
        <v>0</v>
      </c>
      <c r="G155" s="2068">
        <f t="shared" si="102"/>
        <v>0</v>
      </c>
      <c r="H155" s="2068">
        <f t="shared" si="102"/>
        <v>0</v>
      </c>
      <c r="I155" s="2068">
        <f t="shared" si="102"/>
        <v>0</v>
      </c>
      <c r="J155" s="2068">
        <f t="shared" si="102"/>
        <v>0</v>
      </c>
      <c r="K155" s="2068">
        <f t="shared" si="102"/>
        <v>11567686</v>
      </c>
      <c r="L155" s="2068">
        <f t="shared" si="102"/>
        <v>892848</v>
      </c>
      <c r="M155" s="2068">
        <f t="shared" si="102"/>
        <v>12460534</v>
      </c>
      <c r="N155" s="2068">
        <f t="shared" si="102"/>
        <v>0</v>
      </c>
      <c r="O155" s="2068">
        <f t="shared" si="102"/>
        <v>0</v>
      </c>
      <c r="P155" s="2068">
        <f t="shared" si="102"/>
        <v>0</v>
      </c>
      <c r="Q155" s="2068"/>
      <c r="R155" s="2068"/>
      <c r="S155" s="2068"/>
      <c r="T155" s="2068"/>
      <c r="U155" s="2068"/>
      <c r="V155" s="2068"/>
      <c r="W155" s="2068"/>
      <c r="X155" s="3710"/>
      <c r="Y155" s="3609"/>
    </row>
    <row r="156" spans="1:26" ht="12.75" customHeight="1" thickBot="1">
      <c r="A156" s="3638"/>
      <c r="B156" s="93" t="s">
        <v>32</v>
      </c>
      <c r="C156" s="3613"/>
      <c r="D156" s="325">
        <f>M156+P156+Q156+R156+S156+T156+U156+V156+W156</f>
        <v>12460534</v>
      </c>
      <c r="E156" s="89">
        <f>+F156+G156+H156</f>
        <v>0</v>
      </c>
      <c r="F156" s="90">
        <v>0</v>
      </c>
      <c r="G156" s="89">
        <v>0</v>
      </c>
      <c r="H156" s="95">
        <v>0</v>
      </c>
      <c r="I156" s="95">
        <v>0</v>
      </c>
      <c r="J156" s="95">
        <f>1283619-1283619</f>
        <v>0</v>
      </c>
      <c r="K156" s="95">
        <v>11567686</v>
      </c>
      <c r="L156" s="95">
        <f>990063-93584-3268-363</f>
        <v>892848</v>
      </c>
      <c r="M156" s="387">
        <f>+E156+I156+J156+K156+L156+N156+O156</f>
        <v>12460534</v>
      </c>
      <c r="N156" s="72">
        <v>0</v>
      </c>
      <c r="O156" s="72">
        <v>0</v>
      </c>
      <c r="P156" s="72">
        <v>0</v>
      </c>
      <c r="Q156" s="72"/>
      <c r="R156" s="72"/>
      <c r="S156" s="72"/>
      <c r="T156" s="72"/>
      <c r="U156" s="72"/>
      <c r="V156" s="72"/>
      <c r="W156" s="72"/>
      <c r="X156" s="3711"/>
      <c r="Y156" s="3610"/>
    </row>
    <row r="157" spans="1:26" ht="27" hidden="1" customHeight="1">
      <c r="A157" s="3600"/>
      <c r="B157" s="91"/>
      <c r="C157" s="73"/>
      <c r="D157" s="2069"/>
      <c r="E157" s="121"/>
      <c r="F157" s="122"/>
      <c r="G157" s="121"/>
      <c r="H157" s="121"/>
      <c r="I157" s="121"/>
      <c r="J157" s="121"/>
      <c r="K157" s="121"/>
      <c r="L157" s="121"/>
      <c r="M157" s="123"/>
      <c r="N157" s="123"/>
      <c r="O157" s="123"/>
      <c r="P157" s="123"/>
      <c r="Q157" s="123"/>
      <c r="R157" s="123"/>
      <c r="S157" s="123"/>
      <c r="T157" s="123"/>
      <c r="U157" s="123"/>
      <c r="V157" s="123"/>
      <c r="W157" s="123"/>
      <c r="X157" s="53"/>
      <c r="Y157" s="115"/>
      <c r="Z157" s="864"/>
    </row>
    <row r="158" spans="1:26" ht="13.5" hidden="1" customHeight="1">
      <c r="A158" s="3601"/>
      <c r="B158" s="97" t="s">
        <v>21</v>
      </c>
      <c r="C158" s="26"/>
      <c r="D158" s="78"/>
      <c r="E158" s="78"/>
      <c r="F158" s="78"/>
      <c r="G158" s="78"/>
      <c r="H158" s="78"/>
      <c r="I158" s="78"/>
      <c r="J158" s="78"/>
      <c r="K158" s="78"/>
      <c r="L158" s="78"/>
      <c r="M158" s="78"/>
      <c r="N158" s="78"/>
      <c r="O158" s="78"/>
      <c r="P158" s="78"/>
      <c r="Q158" s="78"/>
      <c r="R158" s="78"/>
      <c r="S158" s="78"/>
      <c r="T158" s="78"/>
      <c r="U158" s="78"/>
      <c r="V158" s="78"/>
      <c r="W158" s="78"/>
      <c r="X158" s="80">
        <f>+X159+X161</f>
        <v>0</v>
      </c>
      <c r="Y158" s="3598" t="s">
        <v>101</v>
      </c>
      <c r="Z158" s="864"/>
    </row>
    <row r="159" spans="1:26" ht="13.5" hidden="1" customHeight="1">
      <c r="A159" s="3601"/>
      <c r="B159" s="2048" t="s">
        <v>35</v>
      </c>
      <c r="C159" s="3624" t="s">
        <v>98</v>
      </c>
      <c r="D159" s="81"/>
      <c r="E159" s="81"/>
      <c r="F159" s="81"/>
      <c r="G159" s="81"/>
      <c r="H159" s="81"/>
      <c r="I159" s="81"/>
      <c r="J159" s="81"/>
      <c r="K159" s="81"/>
      <c r="L159" s="81"/>
      <c r="M159" s="81"/>
      <c r="N159" s="81"/>
      <c r="O159" s="81"/>
      <c r="P159" s="81"/>
      <c r="Q159" s="81"/>
      <c r="R159" s="81"/>
      <c r="S159" s="81"/>
      <c r="T159" s="81"/>
      <c r="U159" s="81"/>
      <c r="V159" s="81"/>
      <c r="W159" s="81"/>
      <c r="X159" s="82">
        <f>+X160</f>
        <v>0</v>
      </c>
      <c r="Y159" s="3598"/>
    </row>
    <row r="160" spans="1:26" ht="12.75" hidden="1" customHeight="1">
      <c r="A160" s="3601"/>
      <c r="B160" s="1909" t="s">
        <v>23</v>
      </c>
      <c r="C160" s="3625"/>
      <c r="D160" s="325"/>
      <c r="E160" s="59"/>
      <c r="F160" s="60"/>
      <c r="G160" s="92"/>
      <c r="H160" s="92"/>
      <c r="I160" s="92"/>
      <c r="J160" s="92"/>
      <c r="K160" s="92"/>
      <c r="L160" s="92"/>
      <c r="M160" s="387"/>
      <c r="N160" s="92"/>
      <c r="O160" s="92"/>
      <c r="P160" s="110"/>
      <c r="Q160" s="60"/>
      <c r="R160" s="60"/>
      <c r="S160" s="60"/>
      <c r="T160" s="60"/>
      <c r="U160" s="60"/>
      <c r="V160" s="60"/>
      <c r="W160" s="60"/>
      <c r="X160" s="44">
        <f>SUM(Q160:W160)</f>
        <v>0</v>
      </c>
      <c r="Y160" s="3598"/>
    </row>
    <row r="161" spans="1:29" ht="12.75" hidden="1" customHeight="1">
      <c r="A161" s="3601"/>
      <c r="B161" s="2052" t="s">
        <v>29</v>
      </c>
      <c r="C161" s="3625"/>
      <c r="D161" s="61"/>
      <c r="E161" s="61"/>
      <c r="F161" s="61"/>
      <c r="G161" s="61"/>
      <c r="H161" s="61"/>
      <c r="I161" s="61"/>
      <c r="J161" s="61"/>
      <c r="K161" s="61"/>
      <c r="L161" s="61"/>
      <c r="M161" s="61"/>
      <c r="N161" s="61"/>
      <c r="O161" s="61"/>
      <c r="P161" s="61"/>
      <c r="Q161" s="61"/>
      <c r="R161" s="61"/>
      <c r="S161" s="61"/>
      <c r="T161" s="61"/>
      <c r="U161" s="61"/>
      <c r="V161" s="61"/>
      <c r="W161" s="61"/>
      <c r="X161" s="82">
        <f>+X162</f>
        <v>0</v>
      </c>
      <c r="Y161" s="3598"/>
    </row>
    <row r="162" spans="1:29" ht="12" hidden="1" customHeight="1">
      <c r="A162" s="3601"/>
      <c r="B162" s="811" t="s">
        <v>32</v>
      </c>
      <c r="C162" s="3628"/>
      <c r="D162" s="325"/>
      <c r="E162" s="59"/>
      <c r="F162" s="60"/>
      <c r="G162" s="92"/>
      <c r="H162" s="92"/>
      <c r="I162" s="92"/>
      <c r="J162" s="92"/>
      <c r="K162" s="92"/>
      <c r="L162" s="59"/>
      <c r="M162" s="387"/>
      <c r="N162" s="59"/>
      <c r="O162" s="59"/>
      <c r="P162" s="60"/>
      <c r="Q162" s="60"/>
      <c r="R162" s="60"/>
      <c r="S162" s="60"/>
      <c r="T162" s="60"/>
      <c r="U162" s="60"/>
      <c r="V162" s="60"/>
      <c r="W162" s="60"/>
      <c r="X162" s="44">
        <f>SUM(Q162:W162)</f>
        <v>0</v>
      </c>
      <c r="Y162" s="3599"/>
    </row>
    <row r="163" spans="1:29" ht="12.75" hidden="1" customHeight="1">
      <c r="A163" s="3637"/>
      <c r="B163" s="101" t="s">
        <v>33</v>
      </c>
      <c r="C163" s="26"/>
      <c r="D163" s="258"/>
      <c r="E163" s="258"/>
      <c r="F163" s="258"/>
      <c r="G163" s="258"/>
      <c r="H163" s="258"/>
      <c r="I163" s="258"/>
      <c r="J163" s="258"/>
      <c r="K163" s="258"/>
      <c r="L163" s="258"/>
      <c r="M163" s="258"/>
      <c r="N163" s="258"/>
      <c r="O163" s="258"/>
      <c r="P163" s="258"/>
      <c r="Q163" s="258"/>
      <c r="R163" s="258"/>
      <c r="S163" s="258"/>
      <c r="T163" s="258"/>
      <c r="U163" s="258"/>
      <c r="V163" s="258"/>
      <c r="W163" s="258"/>
      <c r="X163" s="3712" t="s">
        <v>34</v>
      </c>
      <c r="Y163" s="3642" t="s">
        <v>118</v>
      </c>
      <c r="Z163" s="864"/>
    </row>
    <row r="164" spans="1:29" ht="13.5" hidden="1" customHeight="1">
      <c r="A164" s="3637"/>
      <c r="B164" s="2048" t="s">
        <v>35</v>
      </c>
      <c r="C164" s="3668" t="s">
        <v>98</v>
      </c>
      <c r="D164" s="65"/>
      <c r="E164" s="65"/>
      <c r="F164" s="65"/>
      <c r="G164" s="65"/>
      <c r="H164" s="65"/>
      <c r="I164" s="65"/>
      <c r="J164" s="65"/>
      <c r="K164" s="65"/>
      <c r="L164" s="65"/>
      <c r="M164" s="65"/>
      <c r="N164" s="65"/>
      <c r="O164" s="65"/>
      <c r="P164" s="65"/>
      <c r="Q164" s="65"/>
      <c r="R164" s="65"/>
      <c r="S164" s="65"/>
      <c r="T164" s="65"/>
      <c r="U164" s="65"/>
      <c r="V164" s="65"/>
      <c r="W164" s="65"/>
      <c r="X164" s="3710"/>
      <c r="Y164" s="3609"/>
    </row>
    <row r="165" spans="1:29" ht="13.5" hidden="1" customHeight="1">
      <c r="A165" s="3637"/>
      <c r="B165" s="118" t="s">
        <v>37</v>
      </c>
      <c r="C165" s="3669"/>
      <c r="D165" s="325"/>
      <c r="E165" s="67"/>
      <c r="F165" s="67"/>
      <c r="G165" s="67"/>
      <c r="H165" s="67"/>
      <c r="I165" s="67"/>
      <c r="J165" s="67"/>
      <c r="K165" s="67"/>
      <c r="L165" s="67"/>
      <c r="M165" s="387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3710"/>
      <c r="Y165" s="3609"/>
    </row>
    <row r="166" spans="1:29" s="353" customFormat="1" ht="12.75" hidden="1" customHeight="1">
      <c r="A166" s="3637"/>
      <c r="B166" s="2052" t="s">
        <v>29</v>
      </c>
      <c r="C166" s="3624" t="s">
        <v>99</v>
      </c>
      <c r="D166" s="1907"/>
      <c r="E166" s="1907"/>
      <c r="F166" s="1907"/>
      <c r="G166" s="1907"/>
      <c r="H166" s="1907"/>
      <c r="I166" s="1907"/>
      <c r="J166" s="1907"/>
      <c r="K166" s="1907"/>
      <c r="L166" s="1907"/>
      <c r="M166" s="1907"/>
      <c r="N166" s="1907"/>
      <c r="O166" s="1907"/>
      <c r="P166" s="1907"/>
      <c r="Q166" s="1907"/>
      <c r="R166" s="1907"/>
      <c r="S166" s="1907"/>
      <c r="T166" s="1907"/>
      <c r="U166" s="1907"/>
      <c r="V166" s="1907"/>
      <c r="W166" s="1907"/>
      <c r="X166" s="3710"/>
      <c r="Y166" s="3609"/>
    </row>
    <row r="167" spans="1:29" ht="12.75" hidden="1" customHeight="1" thickBot="1">
      <c r="A167" s="3638"/>
      <c r="B167" s="93" t="s">
        <v>32</v>
      </c>
      <c r="C167" s="3626"/>
      <c r="D167" s="325"/>
      <c r="E167" s="89"/>
      <c r="F167" s="90"/>
      <c r="G167" s="89"/>
      <c r="H167" s="95"/>
      <c r="I167" s="95"/>
      <c r="J167" s="89"/>
      <c r="K167" s="89"/>
      <c r="L167" s="95"/>
      <c r="M167" s="387"/>
      <c r="N167" s="95"/>
      <c r="O167" s="89"/>
      <c r="P167" s="72"/>
      <c r="Q167" s="72"/>
      <c r="R167" s="72"/>
      <c r="S167" s="72"/>
      <c r="T167" s="72"/>
      <c r="U167" s="72"/>
      <c r="V167" s="72"/>
      <c r="W167" s="72"/>
      <c r="X167" s="3711"/>
      <c r="Y167" s="3610"/>
    </row>
    <row r="168" spans="1:29" ht="25.5" customHeight="1">
      <c r="A168" s="3600" t="s">
        <v>80</v>
      </c>
      <c r="B168" s="707" t="s">
        <v>466</v>
      </c>
      <c r="C168" s="73" t="s">
        <v>95</v>
      </c>
      <c r="D168" s="74"/>
      <c r="E168" s="96"/>
      <c r="F168" s="75"/>
      <c r="G168" s="76"/>
      <c r="H168" s="76"/>
      <c r="I168" s="50"/>
      <c r="J168" s="50"/>
      <c r="K168" s="50"/>
      <c r="L168" s="50"/>
      <c r="M168" s="52"/>
      <c r="N168" s="52"/>
      <c r="O168" s="52"/>
      <c r="P168" s="52"/>
      <c r="Q168" s="52"/>
      <c r="R168" s="52"/>
      <c r="S168" s="52"/>
      <c r="T168" s="52"/>
      <c r="U168" s="52"/>
      <c r="V168" s="52"/>
      <c r="W168" s="52"/>
      <c r="X168" s="53"/>
      <c r="Y168" s="115"/>
      <c r="AC168" s="2057"/>
    </row>
    <row r="169" spans="1:29" ht="11.25" customHeight="1">
      <c r="A169" s="3601"/>
      <c r="B169" s="1331" t="s">
        <v>21</v>
      </c>
      <c r="C169" s="1881"/>
      <c r="D169" s="2283">
        <f>+D170+D172</f>
        <v>12483753</v>
      </c>
      <c r="E169" s="2283">
        <f t="shared" ref="E169:P169" si="103">+E170+E172</f>
        <v>10549</v>
      </c>
      <c r="F169" s="2283">
        <f t="shared" si="103"/>
        <v>0</v>
      </c>
      <c r="G169" s="2283">
        <f t="shared" si="103"/>
        <v>0</v>
      </c>
      <c r="H169" s="2283">
        <f t="shared" si="103"/>
        <v>0</v>
      </c>
      <c r="I169" s="2283">
        <f t="shared" si="103"/>
        <v>18660</v>
      </c>
      <c r="J169" s="2283">
        <f t="shared" si="103"/>
        <v>114255</v>
      </c>
      <c r="K169" s="2283">
        <f t="shared" si="103"/>
        <v>166758</v>
      </c>
      <c r="L169" s="2283">
        <f t="shared" si="103"/>
        <v>9811984</v>
      </c>
      <c r="M169" s="2283">
        <f>+M170+M172</f>
        <v>12403753</v>
      </c>
      <c r="N169" s="2283">
        <f t="shared" si="103"/>
        <v>2281547</v>
      </c>
      <c r="O169" s="2283">
        <f t="shared" si="103"/>
        <v>0</v>
      </c>
      <c r="P169" s="2283">
        <f t="shared" si="103"/>
        <v>62995</v>
      </c>
      <c r="Q169" s="2283">
        <f>+Q170+Q172</f>
        <v>17005</v>
      </c>
      <c r="R169" s="2283"/>
      <c r="S169" s="2283"/>
      <c r="T169" s="2283"/>
      <c r="U169" s="2283"/>
      <c r="V169" s="2283"/>
      <c r="W169" s="2283"/>
      <c r="X169" s="2261">
        <f>+X170+X172</f>
        <v>17005</v>
      </c>
      <c r="Y169" s="3598" t="s">
        <v>101</v>
      </c>
      <c r="Z169" s="864"/>
      <c r="AA169" s="864"/>
      <c r="AB169" s="864"/>
      <c r="AC169" s="864"/>
    </row>
    <row r="170" spans="1:29" ht="13.5" customHeight="1">
      <c r="A170" s="3601"/>
      <c r="B170" s="1375" t="s">
        <v>35</v>
      </c>
      <c r="C170" s="3611" t="s">
        <v>98</v>
      </c>
      <c r="D170" s="1771">
        <f>+D171</f>
        <v>2583530</v>
      </c>
      <c r="E170" s="1771">
        <f t="shared" ref="E170:Q170" si="104">+E171</f>
        <v>10549</v>
      </c>
      <c r="F170" s="1771">
        <f t="shared" si="104"/>
        <v>0</v>
      </c>
      <c r="G170" s="1771">
        <f t="shared" si="104"/>
        <v>0</v>
      </c>
      <c r="H170" s="1771">
        <f t="shared" si="104"/>
        <v>0</v>
      </c>
      <c r="I170" s="1771">
        <f t="shared" si="104"/>
        <v>0</v>
      </c>
      <c r="J170" s="1771">
        <f t="shared" si="104"/>
        <v>2295</v>
      </c>
      <c r="K170" s="1771">
        <f t="shared" si="104"/>
        <v>0</v>
      </c>
      <c r="L170" s="1771">
        <f t="shared" si="104"/>
        <v>539085</v>
      </c>
      <c r="M170" s="1771">
        <f t="shared" si="104"/>
        <v>2503530</v>
      </c>
      <c r="N170" s="1771">
        <f t="shared" si="104"/>
        <v>1951601</v>
      </c>
      <c r="O170" s="1771">
        <f t="shared" si="104"/>
        <v>0</v>
      </c>
      <c r="P170" s="1771">
        <f t="shared" si="104"/>
        <v>62995</v>
      </c>
      <c r="Q170" s="1771">
        <f t="shared" si="104"/>
        <v>17005</v>
      </c>
      <c r="R170" s="1771"/>
      <c r="S170" s="1771"/>
      <c r="T170" s="1771"/>
      <c r="U170" s="1771"/>
      <c r="V170" s="1771"/>
      <c r="W170" s="1771"/>
      <c r="X170" s="1280">
        <f>+X171</f>
        <v>17005</v>
      </c>
      <c r="Y170" s="3598"/>
      <c r="Z170" s="864"/>
    </row>
    <row r="171" spans="1:29" ht="12" customHeight="1">
      <c r="A171" s="3601"/>
      <c r="B171" s="2284" t="s">
        <v>23</v>
      </c>
      <c r="C171" s="3612"/>
      <c r="D171" s="2234">
        <f>M171+P171+Q171+R171+S171+T171+U171+V171+W171</f>
        <v>2583530</v>
      </c>
      <c r="E171" s="1772">
        <v>10549</v>
      </c>
      <c r="F171" s="1710"/>
      <c r="G171" s="1710">
        <v>0</v>
      </c>
      <c r="H171" s="1713">
        <v>0</v>
      </c>
      <c r="I171" s="1713">
        <v>0</v>
      </c>
      <c r="J171" s="1713">
        <v>2295</v>
      </c>
      <c r="K171" s="1713">
        <f>43675-43675</f>
        <v>0</v>
      </c>
      <c r="L171" s="1710">
        <v>539085</v>
      </c>
      <c r="M171" s="2273">
        <f>+E171+I171+J171+K171+L171+N171+O171</f>
        <v>2503530</v>
      </c>
      <c r="N171" s="1713">
        <f>1046821-447215-41080+424445+968630</f>
        <v>1951601</v>
      </c>
      <c r="O171" s="1713">
        <f>41080-41080</f>
        <v>0</v>
      </c>
      <c r="P171" s="1283">
        <f>80000-17005</f>
        <v>62995</v>
      </c>
      <c r="Q171" s="1283">
        <v>17005</v>
      </c>
      <c r="R171" s="1709"/>
      <c r="S171" s="1709"/>
      <c r="T171" s="1709"/>
      <c r="U171" s="1709"/>
      <c r="V171" s="1709"/>
      <c r="W171" s="1709"/>
      <c r="X171" s="2285">
        <f>SUM(Q171:W171)</f>
        <v>17005</v>
      </c>
      <c r="Y171" s="3598"/>
      <c r="Z171" s="864"/>
    </row>
    <row r="172" spans="1:29" ht="12.75" customHeight="1">
      <c r="A172" s="3601"/>
      <c r="B172" s="1388" t="s">
        <v>29</v>
      </c>
      <c r="C172" s="3612"/>
      <c r="D172" s="1284">
        <f>+D173</f>
        <v>9900223</v>
      </c>
      <c r="E172" s="1284">
        <f t="shared" ref="E172:P172" si="105">+E173</f>
        <v>0</v>
      </c>
      <c r="F172" s="1284">
        <f t="shared" si="105"/>
        <v>0</v>
      </c>
      <c r="G172" s="1284">
        <f t="shared" si="105"/>
        <v>0</v>
      </c>
      <c r="H172" s="1284">
        <f t="shared" si="105"/>
        <v>0</v>
      </c>
      <c r="I172" s="1284">
        <f t="shared" si="105"/>
        <v>18660</v>
      </c>
      <c r="J172" s="1284">
        <f t="shared" si="105"/>
        <v>111960</v>
      </c>
      <c r="K172" s="1284">
        <f t="shared" si="105"/>
        <v>166758</v>
      </c>
      <c r="L172" s="1284">
        <f t="shared" si="105"/>
        <v>9272899</v>
      </c>
      <c r="M172" s="1284">
        <f t="shared" si="105"/>
        <v>9900223</v>
      </c>
      <c r="N172" s="1284">
        <f t="shared" si="105"/>
        <v>329946</v>
      </c>
      <c r="O172" s="1284">
        <f t="shared" si="105"/>
        <v>0</v>
      </c>
      <c r="P172" s="1284">
        <f t="shared" si="105"/>
        <v>0</v>
      </c>
      <c r="Q172" s="1284"/>
      <c r="R172" s="1284"/>
      <c r="S172" s="1284"/>
      <c r="T172" s="1284"/>
      <c r="U172" s="1284"/>
      <c r="V172" s="1284"/>
      <c r="W172" s="1284"/>
      <c r="X172" s="1280">
        <f>+X173</f>
        <v>0</v>
      </c>
      <c r="Y172" s="3598"/>
    </row>
    <row r="173" spans="1:29" ht="12" customHeight="1">
      <c r="A173" s="3601"/>
      <c r="B173" s="1752" t="s">
        <v>32</v>
      </c>
      <c r="C173" s="3670"/>
      <c r="D173" s="2234">
        <f>M173+P173+Q173+R173+S173+T173+U173+V173+W173</f>
        <v>9900223</v>
      </c>
      <c r="E173" s="1710">
        <f>+F173+G173+H173</f>
        <v>0</v>
      </c>
      <c r="F173" s="1709">
        <v>0</v>
      </c>
      <c r="G173" s="1713">
        <v>0</v>
      </c>
      <c r="H173" s="1713">
        <v>0</v>
      </c>
      <c r="I173" s="1713">
        <f>64968+9107-53465-1950</f>
        <v>18660</v>
      </c>
      <c r="J173" s="1713">
        <f>397798+55766-327369-14235</f>
        <v>111960</v>
      </c>
      <c r="K173" s="1713">
        <f>123083+43675</f>
        <v>166758</v>
      </c>
      <c r="L173" s="1710">
        <f>10974278+2562159-1640000-1811402-273051-539085</f>
        <v>9272899</v>
      </c>
      <c r="M173" s="2273">
        <f>+E173+I173+J173+K173+L173+N173+O173</f>
        <v>9900223</v>
      </c>
      <c r="N173" s="1710">
        <f>1811402+89236-177617-424445-968630</f>
        <v>329946</v>
      </c>
      <c r="O173" s="1710">
        <v>0</v>
      </c>
      <c r="P173" s="1709">
        <v>0</v>
      </c>
      <c r="Q173" s="1709"/>
      <c r="R173" s="1709"/>
      <c r="S173" s="1709"/>
      <c r="T173" s="1709"/>
      <c r="U173" s="1709"/>
      <c r="V173" s="1709"/>
      <c r="W173" s="1709"/>
      <c r="X173" s="2285">
        <f>SUM(Q173:W173)</f>
        <v>0</v>
      </c>
      <c r="Y173" s="3599"/>
    </row>
    <row r="174" spans="1:29" ht="12.75" customHeight="1">
      <c r="A174" s="3601"/>
      <c r="B174" s="1049" t="s">
        <v>33</v>
      </c>
      <c r="C174" s="1881"/>
      <c r="D174" s="1690">
        <f>+D175</f>
        <v>9900223</v>
      </c>
      <c r="E174" s="1690">
        <f t="shared" ref="E174:P175" si="106">+E175</f>
        <v>0</v>
      </c>
      <c r="F174" s="1690">
        <f t="shared" si="106"/>
        <v>0</v>
      </c>
      <c r="G174" s="1690">
        <f t="shared" si="106"/>
        <v>0</v>
      </c>
      <c r="H174" s="1690">
        <f t="shared" si="106"/>
        <v>0</v>
      </c>
      <c r="I174" s="1690">
        <f t="shared" si="106"/>
        <v>0</v>
      </c>
      <c r="J174" s="1690">
        <f t="shared" si="106"/>
        <v>0</v>
      </c>
      <c r="K174" s="1690">
        <f t="shared" si="106"/>
        <v>0</v>
      </c>
      <c r="L174" s="1690">
        <f t="shared" si="106"/>
        <v>8420990</v>
      </c>
      <c r="M174" s="1690">
        <f t="shared" si="106"/>
        <v>9900223</v>
      </c>
      <c r="N174" s="1690">
        <f t="shared" si="106"/>
        <v>1479233</v>
      </c>
      <c r="O174" s="1690">
        <f t="shared" si="106"/>
        <v>0</v>
      </c>
      <c r="P174" s="1690">
        <f t="shared" si="106"/>
        <v>0</v>
      </c>
      <c r="Q174" s="1690"/>
      <c r="R174" s="1690"/>
      <c r="S174" s="1690"/>
      <c r="T174" s="1690"/>
      <c r="U174" s="1690"/>
      <c r="V174" s="1690"/>
      <c r="W174" s="1690"/>
      <c r="X174" s="3713" t="s">
        <v>34</v>
      </c>
      <c r="Y174" s="3671" t="s">
        <v>118</v>
      </c>
      <c r="Z174" s="864"/>
    </row>
    <row r="175" spans="1:29" s="353" customFormat="1" ht="12.75" customHeight="1">
      <c r="A175" s="3601"/>
      <c r="B175" s="1350" t="s">
        <v>29</v>
      </c>
      <c r="C175" s="3611" t="s">
        <v>99</v>
      </c>
      <c r="D175" s="2120">
        <f>+D176</f>
        <v>9900223</v>
      </c>
      <c r="E175" s="2120">
        <f t="shared" si="106"/>
        <v>0</v>
      </c>
      <c r="F175" s="2120">
        <f t="shared" si="106"/>
        <v>0</v>
      </c>
      <c r="G175" s="2120">
        <f t="shared" si="106"/>
        <v>0</v>
      </c>
      <c r="H175" s="2120">
        <f t="shared" si="106"/>
        <v>0</v>
      </c>
      <c r="I175" s="2120">
        <f t="shared" si="106"/>
        <v>0</v>
      </c>
      <c r="J175" s="2120">
        <f t="shared" si="106"/>
        <v>0</v>
      </c>
      <c r="K175" s="2286">
        <f t="shared" si="106"/>
        <v>0</v>
      </c>
      <c r="L175" s="2286">
        <f t="shared" si="106"/>
        <v>8420990</v>
      </c>
      <c r="M175" s="2286">
        <f t="shared" si="106"/>
        <v>9900223</v>
      </c>
      <c r="N175" s="2286">
        <f t="shared" si="106"/>
        <v>1479233</v>
      </c>
      <c r="O175" s="2286">
        <f t="shared" si="106"/>
        <v>0</v>
      </c>
      <c r="P175" s="2120">
        <f t="shared" si="106"/>
        <v>0</v>
      </c>
      <c r="Q175" s="2120"/>
      <c r="R175" s="2120"/>
      <c r="S175" s="2120"/>
      <c r="T175" s="2120"/>
      <c r="U175" s="2120"/>
      <c r="V175" s="2120"/>
      <c r="W175" s="2120"/>
      <c r="X175" s="3710"/>
      <c r="Y175" s="3598"/>
    </row>
    <row r="176" spans="1:29" ht="12.75" customHeight="1" thickBot="1">
      <c r="A176" s="3602"/>
      <c r="B176" s="93" t="s">
        <v>32</v>
      </c>
      <c r="C176" s="3626"/>
      <c r="D176" s="2215">
        <f>M176+P176+Q176+R176+S176+T176+U176+V176+W176</f>
        <v>9900223</v>
      </c>
      <c r="E176" s="963">
        <f>+F176+G176+H176</f>
        <v>0</v>
      </c>
      <c r="F176" s="1088">
        <v>0</v>
      </c>
      <c r="G176" s="963">
        <v>0</v>
      </c>
      <c r="H176" s="964">
        <v>0</v>
      </c>
      <c r="I176" s="964">
        <v>0</v>
      </c>
      <c r="J176" s="963">
        <v>0</v>
      </c>
      <c r="K176" s="963">
        <v>0</v>
      </c>
      <c r="L176" s="963">
        <f>9125000+2225000-640000-2837772+548762</f>
        <v>8420990</v>
      </c>
      <c r="M176" s="2215">
        <f>+E176+I176+J176+K176+L176+N176+O176</f>
        <v>9900223</v>
      </c>
      <c r="N176" s="963">
        <f>2500000-1000000+2837772-748762-177617-963611-968549</f>
        <v>1479233</v>
      </c>
      <c r="O176" s="963">
        <f>963611-424445-539085-81</f>
        <v>0</v>
      </c>
      <c r="P176" s="72">
        <v>0</v>
      </c>
      <c r="Q176" s="72"/>
      <c r="R176" s="72"/>
      <c r="S176" s="72"/>
      <c r="T176" s="72"/>
      <c r="U176" s="72"/>
      <c r="V176" s="72"/>
      <c r="W176" s="72"/>
      <c r="X176" s="3711"/>
      <c r="Y176" s="3672"/>
    </row>
    <row r="177" spans="1:26" ht="27.75" customHeight="1">
      <c r="A177" s="3600" t="s">
        <v>81</v>
      </c>
      <c r="B177" s="707" t="s">
        <v>467</v>
      </c>
      <c r="C177" s="73" t="s">
        <v>95</v>
      </c>
      <c r="D177" s="2069"/>
      <c r="E177" s="121"/>
      <c r="F177" s="122"/>
      <c r="G177" s="121"/>
      <c r="H177" s="121"/>
      <c r="I177" s="121"/>
      <c r="J177" s="121"/>
      <c r="K177" s="121"/>
      <c r="L177" s="121"/>
      <c r="M177" s="121"/>
      <c r="N177" s="121"/>
      <c r="O177" s="121"/>
      <c r="P177" s="123"/>
      <c r="Q177" s="123"/>
      <c r="R177" s="123"/>
      <c r="S177" s="123"/>
      <c r="T177" s="123"/>
      <c r="U177" s="123"/>
      <c r="V177" s="123"/>
      <c r="W177" s="123"/>
      <c r="X177" s="53"/>
      <c r="Y177" s="115"/>
      <c r="Z177" s="864"/>
    </row>
    <row r="178" spans="1:26" ht="12" customHeight="1">
      <c r="A178" s="3601"/>
      <c r="B178" s="101" t="s">
        <v>21</v>
      </c>
      <c r="C178" s="26"/>
      <c r="D178" s="652">
        <f>+D179+D182</f>
        <v>28879881</v>
      </c>
      <c r="E178" s="652">
        <f t="shared" ref="E178:P178" si="107">+E179+E182</f>
        <v>81977</v>
      </c>
      <c r="F178" s="652">
        <f t="shared" si="107"/>
        <v>0</v>
      </c>
      <c r="G178" s="652">
        <f t="shared" si="107"/>
        <v>0</v>
      </c>
      <c r="H178" s="652">
        <f t="shared" si="107"/>
        <v>0</v>
      </c>
      <c r="I178" s="652">
        <f t="shared" si="107"/>
        <v>521360</v>
      </c>
      <c r="J178" s="652">
        <f t="shared" si="107"/>
        <v>92783</v>
      </c>
      <c r="K178" s="652">
        <f t="shared" si="107"/>
        <v>861723</v>
      </c>
      <c r="L178" s="652">
        <f t="shared" si="107"/>
        <v>7019176</v>
      </c>
      <c r="M178" s="652">
        <f>+M179+M182</f>
        <v>28809880</v>
      </c>
      <c r="N178" s="652">
        <f t="shared" si="107"/>
        <v>20217946</v>
      </c>
      <c r="O178" s="634">
        <f t="shared" si="107"/>
        <v>14915</v>
      </c>
      <c r="P178" s="652">
        <f t="shared" si="107"/>
        <v>25078</v>
      </c>
      <c r="Q178" s="652">
        <f>+Q179+Q182</f>
        <v>44923</v>
      </c>
      <c r="R178" s="652"/>
      <c r="S178" s="652"/>
      <c r="T178" s="652"/>
      <c r="U178" s="652"/>
      <c r="V178" s="652"/>
      <c r="W178" s="652"/>
      <c r="X178" s="630">
        <f>+X179+X182</f>
        <v>44923</v>
      </c>
      <c r="Y178" s="3598" t="s">
        <v>101</v>
      </c>
    </row>
    <row r="179" spans="1:26" ht="13.5" customHeight="1">
      <c r="A179" s="3601"/>
      <c r="B179" s="294" t="s">
        <v>35</v>
      </c>
      <c r="C179" s="3627" t="s">
        <v>98</v>
      </c>
      <c r="D179" s="653">
        <f>+D180+D181</f>
        <v>4785577</v>
      </c>
      <c r="E179" s="653">
        <f t="shared" ref="E179:P179" si="108">+E180+E181</f>
        <v>0</v>
      </c>
      <c r="F179" s="653">
        <f t="shared" si="108"/>
        <v>0</v>
      </c>
      <c r="G179" s="653">
        <f t="shared" si="108"/>
        <v>0</v>
      </c>
      <c r="H179" s="653">
        <f t="shared" si="108"/>
        <v>0</v>
      </c>
      <c r="I179" s="653">
        <f t="shared" si="108"/>
        <v>154560</v>
      </c>
      <c r="J179" s="653">
        <f t="shared" si="108"/>
        <v>66783</v>
      </c>
      <c r="K179" s="653">
        <f t="shared" si="108"/>
        <v>18985</v>
      </c>
      <c r="L179" s="653">
        <f t="shared" si="108"/>
        <v>772976</v>
      </c>
      <c r="M179" s="653">
        <f>+M180+M181</f>
        <v>4715576</v>
      </c>
      <c r="N179" s="653">
        <f t="shared" si="108"/>
        <v>3687357</v>
      </c>
      <c r="O179" s="653">
        <f t="shared" si="108"/>
        <v>14915</v>
      </c>
      <c r="P179" s="653">
        <f t="shared" si="108"/>
        <v>25078</v>
      </c>
      <c r="Q179" s="653">
        <f>+Q180+Q181</f>
        <v>44923</v>
      </c>
      <c r="R179" s="653"/>
      <c r="S179" s="653"/>
      <c r="T179" s="653"/>
      <c r="U179" s="653"/>
      <c r="V179" s="653"/>
      <c r="W179" s="653"/>
      <c r="X179" s="654">
        <f>+X180+X181</f>
        <v>44923</v>
      </c>
      <c r="Y179" s="3598"/>
      <c r="Z179" s="864"/>
    </row>
    <row r="180" spans="1:26" ht="11.25" customHeight="1">
      <c r="A180" s="3601"/>
      <c r="B180" s="811" t="s">
        <v>23</v>
      </c>
      <c r="C180" s="3625"/>
      <c r="D180" s="325">
        <f t="shared" ref="D180:D181" si="109">M180+P180+Q180+R180+S180+T180+U180+V180+W180</f>
        <v>3785577</v>
      </c>
      <c r="E180" s="633">
        <f>79518+2459-81977</f>
        <v>0</v>
      </c>
      <c r="F180" s="655">
        <v>0</v>
      </c>
      <c r="G180" s="635">
        <v>0</v>
      </c>
      <c r="H180" s="635">
        <v>0</v>
      </c>
      <c r="I180" s="635">
        <v>154560</v>
      </c>
      <c r="J180" s="635">
        <v>66783</v>
      </c>
      <c r="K180" s="635">
        <v>18985</v>
      </c>
      <c r="L180" s="635">
        <f>2700000-2217033+514066-34101-189956</f>
        <v>772976</v>
      </c>
      <c r="M180" s="387">
        <f t="shared" ref="M180:M181" si="110">+E180+I180+J180+K180+L180+N180+O180</f>
        <v>3715576</v>
      </c>
      <c r="N180" s="635">
        <f>600000+2935934+34101-504029-361236-33703+16290</f>
        <v>2687357</v>
      </c>
      <c r="O180" s="635">
        <f>175000+30300-120384-70001</f>
        <v>14915</v>
      </c>
      <c r="P180" s="656">
        <f>70001-44217-706</f>
        <v>25078</v>
      </c>
      <c r="Q180" s="656">
        <f>44217+706</f>
        <v>44923</v>
      </c>
      <c r="R180" s="655"/>
      <c r="S180" s="655"/>
      <c r="T180" s="655"/>
      <c r="U180" s="655"/>
      <c r="V180" s="655"/>
      <c r="W180" s="655"/>
      <c r="X180" s="44">
        <f>SUM(Q180:W180)</f>
        <v>44923</v>
      </c>
      <c r="Y180" s="3598"/>
      <c r="Z180" s="864"/>
    </row>
    <row r="181" spans="1:26" ht="11.25" customHeight="1">
      <c r="A181" s="3601"/>
      <c r="B181" s="811" t="s">
        <v>26</v>
      </c>
      <c r="C181" s="3625"/>
      <c r="D181" s="325">
        <f t="shared" si="109"/>
        <v>1000000</v>
      </c>
      <c r="E181" s="655"/>
      <c r="F181" s="655"/>
      <c r="G181" s="656"/>
      <c r="H181" s="656"/>
      <c r="I181" s="656"/>
      <c r="J181" s="656"/>
      <c r="K181" s="656"/>
      <c r="L181" s="656"/>
      <c r="M181" s="387">
        <f t="shared" si="110"/>
        <v>1000000</v>
      </c>
      <c r="N181" s="656">
        <v>1000000</v>
      </c>
      <c r="O181" s="633"/>
      <c r="P181" s="655"/>
      <c r="Q181" s="655"/>
      <c r="R181" s="655"/>
      <c r="S181" s="655"/>
      <c r="T181" s="655"/>
      <c r="U181" s="655"/>
      <c r="V181" s="655"/>
      <c r="W181" s="655"/>
      <c r="X181" s="44">
        <f>SUM(Q181:W181)</f>
        <v>0</v>
      </c>
      <c r="Y181" s="3598"/>
      <c r="Z181" s="864"/>
    </row>
    <row r="182" spans="1:26" ht="11.25" customHeight="1">
      <c r="A182" s="3601"/>
      <c r="B182" s="2052" t="s">
        <v>29</v>
      </c>
      <c r="C182" s="3625"/>
      <c r="D182" s="658">
        <f>+D183</f>
        <v>24094304</v>
      </c>
      <c r="E182" s="658">
        <f t="shared" ref="E182:P182" si="111">+E183</f>
        <v>81977</v>
      </c>
      <c r="F182" s="658">
        <f t="shared" si="111"/>
        <v>0</v>
      </c>
      <c r="G182" s="658">
        <f t="shared" si="111"/>
        <v>0</v>
      </c>
      <c r="H182" s="658">
        <f t="shared" si="111"/>
        <v>0</v>
      </c>
      <c r="I182" s="658">
        <f t="shared" si="111"/>
        <v>366800</v>
      </c>
      <c r="J182" s="658">
        <f t="shared" si="111"/>
        <v>26000</v>
      </c>
      <c r="K182" s="658">
        <f t="shared" si="111"/>
        <v>842738</v>
      </c>
      <c r="L182" s="658">
        <f t="shared" si="111"/>
        <v>6246200</v>
      </c>
      <c r="M182" s="658">
        <f t="shared" si="111"/>
        <v>24094304</v>
      </c>
      <c r="N182" s="658">
        <f t="shared" si="111"/>
        <v>16530589</v>
      </c>
      <c r="O182" s="631">
        <f t="shared" si="111"/>
        <v>0</v>
      </c>
      <c r="P182" s="658">
        <f t="shared" si="111"/>
        <v>0</v>
      </c>
      <c r="Q182" s="658"/>
      <c r="R182" s="658"/>
      <c r="S182" s="658"/>
      <c r="T182" s="658"/>
      <c r="U182" s="658"/>
      <c r="V182" s="658"/>
      <c r="W182" s="658"/>
      <c r="X182" s="654">
        <f>+X183</f>
        <v>0</v>
      </c>
      <c r="Y182" s="3598"/>
    </row>
    <row r="183" spans="1:26" ht="11.25" customHeight="1">
      <c r="A183" s="3601"/>
      <c r="B183" s="2070" t="s">
        <v>32</v>
      </c>
      <c r="C183" s="3628"/>
      <c r="D183" s="325">
        <f>M183+P183+Q183+R183+S183+T183+U183+V183+W183</f>
        <v>24094304</v>
      </c>
      <c r="E183" s="659">
        <v>81977</v>
      </c>
      <c r="F183" s="660">
        <v>0</v>
      </c>
      <c r="G183" s="661">
        <v>0</v>
      </c>
      <c r="H183" s="661">
        <v>0</v>
      </c>
      <c r="I183" s="661">
        <v>366800</v>
      </c>
      <c r="J183" s="661">
        <v>26000</v>
      </c>
      <c r="K183" s="661">
        <v>842738</v>
      </c>
      <c r="L183" s="659">
        <f>5217033-514066+1353277+189956</f>
        <v>6246200</v>
      </c>
      <c r="M183" s="387">
        <f>+E183+I183+J183+K183+L183+N183+O183</f>
        <v>24094304</v>
      </c>
      <c r="N183" s="659">
        <f>24725124-6435934-1353277-170971-210286-7777-16290</f>
        <v>16530589</v>
      </c>
      <c r="O183" s="659">
        <v>0</v>
      </c>
      <c r="P183" s="660">
        <v>0</v>
      </c>
      <c r="Q183" s="660"/>
      <c r="R183" s="660"/>
      <c r="S183" s="660"/>
      <c r="T183" s="660"/>
      <c r="U183" s="660"/>
      <c r="V183" s="660"/>
      <c r="W183" s="660"/>
      <c r="X183" s="44">
        <f>SUM(Q183:W183)</f>
        <v>0</v>
      </c>
      <c r="Y183" s="3599"/>
    </row>
    <row r="184" spans="1:26" ht="11.25" customHeight="1">
      <c r="A184" s="3637"/>
      <c r="B184" s="101" t="s">
        <v>33</v>
      </c>
      <c r="C184" s="26"/>
      <c r="D184" s="704">
        <f>+D187+D185</f>
        <v>25094304</v>
      </c>
      <c r="E184" s="704">
        <f t="shared" ref="E184:P184" si="112">+E187+E185</f>
        <v>0</v>
      </c>
      <c r="F184" s="704">
        <f t="shared" si="112"/>
        <v>0</v>
      </c>
      <c r="G184" s="704">
        <f t="shared" si="112"/>
        <v>0</v>
      </c>
      <c r="H184" s="704">
        <f t="shared" si="112"/>
        <v>0</v>
      </c>
      <c r="I184" s="704">
        <f t="shared" si="112"/>
        <v>0</v>
      </c>
      <c r="J184" s="704">
        <f t="shared" si="112"/>
        <v>0</v>
      </c>
      <c r="K184" s="704">
        <f t="shared" si="112"/>
        <v>0</v>
      </c>
      <c r="L184" s="704">
        <f t="shared" si="112"/>
        <v>0</v>
      </c>
      <c r="M184" s="704">
        <f>+M187+M185</f>
        <v>25094304</v>
      </c>
      <c r="N184" s="704">
        <f t="shared" si="112"/>
        <v>25094304</v>
      </c>
      <c r="O184" s="704">
        <f t="shared" si="112"/>
        <v>0</v>
      </c>
      <c r="P184" s="704">
        <f t="shared" si="112"/>
        <v>0</v>
      </c>
      <c r="Q184" s="704"/>
      <c r="R184" s="704"/>
      <c r="S184" s="704"/>
      <c r="T184" s="704"/>
      <c r="U184" s="704"/>
      <c r="V184" s="704"/>
      <c r="W184" s="704"/>
      <c r="X184" s="3720" t="s">
        <v>34</v>
      </c>
      <c r="Y184" s="3646" t="s">
        <v>118</v>
      </c>
    </row>
    <row r="185" spans="1:26" ht="13.5" customHeight="1">
      <c r="A185" s="3637"/>
      <c r="B185" s="2071" t="s">
        <v>35</v>
      </c>
      <c r="C185" s="3627" t="s">
        <v>99</v>
      </c>
      <c r="D185" s="65">
        <f>+D186</f>
        <v>1000000</v>
      </c>
      <c r="E185" s="65">
        <f t="shared" ref="E185:P185" si="113">+E186</f>
        <v>0</v>
      </c>
      <c r="F185" s="65">
        <f t="shared" si="113"/>
        <v>0</v>
      </c>
      <c r="G185" s="65">
        <f t="shared" si="113"/>
        <v>0</v>
      </c>
      <c r="H185" s="65">
        <f t="shared" si="113"/>
        <v>0</v>
      </c>
      <c r="I185" s="65">
        <f t="shared" si="113"/>
        <v>0</v>
      </c>
      <c r="J185" s="65">
        <f t="shared" si="113"/>
        <v>0</v>
      </c>
      <c r="K185" s="65">
        <f t="shared" si="113"/>
        <v>0</v>
      </c>
      <c r="L185" s="65">
        <f t="shared" si="113"/>
        <v>0</v>
      </c>
      <c r="M185" s="65">
        <f t="shared" si="113"/>
        <v>1000000</v>
      </c>
      <c r="N185" s="65">
        <f t="shared" si="113"/>
        <v>1000000</v>
      </c>
      <c r="O185" s="65">
        <f t="shared" si="113"/>
        <v>0</v>
      </c>
      <c r="P185" s="65">
        <f t="shared" si="113"/>
        <v>0</v>
      </c>
      <c r="Q185" s="65"/>
      <c r="R185" s="65"/>
      <c r="S185" s="65"/>
      <c r="T185" s="65"/>
      <c r="U185" s="65"/>
      <c r="V185" s="65"/>
      <c r="W185" s="65"/>
      <c r="X185" s="3721"/>
      <c r="Y185" s="3609"/>
    </row>
    <row r="186" spans="1:26" ht="11.25" customHeight="1">
      <c r="A186" s="3637"/>
      <c r="B186" s="118" t="s">
        <v>26</v>
      </c>
      <c r="C186" s="3612"/>
      <c r="D186" s="325">
        <f>M186+P186+Q186+R186+S186+T186+U186+V186+W186</f>
        <v>1000000</v>
      </c>
      <c r="E186" s="632">
        <f>+F186+G186+H186</f>
        <v>0</v>
      </c>
      <c r="F186" s="632">
        <v>0</v>
      </c>
      <c r="G186" s="632">
        <v>0</v>
      </c>
      <c r="H186" s="632">
        <v>0</v>
      </c>
      <c r="I186" s="632">
        <v>0</v>
      </c>
      <c r="J186" s="632">
        <v>0</v>
      </c>
      <c r="K186" s="632">
        <v>0</v>
      </c>
      <c r="L186" s="632">
        <v>0</v>
      </c>
      <c r="M186" s="387">
        <f>+E186+I186+J186+K186+L186+N186+O186</f>
        <v>1000000</v>
      </c>
      <c r="N186" s="632">
        <v>1000000</v>
      </c>
      <c r="O186" s="632">
        <v>0</v>
      </c>
      <c r="P186" s="632">
        <v>0</v>
      </c>
      <c r="Q186" s="632"/>
      <c r="R186" s="632"/>
      <c r="S186" s="632"/>
      <c r="T186" s="632"/>
      <c r="U186" s="632"/>
      <c r="V186" s="632"/>
      <c r="W186" s="632"/>
      <c r="X186" s="3721"/>
      <c r="Y186" s="3609"/>
    </row>
    <row r="187" spans="1:26" s="353" customFormat="1">
      <c r="A187" s="3637"/>
      <c r="B187" s="2052" t="s">
        <v>29</v>
      </c>
      <c r="C187" s="3612"/>
      <c r="D187" s="934">
        <f>+D188</f>
        <v>24094304</v>
      </c>
      <c r="E187" s="934">
        <f t="shared" ref="E187:P187" si="114">+E188</f>
        <v>0</v>
      </c>
      <c r="F187" s="934">
        <f t="shared" si="114"/>
        <v>0</v>
      </c>
      <c r="G187" s="934">
        <f t="shared" si="114"/>
        <v>0</v>
      </c>
      <c r="H187" s="934">
        <f t="shared" si="114"/>
        <v>0</v>
      </c>
      <c r="I187" s="934">
        <f t="shared" si="114"/>
        <v>0</v>
      </c>
      <c r="J187" s="934">
        <f t="shared" si="114"/>
        <v>0</v>
      </c>
      <c r="K187" s="934">
        <f t="shared" si="114"/>
        <v>0</v>
      </c>
      <c r="L187" s="934">
        <f t="shared" si="114"/>
        <v>0</v>
      </c>
      <c r="M187" s="934">
        <f t="shared" si="114"/>
        <v>24094304</v>
      </c>
      <c r="N187" s="934">
        <f t="shared" si="114"/>
        <v>24094304</v>
      </c>
      <c r="O187" s="2191">
        <f t="shared" si="114"/>
        <v>0</v>
      </c>
      <c r="P187" s="934">
        <f t="shared" si="114"/>
        <v>0</v>
      </c>
      <c r="Q187" s="934"/>
      <c r="R187" s="934"/>
      <c r="S187" s="934"/>
      <c r="T187" s="934"/>
      <c r="U187" s="934"/>
      <c r="V187" s="934"/>
      <c r="W187" s="934"/>
      <c r="X187" s="3721"/>
      <c r="Y187" s="3609"/>
    </row>
    <row r="188" spans="1:26" ht="13.5" thickBot="1">
      <c r="A188" s="3638"/>
      <c r="B188" s="93" t="s">
        <v>32</v>
      </c>
      <c r="C188" s="3613"/>
      <c r="D188" s="325">
        <f>M188+P188+Q188+R188+S188+T188+U188+V188+W188</f>
        <v>24094304</v>
      </c>
      <c r="E188" s="89">
        <f>+F188+G188+H188</f>
        <v>0</v>
      </c>
      <c r="F188" s="114">
        <v>0</v>
      </c>
      <c r="G188" s="114">
        <v>0</v>
      </c>
      <c r="H188" s="114">
        <v>0</v>
      </c>
      <c r="I188" s="114">
        <v>0</v>
      </c>
      <c r="J188" s="114">
        <v>0</v>
      </c>
      <c r="K188" s="114">
        <v>0</v>
      </c>
      <c r="L188" s="114">
        <f>4000000-500000-3500000</f>
        <v>0</v>
      </c>
      <c r="M188" s="387">
        <f>+E188+I188+J188+K188+L188+N188+O188</f>
        <v>24094304</v>
      </c>
      <c r="N188" s="114">
        <f>25000000-5950000+3500000+1623178-54807-7777-16290</f>
        <v>24094304</v>
      </c>
      <c r="O188" s="114">
        <f>2500000-500000-1844521-155479</f>
        <v>0</v>
      </c>
      <c r="P188" s="381">
        <v>0</v>
      </c>
      <c r="Q188" s="381"/>
      <c r="R188" s="381"/>
      <c r="S188" s="381"/>
      <c r="T188" s="381"/>
      <c r="U188" s="381"/>
      <c r="V188" s="381"/>
      <c r="W188" s="381"/>
      <c r="X188" s="3722"/>
      <c r="Y188" s="3610"/>
    </row>
    <row r="189" spans="1:26" ht="26.25" customHeight="1">
      <c r="A189" s="3600" t="s">
        <v>133</v>
      </c>
      <c r="B189" s="707" t="s">
        <v>468</v>
      </c>
      <c r="C189" s="73" t="s">
        <v>95</v>
      </c>
      <c r="D189" s="2069"/>
      <c r="E189" s="122"/>
      <c r="F189" s="122"/>
      <c r="G189" s="121"/>
      <c r="H189" s="121"/>
      <c r="I189" s="121"/>
      <c r="J189" s="121"/>
      <c r="K189" s="121"/>
      <c r="L189" s="121"/>
      <c r="M189" s="123"/>
      <c r="N189" s="123"/>
      <c r="O189" s="123"/>
      <c r="P189" s="123"/>
      <c r="Q189" s="123"/>
      <c r="R189" s="123"/>
      <c r="S189" s="123"/>
      <c r="T189" s="123"/>
      <c r="U189" s="123"/>
      <c r="V189" s="123"/>
      <c r="W189" s="123"/>
      <c r="X189" s="421"/>
      <c r="Y189" s="115"/>
    </row>
    <row r="190" spans="1:26" ht="13.5" customHeight="1">
      <c r="A190" s="3601"/>
      <c r="B190" s="101" t="s">
        <v>21</v>
      </c>
      <c r="C190" s="26"/>
      <c r="D190" s="904">
        <f>+D191+D193</f>
        <v>44204727</v>
      </c>
      <c r="E190" s="904">
        <f t="shared" ref="E190:P190" si="115">+E191+E193</f>
        <v>45985</v>
      </c>
      <c r="F190" s="904">
        <f t="shared" si="115"/>
        <v>0</v>
      </c>
      <c r="G190" s="904">
        <f t="shared" si="115"/>
        <v>0</v>
      </c>
      <c r="H190" s="904">
        <f t="shared" si="115"/>
        <v>0</v>
      </c>
      <c r="I190" s="904">
        <f t="shared" si="115"/>
        <v>81340</v>
      </c>
      <c r="J190" s="904">
        <f t="shared" si="115"/>
        <v>498045</v>
      </c>
      <c r="K190" s="904">
        <f t="shared" si="115"/>
        <v>0</v>
      </c>
      <c r="L190" s="904">
        <f t="shared" si="115"/>
        <v>14965</v>
      </c>
      <c r="M190" s="904">
        <f>+M191+M193</f>
        <v>44154727</v>
      </c>
      <c r="N190" s="904">
        <f t="shared" si="115"/>
        <v>5571486</v>
      </c>
      <c r="O190" s="904">
        <f t="shared" si="115"/>
        <v>37942906</v>
      </c>
      <c r="P190" s="904">
        <f t="shared" si="115"/>
        <v>32577</v>
      </c>
      <c r="Q190" s="904">
        <f>+Q191+Q193</f>
        <v>17423</v>
      </c>
      <c r="R190" s="904"/>
      <c r="S190" s="904"/>
      <c r="T190" s="904"/>
      <c r="U190" s="904"/>
      <c r="V190" s="904"/>
      <c r="W190" s="904"/>
      <c r="X190" s="905">
        <f>+X191+X193</f>
        <v>17423</v>
      </c>
      <c r="Y190" s="3598" t="s">
        <v>101</v>
      </c>
      <c r="Z190" s="864">
        <f>+O190+P190</f>
        <v>37975483</v>
      </c>
    </row>
    <row r="191" spans="1:26" ht="13.5" customHeight="1">
      <c r="A191" s="3601"/>
      <c r="B191" s="294" t="s">
        <v>35</v>
      </c>
      <c r="C191" s="3718" t="s">
        <v>98</v>
      </c>
      <c r="D191" s="906">
        <f>+D192</f>
        <v>2490369</v>
      </c>
      <c r="E191" s="906">
        <f t="shared" ref="E191:Q191" si="116">+E192</f>
        <v>45985</v>
      </c>
      <c r="F191" s="906">
        <f t="shared" si="116"/>
        <v>0</v>
      </c>
      <c r="G191" s="906">
        <f t="shared" si="116"/>
        <v>0</v>
      </c>
      <c r="H191" s="906">
        <f t="shared" si="116"/>
        <v>0</v>
      </c>
      <c r="I191" s="906">
        <f t="shared" si="116"/>
        <v>0</v>
      </c>
      <c r="J191" s="906">
        <f t="shared" si="116"/>
        <v>10005</v>
      </c>
      <c r="K191" s="906">
        <f t="shared" si="116"/>
        <v>0</v>
      </c>
      <c r="L191" s="906">
        <f t="shared" si="116"/>
        <v>0</v>
      </c>
      <c r="M191" s="906">
        <f t="shared" si="116"/>
        <v>2440369</v>
      </c>
      <c r="N191" s="906">
        <f t="shared" si="116"/>
        <v>55472</v>
      </c>
      <c r="O191" s="906">
        <f t="shared" si="116"/>
        <v>2328907</v>
      </c>
      <c r="P191" s="906">
        <f t="shared" si="116"/>
        <v>32577</v>
      </c>
      <c r="Q191" s="906">
        <f t="shared" si="116"/>
        <v>17423</v>
      </c>
      <c r="R191" s="906"/>
      <c r="S191" s="906"/>
      <c r="T191" s="906"/>
      <c r="U191" s="906"/>
      <c r="V191" s="906"/>
      <c r="W191" s="906"/>
      <c r="X191" s="907">
        <f>+X192</f>
        <v>17423</v>
      </c>
      <c r="Y191" s="3598"/>
      <c r="Z191" s="864"/>
    </row>
    <row r="192" spans="1:26" ht="13.5" customHeight="1">
      <c r="A192" s="3601"/>
      <c r="B192" s="811" t="s">
        <v>23</v>
      </c>
      <c r="C192" s="3625"/>
      <c r="D192" s="325">
        <f>M192+P192+Q192+R192+S192+T192+U192+V192+W192</f>
        <v>2490369</v>
      </c>
      <c r="E192" s="908">
        <v>45985</v>
      </c>
      <c r="F192" s="908">
        <v>0</v>
      </c>
      <c r="G192" s="909"/>
      <c r="H192" s="909">
        <v>0</v>
      </c>
      <c r="I192" s="909">
        <v>0</v>
      </c>
      <c r="J192" s="909">
        <v>10005</v>
      </c>
      <c r="K192" s="909"/>
      <c r="L192" s="909">
        <v>0</v>
      </c>
      <c r="M192" s="387">
        <f>+E192+I192+J192+K192+L192+N192+O192</f>
        <v>2440369</v>
      </c>
      <c r="N192" s="908">
        <f>7161720-7134721+16419+12054</f>
        <v>55472</v>
      </c>
      <c r="O192" s="908">
        <f>22109790+1683456+807937-19380934-1550147-964153-100000-277042</f>
        <v>2328907</v>
      </c>
      <c r="P192" s="909">
        <f>40000+10000-17423</f>
        <v>32577</v>
      </c>
      <c r="Q192" s="908">
        <v>17423</v>
      </c>
      <c r="R192" s="908"/>
      <c r="S192" s="910"/>
      <c r="T192" s="910"/>
      <c r="U192" s="910"/>
      <c r="V192" s="910"/>
      <c r="W192" s="910"/>
      <c r="X192" s="44">
        <f>SUM(Q192:W192)</f>
        <v>17423</v>
      </c>
      <c r="Y192" s="3598"/>
    </row>
    <row r="193" spans="1:26" ht="13.5" customHeight="1">
      <c r="A193" s="3601"/>
      <c r="B193" s="2052" t="s">
        <v>29</v>
      </c>
      <c r="C193" s="3625"/>
      <c r="D193" s="911">
        <f>+D194</f>
        <v>41714358</v>
      </c>
      <c r="E193" s="911">
        <f t="shared" ref="E193:P193" si="117">+E194</f>
        <v>0</v>
      </c>
      <c r="F193" s="911">
        <f t="shared" si="117"/>
        <v>0</v>
      </c>
      <c r="G193" s="911">
        <f t="shared" si="117"/>
        <v>0</v>
      </c>
      <c r="H193" s="911">
        <f t="shared" si="117"/>
        <v>0</v>
      </c>
      <c r="I193" s="911">
        <f t="shared" si="117"/>
        <v>81340</v>
      </c>
      <c r="J193" s="911">
        <f t="shared" si="117"/>
        <v>488040</v>
      </c>
      <c r="K193" s="911">
        <f t="shared" si="117"/>
        <v>0</v>
      </c>
      <c r="L193" s="911">
        <f t="shared" si="117"/>
        <v>14965</v>
      </c>
      <c r="M193" s="911">
        <f t="shared" si="117"/>
        <v>41714358</v>
      </c>
      <c r="N193" s="911">
        <f t="shared" si="117"/>
        <v>5516014</v>
      </c>
      <c r="O193" s="911">
        <f t="shared" si="117"/>
        <v>35613999</v>
      </c>
      <c r="P193" s="911">
        <f t="shared" si="117"/>
        <v>0</v>
      </c>
      <c r="Q193" s="911"/>
      <c r="R193" s="911"/>
      <c r="S193" s="911"/>
      <c r="T193" s="911"/>
      <c r="U193" s="911"/>
      <c r="V193" s="911"/>
      <c r="W193" s="911"/>
      <c r="X193" s="907">
        <f>+X194</f>
        <v>0</v>
      </c>
      <c r="Y193" s="3598"/>
    </row>
    <row r="194" spans="1:26" ht="13.5" customHeight="1">
      <c r="A194" s="3601"/>
      <c r="B194" s="2072" t="s">
        <v>32</v>
      </c>
      <c r="C194" s="3625"/>
      <c r="D194" s="325">
        <f>M194+P194+Q194+R194+S194+T194+U194+V194+W194</f>
        <v>41714358</v>
      </c>
      <c r="E194" s="908"/>
      <c r="F194" s="910">
        <v>0</v>
      </c>
      <c r="G194" s="912"/>
      <c r="H194" s="909">
        <v>0</v>
      </c>
      <c r="I194" s="909">
        <v>81340</v>
      </c>
      <c r="J194" s="909">
        <v>488040</v>
      </c>
      <c r="K194" s="909"/>
      <c r="L194" s="908">
        <v>14965</v>
      </c>
      <c r="M194" s="387">
        <f>+E194+I194+J194+K194+L194+N194+O194</f>
        <v>41714358</v>
      </c>
      <c r="N194" s="908">
        <f>2000000-453540+3998027-16419-12054</f>
        <v>5516014</v>
      </c>
      <c r="O194" s="908">
        <f>10900000+453540+22517628+2459854-22346-666969-27708</f>
        <v>35613999</v>
      </c>
      <c r="P194" s="908">
        <v>0</v>
      </c>
      <c r="Q194" s="908"/>
      <c r="R194" s="908"/>
      <c r="S194" s="910"/>
      <c r="T194" s="910"/>
      <c r="U194" s="910"/>
      <c r="V194" s="910"/>
      <c r="W194" s="910"/>
      <c r="X194" s="44">
        <f>SUM(Q194:W194)</f>
        <v>0</v>
      </c>
      <c r="Y194" s="3599"/>
    </row>
    <row r="195" spans="1:26" ht="12.75" customHeight="1">
      <c r="A195" s="3637"/>
      <c r="B195" s="25" t="s">
        <v>33</v>
      </c>
      <c r="C195" s="26"/>
      <c r="D195" s="1920">
        <f>+D196</f>
        <v>41714358</v>
      </c>
      <c r="E195" s="1920">
        <f t="shared" ref="E195:P196" si="118">+E196</f>
        <v>0</v>
      </c>
      <c r="F195" s="1920">
        <f t="shared" si="118"/>
        <v>0</v>
      </c>
      <c r="G195" s="1920">
        <f t="shared" si="118"/>
        <v>0</v>
      </c>
      <c r="H195" s="1920">
        <f t="shared" si="118"/>
        <v>0</v>
      </c>
      <c r="I195" s="1920">
        <f t="shared" si="118"/>
        <v>0</v>
      </c>
      <c r="J195" s="1920">
        <f t="shared" si="118"/>
        <v>0</v>
      </c>
      <c r="K195" s="1920">
        <f t="shared" si="118"/>
        <v>0</v>
      </c>
      <c r="L195" s="1920">
        <f t="shared" si="118"/>
        <v>0</v>
      </c>
      <c r="M195" s="1920">
        <f t="shared" si="118"/>
        <v>41667796</v>
      </c>
      <c r="N195" s="1920">
        <f t="shared" si="118"/>
        <v>0</v>
      </c>
      <c r="O195" s="1920">
        <f t="shared" si="118"/>
        <v>41667796</v>
      </c>
      <c r="P195" s="1920">
        <f t="shared" si="118"/>
        <v>46562</v>
      </c>
      <c r="Q195" s="1920"/>
      <c r="R195" s="1920"/>
      <c r="S195" s="1920"/>
      <c r="T195" s="1920"/>
      <c r="U195" s="1920"/>
      <c r="V195" s="1920"/>
      <c r="W195" s="1920"/>
      <c r="X195" s="3779" t="s">
        <v>34</v>
      </c>
      <c r="Y195" s="3719" t="s">
        <v>118</v>
      </c>
      <c r="Z195" s="864"/>
    </row>
    <row r="196" spans="1:26" s="353" customFormat="1" ht="12.75" customHeight="1">
      <c r="A196" s="3637"/>
      <c r="B196" s="885" t="s">
        <v>29</v>
      </c>
      <c r="C196" s="3718" t="s">
        <v>99</v>
      </c>
      <c r="D196" s="2073">
        <f>+D197</f>
        <v>41714358</v>
      </c>
      <c r="E196" s="2074">
        <f t="shared" si="118"/>
        <v>0</v>
      </c>
      <c r="F196" s="2074">
        <f t="shared" si="118"/>
        <v>0</v>
      </c>
      <c r="G196" s="2074">
        <f t="shared" si="118"/>
        <v>0</v>
      </c>
      <c r="H196" s="2074">
        <f t="shared" si="118"/>
        <v>0</v>
      </c>
      <c r="I196" s="2074">
        <f t="shared" si="118"/>
        <v>0</v>
      </c>
      <c r="J196" s="2074">
        <f t="shared" si="118"/>
        <v>0</v>
      </c>
      <c r="K196" s="2074">
        <f t="shared" si="118"/>
        <v>0</v>
      </c>
      <c r="L196" s="2074">
        <f t="shared" si="118"/>
        <v>0</v>
      </c>
      <c r="M196" s="2074">
        <f t="shared" si="118"/>
        <v>41667796</v>
      </c>
      <c r="N196" s="2074">
        <f t="shared" si="118"/>
        <v>0</v>
      </c>
      <c r="O196" s="2073">
        <f t="shared" si="118"/>
        <v>41667796</v>
      </c>
      <c r="P196" s="2073">
        <f t="shared" si="118"/>
        <v>46562</v>
      </c>
      <c r="Q196" s="2073"/>
      <c r="R196" s="2074"/>
      <c r="S196" s="2074"/>
      <c r="T196" s="2074"/>
      <c r="U196" s="2074"/>
      <c r="V196" s="2074"/>
      <c r="W196" s="2074"/>
      <c r="X196" s="3606"/>
      <c r="Y196" s="3609"/>
    </row>
    <row r="197" spans="1:26" s="353" customFormat="1" ht="12.75" customHeight="1" thickBot="1">
      <c r="A197" s="3638"/>
      <c r="B197" s="68" t="s">
        <v>32</v>
      </c>
      <c r="C197" s="3626"/>
      <c r="D197" s="325">
        <f>M197+P197+Q197+R197+S197+T197+U197+V197+W197</f>
        <v>41714358</v>
      </c>
      <c r="E197" s="936">
        <f>+F197+G197+H197</f>
        <v>0</v>
      </c>
      <c r="F197" s="937">
        <v>0</v>
      </c>
      <c r="G197" s="936">
        <v>0</v>
      </c>
      <c r="H197" s="936">
        <v>0</v>
      </c>
      <c r="I197" s="936">
        <v>0</v>
      </c>
      <c r="J197" s="936">
        <v>0</v>
      </c>
      <c r="K197" s="936">
        <v>0</v>
      </c>
      <c r="L197" s="936">
        <v>0</v>
      </c>
      <c r="M197" s="387">
        <f>+E197+I197+J197+K197+L197+N197+O197</f>
        <v>41667796</v>
      </c>
      <c r="N197" s="936">
        <v>0</v>
      </c>
      <c r="O197" s="938">
        <f>40000000+1750000-73279-8925</f>
        <v>41667796</v>
      </c>
      <c r="P197" s="2075">
        <f>2459854-1788765-593690-30837</f>
        <v>46562</v>
      </c>
      <c r="Q197" s="2075"/>
      <c r="R197" s="940"/>
      <c r="S197" s="940"/>
      <c r="T197" s="940"/>
      <c r="U197" s="940"/>
      <c r="V197" s="940"/>
      <c r="W197" s="940"/>
      <c r="X197" s="3607"/>
      <c r="Y197" s="3610"/>
    </row>
    <row r="198" spans="1:26" ht="26.25" hidden="1" customHeight="1">
      <c r="A198" s="3600" t="s">
        <v>104</v>
      </c>
      <c r="B198" s="380">
        <v>0</v>
      </c>
      <c r="C198" s="73" t="s">
        <v>95</v>
      </c>
      <c r="D198" s="2069"/>
      <c r="E198" s="122"/>
      <c r="F198" s="122"/>
      <c r="G198" s="121"/>
      <c r="H198" s="121"/>
      <c r="I198" s="121"/>
      <c r="J198" s="121"/>
      <c r="K198" s="121"/>
      <c r="L198" s="121"/>
      <c r="M198" s="123"/>
      <c r="N198" s="123"/>
      <c r="O198" s="123"/>
      <c r="P198" s="123"/>
      <c r="Q198" s="123"/>
      <c r="R198" s="123"/>
      <c r="S198" s="123"/>
      <c r="T198" s="123"/>
      <c r="U198" s="123"/>
      <c r="V198" s="123"/>
      <c r="W198" s="123"/>
      <c r="X198" s="53"/>
      <c r="Y198" s="115"/>
    </row>
    <row r="199" spans="1:26" ht="13.5" hidden="1" customHeight="1">
      <c r="A199" s="3601"/>
      <c r="B199" s="25" t="s">
        <v>21</v>
      </c>
      <c r="C199" s="26"/>
      <c r="D199" s="837">
        <f>+D200+D202</f>
        <v>0</v>
      </c>
      <c r="E199" s="837">
        <f t="shared" ref="E199:P199" si="119">+E200+E202</f>
        <v>0</v>
      </c>
      <c r="F199" s="837">
        <f t="shared" si="119"/>
        <v>0</v>
      </c>
      <c r="G199" s="837">
        <f t="shared" si="119"/>
        <v>0</v>
      </c>
      <c r="H199" s="837">
        <f t="shared" si="119"/>
        <v>0</v>
      </c>
      <c r="I199" s="837">
        <f t="shared" si="119"/>
        <v>0</v>
      </c>
      <c r="J199" s="837">
        <f t="shared" si="119"/>
        <v>0</v>
      </c>
      <c r="K199" s="837">
        <f t="shared" si="119"/>
        <v>0</v>
      </c>
      <c r="L199" s="837">
        <f t="shared" si="119"/>
        <v>0</v>
      </c>
      <c r="M199" s="837">
        <f>+M200+M202</f>
        <v>0</v>
      </c>
      <c r="N199" s="837">
        <f t="shared" si="119"/>
        <v>0</v>
      </c>
      <c r="O199" s="837">
        <f t="shared" si="119"/>
        <v>0</v>
      </c>
      <c r="P199" s="837">
        <f t="shared" si="119"/>
        <v>0</v>
      </c>
      <c r="Q199" s="837"/>
      <c r="R199" s="837"/>
      <c r="S199" s="837"/>
      <c r="T199" s="837"/>
      <c r="U199" s="837"/>
      <c r="V199" s="837"/>
      <c r="W199" s="837"/>
      <c r="X199" s="838">
        <f>+X200+X202</f>
        <v>0</v>
      </c>
      <c r="Y199" s="3598" t="s">
        <v>101</v>
      </c>
      <c r="Z199" s="864"/>
    </row>
    <row r="200" spans="1:26" ht="13.5" hidden="1" customHeight="1">
      <c r="A200" s="3601"/>
      <c r="B200" s="217" t="s">
        <v>35</v>
      </c>
      <c r="C200" s="3627" t="s">
        <v>98</v>
      </c>
      <c r="D200" s="846">
        <f>+D201</f>
        <v>0</v>
      </c>
      <c r="E200" s="846">
        <f t="shared" ref="E200:P200" si="120">+E201</f>
        <v>0</v>
      </c>
      <c r="F200" s="846">
        <f t="shared" si="120"/>
        <v>0</v>
      </c>
      <c r="G200" s="846">
        <f t="shared" si="120"/>
        <v>0</v>
      </c>
      <c r="H200" s="846">
        <f t="shared" si="120"/>
        <v>0</v>
      </c>
      <c r="I200" s="846">
        <f t="shared" si="120"/>
        <v>0</v>
      </c>
      <c r="J200" s="846">
        <f t="shared" si="120"/>
        <v>0</v>
      </c>
      <c r="K200" s="846">
        <f t="shared" si="120"/>
        <v>0</v>
      </c>
      <c r="L200" s="846">
        <f t="shared" si="120"/>
        <v>0</v>
      </c>
      <c r="M200" s="846">
        <f t="shared" si="120"/>
        <v>0</v>
      </c>
      <c r="N200" s="846">
        <f t="shared" si="120"/>
        <v>0</v>
      </c>
      <c r="O200" s="846">
        <f t="shared" si="120"/>
        <v>0</v>
      </c>
      <c r="P200" s="846">
        <f t="shared" si="120"/>
        <v>0</v>
      </c>
      <c r="Q200" s="846"/>
      <c r="R200" s="846"/>
      <c r="S200" s="846"/>
      <c r="T200" s="846"/>
      <c r="U200" s="846"/>
      <c r="V200" s="846"/>
      <c r="W200" s="846"/>
      <c r="X200" s="840">
        <f>+X201</f>
        <v>0</v>
      </c>
      <c r="Y200" s="3598"/>
      <c r="Z200" s="864"/>
    </row>
    <row r="201" spans="1:26" ht="13.5" hidden="1" customHeight="1" thickBot="1">
      <c r="A201" s="3602"/>
      <c r="B201" s="524" t="s">
        <v>23</v>
      </c>
      <c r="C201" s="3613"/>
      <c r="D201" s="2076">
        <f>M201+O201+P201+Q201+R201+S201+T201+U201+V201+W201</f>
        <v>0</v>
      </c>
      <c r="E201" s="89">
        <f>+F201+G201+H201</f>
        <v>0</v>
      </c>
      <c r="F201" s="90">
        <v>0</v>
      </c>
      <c r="G201" s="89">
        <v>0</v>
      </c>
      <c r="H201" s="89">
        <v>0</v>
      </c>
      <c r="I201" s="95">
        <v>0</v>
      </c>
      <c r="J201" s="95">
        <v>0</v>
      </c>
      <c r="K201" s="95">
        <v>0</v>
      </c>
      <c r="L201" s="95">
        <f>4000000-4000000</f>
        <v>0</v>
      </c>
      <c r="M201" s="2077">
        <f>+E201+I201+J201+K201+L201+N201</f>
        <v>0</v>
      </c>
      <c r="N201" s="95">
        <f>4000000-1000000-3000000</f>
        <v>0</v>
      </c>
      <c r="O201" s="95">
        <f>3000000-3000000</f>
        <v>0</v>
      </c>
      <c r="P201" s="310">
        <v>0</v>
      </c>
      <c r="Q201" s="90"/>
      <c r="R201" s="90"/>
      <c r="S201" s="90"/>
      <c r="T201" s="90"/>
      <c r="U201" s="90"/>
      <c r="V201" s="90"/>
      <c r="W201" s="90"/>
      <c r="X201" s="266">
        <f>SUM(P201:T201)</f>
        <v>0</v>
      </c>
      <c r="Y201" s="3672"/>
    </row>
    <row r="202" spans="1:26" ht="13.5" hidden="1" customHeight="1" thickBot="1">
      <c r="A202" s="863"/>
      <c r="B202" s="2078" t="s">
        <v>29</v>
      </c>
      <c r="C202" s="3202"/>
      <c r="D202" s="877">
        <f>+D203</f>
        <v>0</v>
      </c>
      <c r="E202" s="877">
        <f t="shared" ref="E202:P202" si="121">+E203</f>
        <v>0</v>
      </c>
      <c r="F202" s="877">
        <f t="shared" si="121"/>
        <v>0</v>
      </c>
      <c r="G202" s="877">
        <f t="shared" si="121"/>
        <v>0</v>
      </c>
      <c r="H202" s="877">
        <f t="shared" si="121"/>
        <v>0</v>
      </c>
      <c r="I202" s="877">
        <f t="shared" si="121"/>
        <v>0</v>
      </c>
      <c r="J202" s="877">
        <f t="shared" si="121"/>
        <v>0</v>
      </c>
      <c r="K202" s="877">
        <f t="shared" si="121"/>
        <v>0</v>
      </c>
      <c r="L202" s="877">
        <f t="shared" si="121"/>
        <v>0</v>
      </c>
      <c r="M202" s="877">
        <f t="shared" si="121"/>
        <v>0</v>
      </c>
      <c r="N202" s="877">
        <f t="shared" si="121"/>
        <v>0</v>
      </c>
      <c r="O202" s="877">
        <f t="shared" si="121"/>
        <v>0</v>
      </c>
      <c r="P202" s="877">
        <f t="shared" si="121"/>
        <v>0</v>
      </c>
      <c r="Q202" s="877"/>
      <c r="R202" s="877"/>
      <c r="S202" s="877"/>
      <c r="T202" s="877"/>
      <c r="U202" s="877"/>
      <c r="V202" s="877"/>
      <c r="W202" s="877"/>
      <c r="X202" s="878">
        <f>+X203</f>
        <v>0</v>
      </c>
      <c r="Y202" s="876"/>
    </row>
    <row r="203" spans="1:26" ht="13.5" hidden="1" customHeight="1" thickBot="1">
      <c r="A203" s="863"/>
      <c r="B203" s="2079" t="s">
        <v>32</v>
      </c>
      <c r="C203" s="3202"/>
      <c r="D203" s="2080">
        <f>M203+O203+P203+Q203+R203+S203+T203+U203+V203+W203</f>
        <v>0</v>
      </c>
      <c r="E203" s="70">
        <f>+F203+G203+H203</f>
        <v>0</v>
      </c>
      <c r="F203" s="71">
        <v>0</v>
      </c>
      <c r="G203" s="71">
        <v>0</v>
      </c>
      <c r="H203" s="70">
        <v>0</v>
      </c>
      <c r="I203" s="874"/>
      <c r="J203" s="874"/>
      <c r="K203" s="874"/>
      <c r="L203" s="70">
        <v>0</v>
      </c>
      <c r="M203" s="2080">
        <f>+E203+I203+J203+K203+L203+N203</f>
        <v>0</v>
      </c>
      <c r="N203" s="70">
        <v>0</v>
      </c>
      <c r="O203" s="70">
        <v>0</v>
      </c>
      <c r="P203" s="71">
        <v>0</v>
      </c>
      <c r="Q203" s="71"/>
      <c r="R203" s="71"/>
      <c r="S203" s="71"/>
      <c r="T203" s="71"/>
      <c r="U203" s="71"/>
      <c r="V203" s="71"/>
      <c r="W203" s="71"/>
      <c r="X203" s="875">
        <f>SUM(P203:T203)</f>
        <v>0</v>
      </c>
      <c r="Y203" s="873"/>
    </row>
    <row r="204" spans="1:26" ht="12.75" hidden="1" customHeight="1">
      <c r="A204" s="862"/>
      <c r="B204" s="103" t="s">
        <v>33</v>
      </c>
      <c r="C204" s="116"/>
      <c r="D204" s="134">
        <f>+D205</f>
        <v>0</v>
      </c>
      <c r="E204" s="134">
        <f t="shared" ref="E204:P205" si="122">+E205</f>
        <v>0</v>
      </c>
      <c r="F204" s="134">
        <f t="shared" si="122"/>
        <v>0</v>
      </c>
      <c r="G204" s="134">
        <f t="shared" si="122"/>
        <v>0</v>
      </c>
      <c r="H204" s="134">
        <f t="shared" si="122"/>
        <v>0</v>
      </c>
      <c r="I204" s="134">
        <f t="shared" si="122"/>
        <v>0</v>
      </c>
      <c r="J204" s="134">
        <f t="shared" si="122"/>
        <v>0</v>
      </c>
      <c r="K204" s="134">
        <f t="shared" si="122"/>
        <v>0</v>
      </c>
      <c r="L204" s="134">
        <f t="shared" si="122"/>
        <v>0</v>
      </c>
      <c r="M204" s="134">
        <f t="shared" si="122"/>
        <v>0</v>
      </c>
      <c r="N204" s="134">
        <f t="shared" si="122"/>
        <v>0</v>
      </c>
      <c r="O204" s="134">
        <f t="shared" si="122"/>
        <v>0</v>
      </c>
      <c r="P204" s="134">
        <f t="shared" si="122"/>
        <v>0</v>
      </c>
      <c r="Q204" s="134"/>
      <c r="R204" s="134"/>
      <c r="S204" s="134"/>
      <c r="T204" s="134"/>
      <c r="U204" s="134"/>
      <c r="V204" s="134"/>
      <c r="W204" s="134"/>
      <c r="X204" s="3606" t="s">
        <v>34</v>
      </c>
      <c r="Y204" s="3609" t="s">
        <v>118</v>
      </c>
    </row>
    <row r="205" spans="1:26" s="353" customFormat="1" ht="12.75" hidden="1" customHeight="1">
      <c r="A205" s="862"/>
      <c r="B205" s="885" t="s">
        <v>29</v>
      </c>
      <c r="C205" s="3627" t="s">
        <v>99</v>
      </c>
      <c r="D205" s="2067">
        <f>+D206</f>
        <v>0</v>
      </c>
      <c r="E205" s="2067">
        <f t="shared" si="122"/>
        <v>0</v>
      </c>
      <c r="F205" s="2067">
        <f t="shared" si="122"/>
        <v>0</v>
      </c>
      <c r="G205" s="2067">
        <f t="shared" si="122"/>
        <v>0</v>
      </c>
      <c r="H205" s="2067">
        <f t="shared" si="122"/>
        <v>0</v>
      </c>
      <c r="I205" s="2067">
        <f t="shared" si="122"/>
        <v>0</v>
      </c>
      <c r="J205" s="2067">
        <f t="shared" si="122"/>
        <v>0</v>
      </c>
      <c r="K205" s="2067">
        <f t="shared" si="122"/>
        <v>0</v>
      </c>
      <c r="L205" s="2067">
        <f t="shared" si="122"/>
        <v>0</v>
      </c>
      <c r="M205" s="2067">
        <f t="shared" si="122"/>
        <v>0</v>
      </c>
      <c r="N205" s="2067">
        <f t="shared" si="122"/>
        <v>0</v>
      </c>
      <c r="O205" s="2067">
        <f t="shared" si="122"/>
        <v>0</v>
      </c>
      <c r="P205" s="2067">
        <f t="shared" si="122"/>
        <v>0</v>
      </c>
      <c r="Q205" s="2067"/>
      <c r="R205" s="2067"/>
      <c r="S205" s="2067"/>
      <c r="T205" s="2067"/>
      <c r="U205" s="2067"/>
      <c r="V205" s="2067"/>
      <c r="W205" s="2067"/>
      <c r="X205" s="3606"/>
      <c r="Y205" s="3609"/>
    </row>
    <row r="206" spans="1:26" s="353" customFormat="1" ht="12.75" hidden="1" customHeight="1" thickBot="1">
      <c r="A206" s="3197"/>
      <c r="B206" s="68" t="s">
        <v>32</v>
      </c>
      <c r="C206" s="3626"/>
      <c r="D206" s="2077">
        <f>M206+O206+P206+Q206+R206+S206+T206+U206+V206+W206</f>
        <v>0</v>
      </c>
      <c r="E206" s="2081">
        <f>+F206+G206+H206</f>
        <v>0</v>
      </c>
      <c r="F206" s="937">
        <v>0</v>
      </c>
      <c r="G206" s="936">
        <v>0</v>
      </c>
      <c r="H206" s="936">
        <v>0</v>
      </c>
      <c r="I206" s="936">
        <v>0</v>
      </c>
      <c r="J206" s="936">
        <v>0</v>
      </c>
      <c r="K206" s="936"/>
      <c r="L206" s="936">
        <v>0</v>
      </c>
      <c r="M206" s="2077">
        <f>+E206+I206+J206+K206+L206+N206</f>
        <v>0</v>
      </c>
      <c r="N206" s="936">
        <v>0</v>
      </c>
      <c r="O206" s="936">
        <v>0</v>
      </c>
      <c r="P206" s="940">
        <v>0</v>
      </c>
      <c r="Q206" s="940"/>
      <c r="R206" s="940"/>
      <c r="S206" s="940"/>
      <c r="T206" s="940"/>
      <c r="U206" s="940"/>
      <c r="V206" s="940"/>
      <c r="W206" s="940"/>
      <c r="X206" s="3607"/>
      <c r="Y206" s="3610"/>
    </row>
    <row r="207" spans="1:26" hidden="1">
      <c r="A207" s="3600"/>
      <c r="B207" s="91"/>
      <c r="C207" s="73" t="s">
        <v>95</v>
      </c>
      <c r="D207" s="135"/>
      <c r="E207" s="136"/>
      <c r="F207" s="136"/>
      <c r="G207" s="136"/>
      <c r="H207" s="136"/>
      <c r="I207" s="136"/>
      <c r="J207" s="136"/>
      <c r="K207" s="136"/>
      <c r="L207" s="136"/>
      <c r="M207" s="137"/>
      <c r="N207" s="137"/>
      <c r="O207" s="136"/>
      <c r="P207" s="136"/>
      <c r="Q207" s="136"/>
      <c r="R207" s="136"/>
      <c r="S207" s="316"/>
      <c r="T207" s="316"/>
      <c r="U207" s="316"/>
      <c r="V207" s="316"/>
      <c r="W207" s="316"/>
      <c r="X207" s="53"/>
      <c r="Y207" s="3617"/>
    </row>
    <row r="208" spans="1:26" ht="13.5" hidden="1" customHeight="1">
      <c r="A208" s="3601"/>
      <c r="B208" s="101" t="s">
        <v>21</v>
      </c>
      <c r="C208" s="26"/>
      <c r="D208" s="138">
        <f>+D209</f>
        <v>0</v>
      </c>
      <c r="E208" s="138">
        <v>0</v>
      </c>
      <c r="F208" s="138"/>
      <c r="G208" s="138"/>
      <c r="H208" s="138"/>
      <c r="I208" s="138">
        <v>0</v>
      </c>
      <c r="J208" s="138">
        <v>0</v>
      </c>
      <c r="K208" s="138">
        <v>0</v>
      </c>
      <c r="L208" s="138">
        <f t="shared" ref="L208:P209" si="123">+L209</f>
        <v>0</v>
      </c>
      <c r="M208" s="138">
        <f t="shared" si="123"/>
        <v>0</v>
      </c>
      <c r="N208" s="138">
        <f t="shared" si="123"/>
        <v>0</v>
      </c>
      <c r="O208" s="138">
        <f t="shared" si="123"/>
        <v>0</v>
      </c>
      <c r="P208" s="138">
        <f t="shared" si="123"/>
        <v>0</v>
      </c>
      <c r="Q208" s="138">
        <v>0</v>
      </c>
      <c r="R208" s="138"/>
      <c r="S208" s="138"/>
      <c r="T208" s="138"/>
      <c r="U208" s="138"/>
      <c r="V208" s="138"/>
      <c r="W208" s="138"/>
      <c r="X208" s="40">
        <f>+X209</f>
        <v>0</v>
      </c>
      <c r="Y208" s="3618"/>
      <c r="Z208" s="864">
        <f>+O208+P208</f>
        <v>0</v>
      </c>
    </row>
    <row r="209" spans="1:26" ht="13.5" hidden="1" customHeight="1">
      <c r="A209" s="3601"/>
      <c r="B209" s="294" t="s">
        <v>113</v>
      </c>
      <c r="C209" s="3624"/>
      <c r="D209" s="140">
        <f>+D210</f>
        <v>0</v>
      </c>
      <c r="E209" s="139">
        <v>0</v>
      </c>
      <c r="F209" s="139"/>
      <c r="G209" s="139"/>
      <c r="H209" s="139"/>
      <c r="I209" s="139">
        <v>0</v>
      </c>
      <c r="J209" s="140">
        <v>0</v>
      </c>
      <c r="K209" s="141">
        <v>0</v>
      </c>
      <c r="L209" s="140">
        <f t="shared" si="123"/>
        <v>0</v>
      </c>
      <c r="M209" s="140">
        <f t="shared" si="123"/>
        <v>0</v>
      </c>
      <c r="N209" s="140">
        <f t="shared" si="123"/>
        <v>0</v>
      </c>
      <c r="O209" s="140">
        <f t="shared" si="123"/>
        <v>0</v>
      </c>
      <c r="P209" s="140">
        <f t="shared" si="123"/>
        <v>0</v>
      </c>
      <c r="Q209" s="142">
        <v>0</v>
      </c>
      <c r="R209" s="142"/>
      <c r="S209" s="142"/>
      <c r="T209" s="142"/>
      <c r="U209" s="142"/>
      <c r="V209" s="142"/>
      <c r="W209" s="142"/>
      <c r="X209" s="143">
        <f>+X210</f>
        <v>0</v>
      </c>
      <c r="Y209" s="3618"/>
    </row>
    <row r="210" spans="1:26" ht="13.5" hidden="1" customHeight="1">
      <c r="A210" s="3601"/>
      <c r="B210" s="2050" t="s">
        <v>32</v>
      </c>
      <c r="C210" s="3612"/>
      <c r="D210" s="2082">
        <f>M210+O210+P210+Q210+R210+S210+T210+U210+V210+W210</f>
        <v>0</v>
      </c>
      <c r="E210" s="144"/>
      <c r="F210" s="145"/>
      <c r="G210" s="144"/>
      <c r="H210" s="144"/>
      <c r="I210" s="144"/>
      <c r="J210" s="146"/>
      <c r="K210" s="147"/>
      <c r="L210" s="148"/>
      <c r="M210" s="2083"/>
      <c r="N210" s="148"/>
      <c r="O210" s="148"/>
      <c r="P210" s="148">
        <f>56000000-24565000-31435000</f>
        <v>0</v>
      </c>
      <c r="Q210" s="149">
        <v>0</v>
      </c>
      <c r="R210" s="149"/>
      <c r="S210" s="149"/>
      <c r="T210" s="149"/>
      <c r="U210" s="149"/>
      <c r="V210" s="149"/>
      <c r="W210" s="149"/>
      <c r="X210" s="44">
        <f>SUM(P210:T210)</f>
        <v>0</v>
      </c>
      <c r="Y210" s="3618"/>
    </row>
    <row r="211" spans="1:26" ht="13.5" hidden="1" customHeight="1">
      <c r="A211" s="3601"/>
      <c r="B211" s="101" t="s">
        <v>33</v>
      </c>
      <c r="C211" s="26"/>
      <c r="D211" s="258">
        <f>+D212</f>
        <v>0</v>
      </c>
      <c r="E211" s="258">
        <v>0</v>
      </c>
      <c r="F211" s="258"/>
      <c r="G211" s="258"/>
      <c r="H211" s="258"/>
      <c r="I211" s="258">
        <v>0</v>
      </c>
      <c r="J211" s="258">
        <v>0</v>
      </c>
      <c r="K211" s="258">
        <v>0</v>
      </c>
      <c r="L211" s="258">
        <f t="shared" ref="L211:P212" si="124">+L212</f>
        <v>0</v>
      </c>
      <c r="M211" s="258">
        <f t="shared" si="124"/>
        <v>0</v>
      </c>
      <c r="N211" s="258">
        <f t="shared" si="124"/>
        <v>0</v>
      </c>
      <c r="O211" s="258">
        <f t="shared" si="124"/>
        <v>0</v>
      </c>
      <c r="P211" s="258">
        <f t="shared" si="124"/>
        <v>0</v>
      </c>
      <c r="Q211" s="258">
        <v>0</v>
      </c>
      <c r="R211" s="258"/>
      <c r="S211" s="258"/>
      <c r="T211" s="258"/>
      <c r="U211" s="258"/>
      <c r="V211" s="258"/>
      <c r="W211" s="258"/>
      <c r="X211" s="3666" t="s">
        <v>34</v>
      </c>
      <c r="Y211" s="3618"/>
    </row>
    <row r="212" spans="1:26" s="353" customFormat="1" ht="14.25" hidden="1" customHeight="1">
      <c r="A212" s="3637"/>
      <c r="B212" s="294" t="s">
        <v>113</v>
      </c>
      <c r="C212" s="3624"/>
      <c r="D212" s="2053">
        <f>+D213</f>
        <v>0</v>
      </c>
      <c r="E212" s="1907">
        <v>0</v>
      </c>
      <c r="F212" s="1907"/>
      <c r="G212" s="1907"/>
      <c r="H212" s="1907"/>
      <c r="I212" s="1907">
        <v>0</v>
      </c>
      <c r="J212" s="2053">
        <v>0</v>
      </c>
      <c r="K212" s="141">
        <v>0</v>
      </c>
      <c r="L212" s="150">
        <f t="shared" si="124"/>
        <v>0</v>
      </c>
      <c r="M212" s="150">
        <f t="shared" si="124"/>
        <v>0</v>
      </c>
      <c r="N212" s="150">
        <f t="shared" si="124"/>
        <v>0</v>
      </c>
      <c r="O212" s="150">
        <f t="shared" si="124"/>
        <v>0</v>
      </c>
      <c r="P212" s="150">
        <f t="shared" si="124"/>
        <v>0</v>
      </c>
      <c r="Q212" s="1907">
        <v>0</v>
      </c>
      <c r="R212" s="1907"/>
      <c r="S212" s="1907"/>
      <c r="T212" s="1907"/>
      <c r="U212" s="1907"/>
      <c r="V212" s="1907"/>
      <c r="W212" s="1907"/>
      <c r="X212" s="3606"/>
      <c r="Y212" s="3618"/>
    </row>
    <row r="213" spans="1:26" s="353" customFormat="1" ht="12.75" hidden="1" customHeight="1" thickBot="1">
      <c r="A213" s="3638"/>
      <c r="B213" s="88" t="s">
        <v>32</v>
      </c>
      <c r="C213" s="3613"/>
      <c r="D213" s="2082">
        <f>M213+O213+P213+Q213+R213+S213+T213+U213+V213+W213</f>
        <v>0</v>
      </c>
      <c r="E213" s="937">
        <v>0</v>
      </c>
      <c r="F213" s="937"/>
      <c r="G213" s="937"/>
      <c r="H213" s="937"/>
      <c r="I213" s="936">
        <v>0</v>
      </c>
      <c r="J213" s="937">
        <v>0</v>
      </c>
      <c r="K213" s="151">
        <v>0</v>
      </c>
      <c r="L213" s="2084"/>
      <c r="M213" s="387"/>
      <c r="N213" s="2084"/>
      <c r="O213" s="2084"/>
      <c r="P213" s="2084">
        <f>70000000-38565000-31435000</f>
        <v>0</v>
      </c>
      <c r="Q213" s="937">
        <v>0</v>
      </c>
      <c r="R213" s="937"/>
      <c r="S213" s="937"/>
      <c r="T213" s="937"/>
      <c r="U213" s="937"/>
      <c r="V213" s="937"/>
      <c r="W213" s="937"/>
      <c r="X213" s="3607"/>
      <c r="Y213" s="3619"/>
    </row>
    <row r="214" spans="1:26" ht="26.25" hidden="1" customHeight="1">
      <c r="A214" s="3600"/>
      <c r="B214" s="382"/>
      <c r="C214" s="73" t="s">
        <v>95</v>
      </c>
      <c r="D214" s="2069"/>
      <c r="E214" s="121"/>
      <c r="F214" s="122"/>
      <c r="G214" s="121"/>
      <c r="H214" s="121"/>
      <c r="I214" s="121"/>
      <c r="J214" s="121"/>
      <c r="K214" s="121"/>
      <c r="L214" s="121"/>
      <c r="M214" s="121"/>
      <c r="N214" s="121"/>
      <c r="O214" s="121"/>
      <c r="P214" s="123"/>
      <c r="Q214" s="123"/>
      <c r="R214" s="123"/>
      <c r="S214" s="123"/>
      <c r="T214" s="123"/>
      <c r="U214" s="123"/>
      <c r="V214" s="123"/>
      <c r="W214" s="123"/>
      <c r="X214" s="53"/>
      <c r="Y214" s="3597" t="s">
        <v>294</v>
      </c>
    </row>
    <row r="215" spans="1:26" ht="13.5" hidden="1" customHeight="1">
      <c r="A215" s="3601"/>
      <c r="B215" s="25" t="s">
        <v>21</v>
      </c>
      <c r="C215" s="26"/>
      <c r="D215" s="78">
        <f t="shared" ref="D215:P215" si="125">+D216+D218</f>
        <v>0</v>
      </c>
      <c r="E215" s="78">
        <f t="shared" si="125"/>
        <v>0</v>
      </c>
      <c r="F215" s="78">
        <f t="shared" si="125"/>
        <v>0</v>
      </c>
      <c r="G215" s="78">
        <f t="shared" si="125"/>
        <v>0</v>
      </c>
      <c r="H215" s="78">
        <f t="shared" si="125"/>
        <v>0</v>
      </c>
      <c r="I215" s="78">
        <f t="shared" si="125"/>
        <v>0</v>
      </c>
      <c r="J215" s="78">
        <f t="shared" si="125"/>
        <v>0</v>
      </c>
      <c r="K215" s="78">
        <f t="shared" si="125"/>
        <v>0</v>
      </c>
      <c r="L215" s="78">
        <f t="shared" si="125"/>
        <v>0</v>
      </c>
      <c r="M215" s="383">
        <f>+M216+M218</f>
        <v>0</v>
      </c>
      <c r="N215" s="383">
        <f t="shared" si="125"/>
        <v>0</v>
      </c>
      <c r="O215" s="78">
        <f t="shared" si="125"/>
        <v>0</v>
      </c>
      <c r="P215" s="78">
        <f t="shared" si="125"/>
        <v>0</v>
      </c>
      <c r="Q215" s="78"/>
      <c r="R215" s="78"/>
      <c r="S215" s="78"/>
      <c r="T215" s="78"/>
      <c r="U215" s="78"/>
      <c r="V215" s="78"/>
      <c r="W215" s="78"/>
      <c r="X215" s="80">
        <f>+X216+X218</f>
        <v>0</v>
      </c>
      <c r="Y215" s="3598"/>
      <c r="Z215" s="864">
        <f>+O215+P215</f>
        <v>0</v>
      </c>
    </row>
    <row r="216" spans="1:26" ht="13.5" hidden="1" customHeight="1">
      <c r="A216" s="3601"/>
      <c r="B216" s="217" t="s">
        <v>35</v>
      </c>
      <c r="C216" s="3624" t="s">
        <v>98</v>
      </c>
      <c r="D216" s="81">
        <f>+D217</f>
        <v>0</v>
      </c>
      <c r="E216" s="81">
        <f t="shared" ref="E216:P216" si="126">+E217</f>
        <v>0</v>
      </c>
      <c r="F216" s="81">
        <f t="shared" si="126"/>
        <v>0</v>
      </c>
      <c r="G216" s="81">
        <f t="shared" si="126"/>
        <v>0</v>
      </c>
      <c r="H216" s="81">
        <f t="shared" si="126"/>
        <v>0</v>
      </c>
      <c r="I216" s="81">
        <f t="shared" si="126"/>
        <v>0</v>
      </c>
      <c r="J216" s="81">
        <f t="shared" si="126"/>
        <v>0</v>
      </c>
      <c r="K216" s="81">
        <f t="shared" si="126"/>
        <v>0</v>
      </c>
      <c r="L216" s="81">
        <f t="shared" si="126"/>
        <v>0</v>
      </c>
      <c r="M216" s="384">
        <f t="shared" si="126"/>
        <v>0</v>
      </c>
      <c r="N216" s="384">
        <f t="shared" si="126"/>
        <v>0</v>
      </c>
      <c r="O216" s="81">
        <f t="shared" si="126"/>
        <v>0</v>
      </c>
      <c r="P216" s="81">
        <f t="shared" si="126"/>
        <v>0</v>
      </c>
      <c r="Q216" s="81"/>
      <c r="R216" s="81"/>
      <c r="S216" s="81"/>
      <c r="T216" s="81"/>
      <c r="U216" s="81"/>
      <c r="V216" s="81"/>
      <c r="W216" s="81"/>
      <c r="X216" s="99">
        <f>+X217</f>
        <v>0</v>
      </c>
      <c r="Y216" s="3598"/>
      <c r="Z216" s="864"/>
    </row>
    <row r="217" spans="1:26" ht="13.5" hidden="1" customHeight="1">
      <c r="A217" s="3601"/>
      <c r="B217" s="727" t="s">
        <v>23</v>
      </c>
      <c r="C217" s="3625"/>
      <c r="D217" s="325">
        <f>M217+O217+P217+Q217+R217+S217+T217+U217+V217+W217</f>
        <v>0</v>
      </c>
      <c r="E217" s="92">
        <f>+F217+G217+H217</f>
        <v>0</v>
      </c>
      <c r="F217" s="110">
        <v>0</v>
      </c>
      <c r="G217" s="92">
        <v>0</v>
      </c>
      <c r="H217" s="92">
        <v>0</v>
      </c>
      <c r="I217" s="92">
        <f>140382-140382</f>
        <v>0</v>
      </c>
      <c r="J217" s="112">
        <v>0</v>
      </c>
      <c r="K217" s="92">
        <v>0</v>
      </c>
      <c r="L217" s="92">
        <v>0</v>
      </c>
      <c r="M217" s="387">
        <f>+E217+I217+J217+K217+L217+N217</f>
        <v>0</v>
      </c>
      <c r="N217" s="385">
        <v>0</v>
      </c>
      <c r="O217" s="110">
        <v>0</v>
      </c>
      <c r="P217" s="110">
        <f>2050000-2050000</f>
        <v>0</v>
      </c>
      <c r="Q217" s="60"/>
      <c r="R217" s="60"/>
      <c r="S217" s="60"/>
      <c r="T217" s="60"/>
      <c r="U217" s="60"/>
      <c r="V217" s="60"/>
      <c r="W217" s="60"/>
      <c r="X217" s="44">
        <f>SUM(P217:T217)</f>
        <v>0</v>
      </c>
      <c r="Y217" s="3598"/>
    </row>
    <row r="218" spans="1:26" ht="13.5" hidden="1" customHeight="1">
      <c r="A218" s="3601"/>
      <c r="B218" s="885" t="s">
        <v>29</v>
      </c>
      <c r="C218" s="3625"/>
      <c r="D218" s="61">
        <f>+D219</f>
        <v>0</v>
      </c>
      <c r="E218" s="61">
        <f t="shared" ref="E218:P218" si="127">+E219</f>
        <v>0</v>
      </c>
      <c r="F218" s="61">
        <f t="shared" si="127"/>
        <v>0</v>
      </c>
      <c r="G218" s="61">
        <f t="shared" si="127"/>
        <v>0</v>
      </c>
      <c r="H218" s="61">
        <f t="shared" si="127"/>
        <v>0</v>
      </c>
      <c r="I218" s="61">
        <f t="shared" si="127"/>
        <v>0</v>
      </c>
      <c r="J218" s="61">
        <f t="shared" si="127"/>
        <v>0</v>
      </c>
      <c r="K218" s="61">
        <f t="shared" si="127"/>
        <v>0</v>
      </c>
      <c r="L218" s="61">
        <f t="shared" si="127"/>
        <v>0</v>
      </c>
      <c r="M218" s="355">
        <f t="shared" si="127"/>
        <v>0</v>
      </c>
      <c r="N218" s="355">
        <f t="shared" si="127"/>
        <v>0</v>
      </c>
      <c r="O218" s="61">
        <f t="shared" si="127"/>
        <v>0</v>
      </c>
      <c r="P218" s="61">
        <f t="shared" si="127"/>
        <v>0</v>
      </c>
      <c r="Q218" s="61"/>
      <c r="R218" s="61"/>
      <c r="S218" s="61"/>
      <c r="T218" s="61"/>
      <c r="U218" s="61"/>
      <c r="V218" s="61"/>
      <c r="W218" s="61"/>
      <c r="X218" s="99">
        <f>+X219</f>
        <v>0</v>
      </c>
      <c r="Y218" s="3598"/>
    </row>
    <row r="219" spans="1:26" ht="13.5" hidden="1" customHeight="1">
      <c r="A219" s="3601"/>
      <c r="B219" s="2085" t="s">
        <v>32</v>
      </c>
      <c r="C219" s="3625"/>
      <c r="D219" s="325">
        <f>M219+O219+P219+Q219+R219+S219+T219+U219+V219+W219</f>
        <v>0</v>
      </c>
      <c r="E219" s="59">
        <f>+F219+G219+H219</f>
        <v>0</v>
      </c>
      <c r="F219" s="60">
        <v>0</v>
      </c>
      <c r="G219" s="60">
        <v>0</v>
      </c>
      <c r="H219" s="59">
        <v>0</v>
      </c>
      <c r="I219" s="59">
        <f>163508-163508</f>
        <v>0</v>
      </c>
      <c r="J219" s="59"/>
      <c r="K219" s="59"/>
      <c r="L219" s="59">
        <v>0</v>
      </c>
      <c r="M219" s="387">
        <f>+E219+I219+J219+K219+L219+N219</f>
        <v>0</v>
      </c>
      <c r="N219" s="304">
        <v>0</v>
      </c>
      <c r="O219" s="59">
        <v>0</v>
      </c>
      <c r="P219" s="60">
        <v>0</v>
      </c>
      <c r="Q219" s="60"/>
      <c r="R219" s="60"/>
      <c r="S219" s="60"/>
      <c r="T219" s="60"/>
      <c r="U219" s="60"/>
      <c r="V219" s="60"/>
      <c r="W219" s="60"/>
      <c r="X219" s="44">
        <f>SUM(P219:T219)</f>
        <v>0</v>
      </c>
      <c r="Y219" s="3598"/>
    </row>
    <row r="220" spans="1:26" ht="12.75" hidden="1" customHeight="1">
      <c r="A220" s="3601"/>
      <c r="B220" s="25" t="s">
        <v>33</v>
      </c>
      <c r="C220" s="26"/>
      <c r="D220" s="258">
        <f>+D221</f>
        <v>0</v>
      </c>
      <c r="E220" s="258">
        <f t="shared" ref="E220:P221" si="128">+E221</f>
        <v>0</v>
      </c>
      <c r="F220" s="258">
        <f t="shared" si="128"/>
        <v>0</v>
      </c>
      <c r="G220" s="258">
        <f t="shared" si="128"/>
        <v>0</v>
      </c>
      <c r="H220" s="258">
        <f t="shared" si="128"/>
        <v>0</v>
      </c>
      <c r="I220" s="258">
        <f t="shared" si="128"/>
        <v>0</v>
      </c>
      <c r="J220" s="258">
        <f t="shared" si="128"/>
        <v>0</v>
      </c>
      <c r="K220" s="258">
        <f t="shared" si="128"/>
        <v>0</v>
      </c>
      <c r="L220" s="258">
        <f t="shared" si="128"/>
        <v>0</v>
      </c>
      <c r="M220" s="2086">
        <f t="shared" si="128"/>
        <v>0</v>
      </c>
      <c r="N220" s="2086">
        <f t="shared" si="128"/>
        <v>0</v>
      </c>
      <c r="O220" s="258">
        <f t="shared" si="128"/>
        <v>0</v>
      </c>
      <c r="P220" s="258">
        <f t="shared" si="128"/>
        <v>0</v>
      </c>
      <c r="Q220" s="258"/>
      <c r="R220" s="258"/>
      <c r="S220" s="258"/>
      <c r="T220" s="258"/>
      <c r="U220" s="258"/>
      <c r="V220" s="258"/>
      <c r="W220" s="258"/>
      <c r="X220" s="3666" t="s">
        <v>34</v>
      </c>
      <c r="Y220" s="3622"/>
    </row>
    <row r="221" spans="1:26" s="353" customFormat="1" ht="12" hidden="1" customHeight="1">
      <c r="A221" s="3601"/>
      <c r="B221" s="885" t="s">
        <v>29</v>
      </c>
      <c r="C221" s="3624" t="s">
        <v>99</v>
      </c>
      <c r="D221" s="1907">
        <f>+D222</f>
        <v>0</v>
      </c>
      <c r="E221" s="1907">
        <f t="shared" si="128"/>
        <v>0</v>
      </c>
      <c r="F221" s="1907">
        <f t="shared" si="128"/>
        <v>0</v>
      </c>
      <c r="G221" s="1907">
        <f t="shared" si="128"/>
        <v>0</v>
      </c>
      <c r="H221" s="1907">
        <f t="shared" si="128"/>
        <v>0</v>
      </c>
      <c r="I221" s="1907">
        <f t="shared" si="128"/>
        <v>0</v>
      </c>
      <c r="J221" s="1907">
        <f t="shared" si="128"/>
        <v>0</v>
      </c>
      <c r="K221" s="1907">
        <f t="shared" si="128"/>
        <v>0</v>
      </c>
      <c r="L221" s="1907">
        <f t="shared" si="128"/>
        <v>0</v>
      </c>
      <c r="M221" s="2087">
        <f t="shared" si="128"/>
        <v>0</v>
      </c>
      <c r="N221" s="2087">
        <f t="shared" si="128"/>
        <v>0</v>
      </c>
      <c r="O221" s="1907">
        <f t="shared" si="128"/>
        <v>0</v>
      </c>
      <c r="P221" s="1907">
        <f t="shared" si="128"/>
        <v>0</v>
      </c>
      <c r="Q221" s="1907"/>
      <c r="R221" s="1907"/>
      <c r="S221" s="1907"/>
      <c r="T221" s="1907"/>
      <c r="U221" s="1907"/>
      <c r="V221" s="1907"/>
      <c r="W221" s="1907"/>
      <c r="X221" s="3606"/>
      <c r="Y221" s="3622"/>
    </row>
    <row r="222" spans="1:26" s="353" customFormat="1" ht="12.75" hidden="1" customHeight="1" thickBot="1">
      <c r="A222" s="3602"/>
      <c r="B222" s="68" t="s">
        <v>32</v>
      </c>
      <c r="C222" s="3613"/>
      <c r="D222" s="2077">
        <f>M222+O222+P222+Q222+R222+S222+T222+U222+V222+W222</f>
        <v>0</v>
      </c>
      <c r="E222" s="936">
        <f>+F222+G222+H222</f>
        <v>0</v>
      </c>
      <c r="F222" s="937">
        <v>0</v>
      </c>
      <c r="G222" s="936">
        <v>0</v>
      </c>
      <c r="H222" s="936">
        <v>0</v>
      </c>
      <c r="I222" s="936">
        <v>0</v>
      </c>
      <c r="J222" s="936">
        <v>0</v>
      </c>
      <c r="K222" s="936"/>
      <c r="L222" s="936">
        <v>0</v>
      </c>
      <c r="M222" s="2077">
        <f>+E222+I222+J222+K222+L222+N222</f>
        <v>0</v>
      </c>
      <c r="N222" s="2088">
        <v>0</v>
      </c>
      <c r="O222" s="936">
        <v>0</v>
      </c>
      <c r="P222" s="940">
        <v>0</v>
      </c>
      <c r="Q222" s="940"/>
      <c r="R222" s="940"/>
      <c r="S222" s="940"/>
      <c r="T222" s="940"/>
      <c r="U222" s="940"/>
      <c r="V222" s="940"/>
      <c r="W222" s="940"/>
      <c r="X222" s="3607"/>
      <c r="Y222" s="3623"/>
    </row>
    <row r="223" spans="1:26" s="353" customFormat="1" ht="16.5" customHeight="1" thickBot="1">
      <c r="A223" s="868"/>
      <c r="B223" s="378" t="s">
        <v>284</v>
      </c>
      <c r="C223" s="869"/>
      <c r="D223" s="2089"/>
      <c r="E223" s="2090"/>
      <c r="F223" s="2090"/>
      <c r="G223" s="2091"/>
      <c r="H223" s="2091"/>
      <c r="I223" s="2091"/>
      <c r="J223" s="2091"/>
      <c r="K223" s="2091"/>
      <c r="L223" s="2091"/>
      <c r="M223" s="870"/>
      <c r="N223" s="2092"/>
      <c r="O223" s="2092"/>
      <c r="P223" s="2092"/>
      <c r="Q223" s="2092"/>
      <c r="R223" s="2092"/>
      <c r="S223" s="2092"/>
      <c r="T223" s="2092"/>
      <c r="U223" s="2092"/>
      <c r="V223" s="2092"/>
      <c r="W223" s="2092"/>
      <c r="X223" s="871"/>
      <c r="Y223" s="872"/>
    </row>
    <row r="224" spans="1:26" s="353" customFormat="1" ht="40.5" customHeight="1">
      <c r="A224" s="3600" t="s">
        <v>102</v>
      </c>
      <c r="B224" s="707" t="s">
        <v>473</v>
      </c>
      <c r="C224" s="73"/>
      <c r="D224" s="74"/>
      <c r="E224" s="75"/>
      <c r="F224" s="75"/>
      <c r="G224" s="76"/>
      <c r="H224" s="76"/>
      <c r="I224" s="50"/>
      <c r="J224" s="50"/>
      <c r="K224" s="50"/>
      <c r="L224" s="50"/>
      <c r="M224" s="52"/>
      <c r="N224" s="52"/>
      <c r="O224" s="52"/>
      <c r="P224" s="52"/>
      <c r="Q224" s="52"/>
      <c r="R224" s="52"/>
      <c r="S224" s="52"/>
      <c r="T224" s="52"/>
      <c r="U224" s="52"/>
      <c r="V224" s="52"/>
      <c r="W224" s="52"/>
      <c r="X224" s="53"/>
      <c r="Y224" s="54"/>
      <c r="Z224" s="301"/>
    </row>
    <row r="225" spans="1:27" s="353" customFormat="1" ht="13.5" customHeight="1">
      <c r="A225" s="3601"/>
      <c r="B225" s="665" t="s">
        <v>21</v>
      </c>
      <c r="C225" s="1271" t="s">
        <v>95</v>
      </c>
      <c r="D225" s="652">
        <f>+D226+D230</f>
        <v>11432912</v>
      </c>
      <c r="E225" s="634">
        <f t="shared" ref="E225:P225" si="129">+E226+E230</f>
        <v>0</v>
      </c>
      <c r="F225" s="634">
        <f t="shared" si="129"/>
        <v>0</v>
      </c>
      <c r="G225" s="634">
        <f t="shared" si="129"/>
        <v>0</v>
      </c>
      <c r="H225" s="634">
        <f t="shared" si="129"/>
        <v>0</v>
      </c>
      <c r="I225" s="634">
        <f t="shared" si="129"/>
        <v>0</v>
      </c>
      <c r="J225" s="634">
        <f>+J226+J230</f>
        <v>0</v>
      </c>
      <c r="K225" s="634">
        <f t="shared" si="129"/>
        <v>0</v>
      </c>
      <c r="L225" s="634">
        <f t="shared" si="129"/>
        <v>49692</v>
      </c>
      <c r="M225" s="634">
        <f>+M226+M230</f>
        <v>1240988</v>
      </c>
      <c r="N225" s="634">
        <f t="shared" si="129"/>
        <v>400367</v>
      </c>
      <c r="O225" s="634">
        <f t="shared" si="129"/>
        <v>790929</v>
      </c>
      <c r="P225" s="634">
        <f t="shared" si="129"/>
        <v>10188924</v>
      </c>
      <c r="Q225" s="634">
        <f t="shared" ref="Q225" si="130">+Q226+Q230</f>
        <v>3000</v>
      </c>
      <c r="R225" s="634"/>
      <c r="S225" s="634"/>
      <c r="T225" s="634"/>
      <c r="U225" s="634"/>
      <c r="V225" s="634"/>
      <c r="W225" s="634"/>
      <c r="X225" s="913">
        <f>X226+X230</f>
        <v>3000</v>
      </c>
      <c r="Y225" s="3598" t="s">
        <v>101</v>
      </c>
    </row>
    <row r="226" spans="1:27" s="353" customFormat="1" ht="14.25" customHeight="1">
      <c r="A226" s="3601"/>
      <c r="B226" s="855" t="s">
        <v>35</v>
      </c>
      <c r="C226" s="3627" t="s">
        <v>98</v>
      </c>
      <c r="D226" s="653">
        <f>+D227+D228+D229</f>
        <v>680534</v>
      </c>
      <c r="E226" s="653">
        <f>+E227+E228</f>
        <v>0</v>
      </c>
      <c r="F226" s="653">
        <f>+F227+F228</f>
        <v>0</v>
      </c>
      <c r="G226" s="653">
        <f>+G227+G228</f>
        <v>0</v>
      </c>
      <c r="H226" s="653">
        <f>+H227+H228</f>
        <v>0</v>
      </c>
      <c r="I226" s="653">
        <f>+I227+I228</f>
        <v>0</v>
      </c>
      <c r="J226" s="653">
        <f t="shared" ref="J226:P226" si="131">+J227+J228+J229</f>
        <v>0</v>
      </c>
      <c r="K226" s="653">
        <f t="shared" si="131"/>
        <v>0</v>
      </c>
      <c r="L226" s="653">
        <f t="shared" si="131"/>
        <v>49692</v>
      </c>
      <c r="M226" s="653">
        <f>+M227+M228+M229</f>
        <v>208610</v>
      </c>
      <c r="N226" s="653">
        <f t="shared" si="131"/>
        <v>144772</v>
      </c>
      <c r="O226" s="653">
        <f t="shared" si="131"/>
        <v>14146</v>
      </c>
      <c r="P226" s="653">
        <f t="shared" si="131"/>
        <v>468924</v>
      </c>
      <c r="Q226" s="653">
        <f t="shared" ref="Q226" si="132">+Q227+Q228+Q229</f>
        <v>3000</v>
      </c>
      <c r="R226" s="653"/>
      <c r="S226" s="653"/>
      <c r="T226" s="653"/>
      <c r="U226" s="653"/>
      <c r="V226" s="653"/>
      <c r="W226" s="653"/>
      <c r="X226" s="662">
        <f>X227</f>
        <v>3000</v>
      </c>
      <c r="Y226" s="3598"/>
    </row>
    <row r="227" spans="1:27" s="353" customFormat="1" ht="12.75" customHeight="1">
      <c r="A227" s="3601"/>
      <c r="B227" s="2093" t="s">
        <v>23</v>
      </c>
      <c r="C227" s="3612"/>
      <c r="D227" s="325">
        <f>M227+P227+Q227+R227+S227+T227+U227+V227+W227</f>
        <v>680534</v>
      </c>
      <c r="E227" s="663">
        <v>0</v>
      </c>
      <c r="F227" s="663"/>
      <c r="G227" s="663"/>
      <c r="H227" s="663"/>
      <c r="I227" s="663"/>
      <c r="J227" s="663"/>
      <c r="K227" s="663"/>
      <c r="L227" s="663">
        <f>95810-46118</f>
        <v>49692</v>
      </c>
      <c r="M227" s="387">
        <f>+E227+I227+J227+K227+L227+N227+O227</f>
        <v>208610</v>
      </c>
      <c r="N227" s="663">
        <v>144772</v>
      </c>
      <c r="O227" s="663">
        <v>14146</v>
      </c>
      <c r="P227" s="663">
        <f>1701863+19769-1077284-144348-31076</f>
        <v>468924</v>
      </c>
      <c r="Q227" s="663">
        <v>3000</v>
      </c>
      <c r="R227" s="663"/>
      <c r="S227" s="663"/>
      <c r="T227" s="663"/>
      <c r="U227" s="663"/>
      <c r="V227" s="663"/>
      <c r="W227" s="663"/>
      <c r="X227" s="44">
        <f>SUM(Q227:W227)</f>
        <v>3000</v>
      </c>
      <c r="Y227" s="3598"/>
    </row>
    <row r="228" spans="1:27" s="353" customFormat="1" ht="14.25" hidden="1" customHeight="1">
      <c r="A228" s="3601"/>
      <c r="B228" s="2094" t="s">
        <v>28</v>
      </c>
      <c r="C228" s="3625"/>
      <c r="D228" s="884">
        <f>SUM(M228:T228)</f>
        <v>0</v>
      </c>
      <c r="E228" s="659">
        <f>+F228+G228+H228</f>
        <v>0</v>
      </c>
      <c r="F228" s="659"/>
      <c r="G228" s="661"/>
      <c r="H228" s="661"/>
      <c r="I228" s="661"/>
      <c r="J228" s="661"/>
      <c r="K228" s="661"/>
      <c r="L228" s="659">
        <v>0</v>
      </c>
      <c r="M228" s="659"/>
      <c r="N228" s="659">
        <v>0</v>
      </c>
      <c r="O228" s="659">
        <v>0</v>
      </c>
      <c r="P228" s="659">
        <v>0</v>
      </c>
      <c r="Q228" s="660"/>
      <c r="R228" s="659"/>
      <c r="S228" s="659"/>
      <c r="T228" s="659"/>
      <c r="U228" s="268"/>
      <c r="V228" s="268"/>
      <c r="W228" s="268"/>
      <c r="X228" s="914"/>
      <c r="Y228" s="3598"/>
    </row>
    <row r="229" spans="1:27" s="353" customFormat="1" ht="14.25" hidden="1" customHeight="1">
      <c r="A229" s="3601"/>
      <c r="B229" s="2094" t="s">
        <v>26</v>
      </c>
      <c r="C229" s="3625"/>
      <c r="D229" s="884">
        <f>SUM(M229:T229)</f>
        <v>0</v>
      </c>
      <c r="E229" s="659">
        <v>0</v>
      </c>
      <c r="F229" s="659"/>
      <c r="G229" s="661"/>
      <c r="H229" s="661"/>
      <c r="I229" s="661">
        <v>0</v>
      </c>
      <c r="J229" s="661"/>
      <c r="K229" s="661"/>
      <c r="L229" s="659">
        <v>0</v>
      </c>
      <c r="M229" s="659"/>
      <c r="N229" s="659">
        <v>0</v>
      </c>
      <c r="O229" s="659">
        <v>0</v>
      </c>
      <c r="P229" s="659">
        <v>0</v>
      </c>
      <c r="Q229" s="660"/>
      <c r="R229" s="659"/>
      <c r="S229" s="659"/>
      <c r="T229" s="659"/>
      <c r="U229" s="268"/>
      <c r="V229" s="268"/>
      <c r="W229" s="268"/>
      <c r="X229" s="914"/>
      <c r="Y229" s="3598"/>
    </row>
    <row r="230" spans="1:27" s="353" customFormat="1" ht="14.25" customHeight="1">
      <c r="A230" s="3601"/>
      <c r="B230" s="664" t="s">
        <v>29</v>
      </c>
      <c r="C230" s="3625"/>
      <c r="D230" s="658">
        <f>+D231</f>
        <v>10752378</v>
      </c>
      <c r="E230" s="658">
        <f t="shared" ref="E230:P230" si="133">+E231</f>
        <v>0</v>
      </c>
      <c r="F230" s="658">
        <f t="shared" si="133"/>
        <v>0</v>
      </c>
      <c r="G230" s="658">
        <f t="shared" si="133"/>
        <v>0</v>
      </c>
      <c r="H230" s="658">
        <f t="shared" si="133"/>
        <v>0</v>
      </c>
      <c r="I230" s="658">
        <f t="shared" si="133"/>
        <v>0</v>
      </c>
      <c r="J230" s="658">
        <f t="shared" si="133"/>
        <v>0</v>
      </c>
      <c r="K230" s="658">
        <f t="shared" si="133"/>
        <v>0</v>
      </c>
      <c r="L230" s="658">
        <f t="shared" si="133"/>
        <v>0</v>
      </c>
      <c r="M230" s="2095">
        <f t="shared" si="133"/>
        <v>1032378</v>
      </c>
      <c r="N230" s="658">
        <f t="shared" si="133"/>
        <v>255595</v>
      </c>
      <c r="O230" s="658">
        <f t="shared" si="133"/>
        <v>776783</v>
      </c>
      <c r="P230" s="658">
        <f t="shared" si="133"/>
        <v>9720000</v>
      </c>
      <c r="Q230" s="658"/>
      <c r="R230" s="658"/>
      <c r="S230" s="658"/>
      <c r="T230" s="631"/>
      <c r="U230" s="658"/>
      <c r="V230" s="658"/>
      <c r="W230" s="658"/>
      <c r="X230" s="662">
        <f>X231</f>
        <v>0</v>
      </c>
      <c r="Y230" s="3598"/>
    </row>
    <row r="231" spans="1:27" s="353" customFormat="1" ht="12.75" customHeight="1">
      <c r="A231" s="3601"/>
      <c r="B231" s="2070" t="s">
        <v>32</v>
      </c>
      <c r="C231" s="3628"/>
      <c r="D231" s="325">
        <f>M231+P231+Q231+R231+S231+T231+U231+V231+W231</f>
        <v>10752378</v>
      </c>
      <c r="E231" s="659">
        <f>+F231+G231+H231</f>
        <v>0</v>
      </c>
      <c r="F231" s="659">
        <v>0</v>
      </c>
      <c r="G231" s="661"/>
      <c r="H231" s="661"/>
      <c r="I231" s="661"/>
      <c r="J231" s="661"/>
      <c r="K231" s="661"/>
      <c r="L231" s="659"/>
      <c r="M231" s="387">
        <f>+E231+I231+J231+K231+L231+N231+O231</f>
        <v>1032378</v>
      </c>
      <c r="N231" s="659">
        <v>255595</v>
      </c>
      <c r="O231" s="659">
        <v>776783</v>
      </c>
      <c r="P231" s="659">
        <f>9643888+189302+102289-215479</f>
        <v>9720000</v>
      </c>
      <c r="Q231" s="660"/>
      <c r="R231" s="659"/>
      <c r="S231" s="659"/>
      <c r="T231" s="659"/>
      <c r="U231" s="660"/>
      <c r="V231" s="660"/>
      <c r="W231" s="660"/>
      <c r="X231" s="44">
        <f>SUM(Q231:W231)</f>
        <v>0</v>
      </c>
      <c r="Y231" s="3599"/>
    </row>
    <row r="232" spans="1:27" s="353" customFormat="1" ht="21.75" customHeight="1">
      <c r="A232" s="3637"/>
      <c r="B232" s="665" t="s">
        <v>33</v>
      </c>
      <c r="C232" s="1270" t="s">
        <v>483</v>
      </c>
      <c r="D232" s="704">
        <f>+D236+D233</f>
        <v>10752378</v>
      </c>
      <c r="E232" s="704">
        <f t="shared" ref="E232:M232" si="134">+E236+E233</f>
        <v>0</v>
      </c>
      <c r="F232" s="704">
        <f t="shared" si="134"/>
        <v>0</v>
      </c>
      <c r="G232" s="704">
        <f t="shared" si="134"/>
        <v>0</v>
      </c>
      <c r="H232" s="704">
        <f t="shared" si="134"/>
        <v>0</v>
      </c>
      <c r="I232" s="704">
        <f t="shared" si="134"/>
        <v>0</v>
      </c>
      <c r="J232" s="704">
        <f t="shared" si="134"/>
        <v>0</v>
      </c>
      <c r="K232" s="704">
        <f t="shared" si="134"/>
        <v>0</v>
      </c>
      <c r="L232" s="704">
        <f t="shared" si="134"/>
        <v>0</v>
      </c>
      <c r="M232" s="932">
        <f t="shared" si="134"/>
        <v>0</v>
      </c>
      <c r="N232" s="932">
        <f>+N236+N233</f>
        <v>0</v>
      </c>
      <c r="O232" s="932">
        <f>+O236+O233</f>
        <v>0</v>
      </c>
      <c r="P232" s="704">
        <f>+P236+P233</f>
        <v>9276664</v>
      </c>
      <c r="Q232" s="704">
        <f>+Q236+Q233</f>
        <v>1475714</v>
      </c>
      <c r="R232" s="704"/>
      <c r="S232" s="704"/>
      <c r="T232" s="704"/>
      <c r="U232" s="704"/>
      <c r="V232" s="704"/>
      <c r="W232" s="704"/>
      <c r="X232" s="3785" t="s">
        <v>34</v>
      </c>
      <c r="Y232" s="3646" t="s">
        <v>118</v>
      </c>
      <c r="Z232" s="2096"/>
      <c r="AA232" s="2096">
        <v>-1217020</v>
      </c>
    </row>
    <row r="233" spans="1:27" s="353" customFormat="1" ht="14.25" hidden="1" customHeight="1">
      <c r="A233" s="3637"/>
      <c r="B233" s="855" t="s">
        <v>35</v>
      </c>
      <c r="C233" s="3627" t="s">
        <v>276</v>
      </c>
      <c r="D233" s="65">
        <f>+D234+D235</f>
        <v>0</v>
      </c>
      <c r="E233" s="65">
        <f t="shared" ref="E233:M233" si="135">+E234+E235</f>
        <v>0</v>
      </c>
      <c r="F233" s="65">
        <f t="shared" si="135"/>
        <v>0</v>
      </c>
      <c r="G233" s="65">
        <f t="shared" si="135"/>
        <v>0</v>
      </c>
      <c r="H233" s="65">
        <f t="shared" si="135"/>
        <v>0</v>
      </c>
      <c r="I233" s="65">
        <f t="shared" si="135"/>
        <v>0</v>
      </c>
      <c r="J233" s="65">
        <f t="shared" si="135"/>
        <v>0</v>
      </c>
      <c r="K233" s="65">
        <f t="shared" si="135"/>
        <v>0</v>
      </c>
      <c r="L233" s="65">
        <f t="shared" si="135"/>
        <v>0</v>
      </c>
      <c r="M233" s="357">
        <f t="shared" si="135"/>
        <v>0</v>
      </c>
      <c r="N233" s="357">
        <f>+N234+N235</f>
        <v>0</v>
      </c>
      <c r="O233" s="357">
        <f>+O234+O235</f>
        <v>0</v>
      </c>
      <c r="P233" s="65">
        <f>+P234+P235</f>
        <v>0</v>
      </c>
      <c r="Q233" s="65">
        <f>+Q234+Q235</f>
        <v>0</v>
      </c>
      <c r="R233" s="65"/>
      <c r="S233" s="65"/>
      <c r="T233" s="65"/>
      <c r="U233" s="65"/>
      <c r="V233" s="65"/>
      <c r="W233" s="65"/>
      <c r="X233" s="3635"/>
      <c r="Y233" s="3609"/>
    </row>
    <row r="234" spans="1:27" s="353" customFormat="1" ht="14.25" hidden="1" customHeight="1">
      <c r="A234" s="3637"/>
      <c r="B234" s="2094" t="s">
        <v>28</v>
      </c>
      <c r="C234" s="3612"/>
      <c r="D234" s="915">
        <f>SUM(M234:T234)</f>
        <v>0</v>
      </c>
      <c r="E234" s="916">
        <f t="shared" ref="E234:I235" si="136">+F234+J234+K234+L234+M234+O234+P234</f>
        <v>0</v>
      </c>
      <c r="F234" s="916">
        <f t="shared" si="136"/>
        <v>0</v>
      </c>
      <c r="G234" s="916">
        <f t="shared" si="136"/>
        <v>0</v>
      </c>
      <c r="H234" s="916">
        <f t="shared" si="136"/>
        <v>0</v>
      </c>
      <c r="I234" s="916">
        <f t="shared" si="136"/>
        <v>0</v>
      </c>
      <c r="J234" s="916"/>
      <c r="K234" s="916"/>
      <c r="L234" s="916">
        <f>+M234+Q234+R234+S234+T234+Y234+Z234</f>
        <v>0</v>
      </c>
      <c r="M234" s="917">
        <f>+N234+R234+S234+T234+Z234+AA234</f>
        <v>0</v>
      </c>
      <c r="N234" s="915">
        <v>0</v>
      </c>
      <c r="O234" s="915">
        <v>0</v>
      </c>
      <c r="P234" s="632">
        <v>0</v>
      </c>
      <c r="Q234" s="632">
        <v>0</v>
      </c>
      <c r="R234" s="632"/>
      <c r="S234" s="632"/>
      <c r="T234" s="632"/>
      <c r="U234" s="632"/>
      <c r="V234" s="632"/>
      <c r="W234" s="632"/>
      <c r="X234" s="3635"/>
      <c r="Y234" s="3609"/>
    </row>
    <row r="235" spans="1:27" s="353" customFormat="1" ht="3" hidden="1" customHeight="1">
      <c r="A235" s="3637"/>
      <c r="B235" s="2094" t="s">
        <v>26</v>
      </c>
      <c r="C235" s="3612"/>
      <c r="D235" s="917">
        <f>SUM(M235:T235)</f>
        <v>0</v>
      </c>
      <c r="E235" s="916">
        <f t="shared" si="136"/>
        <v>0</v>
      </c>
      <c r="F235" s="916">
        <f t="shared" si="136"/>
        <v>0</v>
      </c>
      <c r="G235" s="916">
        <f t="shared" si="136"/>
        <v>0</v>
      </c>
      <c r="H235" s="916">
        <f t="shared" si="136"/>
        <v>0</v>
      </c>
      <c r="I235" s="916">
        <f t="shared" si="136"/>
        <v>0</v>
      </c>
      <c r="J235" s="916"/>
      <c r="K235" s="916">
        <f>+L235+P235+Q235+R235+S235+Y235</f>
        <v>0</v>
      </c>
      <c r="L235" s="916">
        <f>+M235+Q235+R235+S235+T235+Y235+Z235</f>
        <v>0</v>
      </c>
      <c r="M235" s="917">
        <f>+N235+R235+S235+T235+Z235+AA235</f>
        <v>0</v>
      </c>
      <c r="N235" s="917">
        <v>0</v>
      </c>
      <c r="O235" s="917">
        <v>0</v>
      </c>
      <c r="P235" s="916">
        <v>0</v>
      </c>
      <c r="Q235" s="916">
        <v>0</v>
      </c>
      <c r="R235" s="916"/>
      <c r="S235" s="916"/>
      <c r="T235" s="916"/>
      <c r="U235" s="916"/>
      <c r="V235" s="916"/>
      <c r="W235" s="916"/>
      <c r="X235" s="3635"/>
      <c r="Y235" s="3609"/>
    </row>
    <row r="236" spans="1:27" s="353" customFormat="1" ht="14.25" customHeight="1">
      <c r="A236" s="3637"/>
      <c r="B236" s="664" t="s">
        <v>29</v>
      </c>
      <c r="C236" s="3612"/>
      <c r="D236" s="658">
        <f>+D238+D237</f>
        <v>10752378</v>
      </c>
      <c r="E236" s="658">
        <f t="shared" ref="E236:M236" si="137">+E238+E237</f>
        <v>0</v>
      </c>
      <c r="F236" s="658">
        <f t="shared" si="137"/>
        <v>0</v>
      </c>
      <c r="G236" s="658">
        <f t="shared" si="137"/>
        <v>0</v>
      </c>
      <c r="H236" s="658">
        <f t="shared" si="137"/>
        <v>0</v>
      </c>
      <c r="I236" s="658">
        <f t="shared" si="137"/>
        <v>0</v>
      </c>
      <c r="J236" s="658">
        <f t="shared" si="137"/>
        <v>0</v>
      </c>
      <c r="K236" s="658">
        <f t="shared" si="137"/>
        <v>0</v>
      </c>
      <c r="L236" s="658">
        <f t="shared" si="137"/>
        <v>0</v>
      </c>
      <c r="M236" s="918">
        <f t="shared" si="137"/>
        <v>0</v>
      </c>
      <c r="N236" s="918">
        <f>+N238+N237</f>
        <v>0</v>
      </c>
      <c r="O236" s="918">
        <f>+O238+O237</f>
        <v>0</v>
      </c>
      <c r="P236" s="658">
        <f>+P238+P237</f>
        <v>9276664</v>
      </c>
      <c r="Q236" s="658">
        <f>+Q238+Q237</f>
        <v>1475714</v>
      </c>
      <c r="R236" s="916"/>
      <c r="S236" s="916"/>
      <c r="T236" s="916"/>
      <c r="U236" s="916"/>
      <c r="V236" s="916"/>
      <c r="W236" s="916"/>
      <c r="X236" s="3635"/>
      <c r="Y236" s="3609"/>
    </row>
    <row r="237" spans="1:27" s="353" customFormat="1" ht="14.25" hidden="1" customHeight="1">
      <c r="A237" s="3637"/>
      <c r="B237" s="2094" t="s">
        <v>28</v>
      </c>
      <c r="C237" s="3612"/>
      <c r="D237" s="632">
        <f>+E237+I237+J237+K237+L237</f>
        <v>0</v>
      </c>
      <c r="E237" s="659">
        <v>0</v>
      </c>
      <c r="F237" s="659"/>
      <c r="G237" s="661"/>
      <c r="H237" s="661"/>
      <c r="I237" s="661">
        <v>0</v>
      </c>
      <c r="J237" s="661">
        <v>0</v>
      </c>
      <c r="K237" s="661">
        <v>0</v>
      </c>
      <c r="L237" s="659">
        <v>0</v>
      </c>
      <c r="M237" s="919"/>
      <c r="N237" s="919">
        <v>0</v>
      </c>
      <c r="O237" s="919">
        <v>0</v>
      </c>
      <c r="P237" s="659">
        <v>0</v>
      </c>
      <c r="Q237" s="659"/>
      <c r="R237" s="916"/>
      <c r="S237" s="916"/>
      <c r="T237" s="916"/>
      <c r="U237" s="916"/>
      <c r="V237" s="916"/>
      <c r="W237" s="916"/>
      <c r="X237" s="3635"/>
      <c r="Y237" s="3609"/>
    </row>
    <row r="238" spans="1:27" s="354" customFormat="1" ht="14.25" customHeight="1" thickBot="1">
      <c r="A238" s="3638"/>
      <c r="B238" s="920" t="s">
        <v>32</v>
      </c>
      <c r="C238" s="3613"/>
      <c r="D238" s="325">
        <f>M238+P238+Q238+R238+S238+T238+U238+V238+W238</f>
        <v>10752378</v>
      </c>
      <c r="E238" s="359">
        <f>+F238+G238+H238</f>
        <v>0</v>
      </c>
      <c r="F238" s="921"/>
      <c r="G238" s="359"/>
      <c r="H238" s="359"/>
      <c r="I238" s="359">
        <v>0</v>
      </c>
      <c r="J238" s="359"/>
      <c r="K238" s="359"/>
      <c r="L238" s="359"/>
      <c r="M238" s="2097">
        <f>+E238+I238+J238+K238+L238+N238+O238</f>
        <v>0</v>
      </c>
      <c r="N238" s="360">
        <v>0</v>
      </c>
      <c r="O238" s="360">
        <v>0</v>
      </c>
      <c r="P238" s="359">
        <f>10145000+272020-2917020+1700000+76664</f>
        <v>9276664</v>
      </c>
      <c r="Q238" s="359">
        <f>650000+2917020-1915479-175827</f>
        <v>1475714</v>
      </c>
      <c r="R238" s="922"/>
      <c r="S238" s="922"/>
      <c r="T238" s="922"/>
      <c r="U238" s="922"/>
      <c r="V238" s="922"/>
      <c r="W238" s="922"/>
      <c r="X238" s="3636"/>
      <c r="Y238" s="3610"/>
    </row>
    <row r="239" spans="1:27" ht="26.25" hidden="1" customHeight="1">
      <c r="A239" s="3600" t="s">
        <v>103</v>
      </c>
      <c r="B239" s="91"/>
      <c r="C239" s="73"/>
      <c r="D239" s="2069"/>
      <c r="E239" s="121"/>
      <c r="F239" s="122"/>
      <c r="G239" s="121"/>
      <c r="H239" s="121"/>
      <c r="I239" s="121"/>
      <c r="J239" s="121"/>
      <c r="K239" s="121"/>
      <c r="L239" s="121"/>
      <c r="M239" s="121"/>
      <c r="N239" s="121"/>
      <c r="O239" s="121"/>
      <c r="P239" s="123"/>
      <c r="Q239" s="123"/>
      <c r="R239" s="123"/>
      <c r="S239" s="123"/>
      <c r="T239" s="123"/>
      <c r="U239" s="123"/>
      <c r="V239" s="123"/>
      <c r="W239" s="123"/>
      <c r="X239" s="53"/>
      <c r="Y239" s="115"/>
    </row>
    <row r="240" spans="1:27" ht="13.5" hidden="1" customHeight="1">
      <c r="A240" s="3601"/>
      <c r="B240" s="1320" t="s">
        <v>21</v>
      </c>
      <c r="C240" s="2287" t="s">
        <v>95</v>
      </c>
      <c r="D240" s="2283"/>
      <c r="E240" s="2283"/>
      <c r="F240" s="2283"/>
      <c r="G240" s="2283"/>
      <c r="H240" s="2283"/>
      <c r="I240" s="2283"/>
      <c r="J240" s="2283"/>
      <c r="K240" s="2283"/>
      <c r="L240" s="2283"/>
      <c r="M240" s="2283"/>
      <c r="N240" s="2283"/>
      <c r="O240" s="2288"/>
      <c r="P240" s="2283"/>
      <c r="Q240" s="2283"/>
      <c r="R240" s="2283"/>
      <c r="S240" s="2283"/>
      <c r="T240" s="2283"/>
      <c r="U240" s="2283"/>
      <c r="V240" s="2283"/>
      <c r="W240" s="2283"/>
      <c r="X240" s="2261">
        <f>+X241+X244</f>
        <v>0</v>
      </c>
      <c r="Y240" s="3598" t="s">
        <v>101</v>
      </c>
      <c r="Z240" s="864"/>
    </row>
    <row r="241" spans="1:27" ht="13.5" hidden="1" customHeight="1">
      <c r="A241" s="3601"/>
      <c r="B241" s="1251" t="s">
        <v>35</v>
      </c>
      <c r="C241" s="3611" t="s">
        <v>98</v>
      </c>
      <c r="D241" s="1771"/>
      <c r="E241" s="1771"/>
      <c r="F241" s="1771"/>
      <c r="G241" s="1771"/>
      <c r="H241" s="1771"/>
      <c r="I241" s="1771"/>
      <c r="J241" s="1771"/>
      <c r="K241" s="1771"/>
      <c r="L241" s="1771"/>
      <c r="M241" s="1771"/>
      <c r="N241" s="1771"/>
      <c r="O241" s="2289"/>
      <c r="P241" s="1771"/>
      <c r="Q241" s="1771"/>
      <c r="R241" s="1771"/>
      <c r="S241" s="1771"/>
      <c r="T241" s="1771"/>
      <c r="U241" s="1771"/>
      <c r="V241" s="1771"/>
      <c r="W241" s="1771"/>
      <c r="X241" s="1280">
        <f>+X242+X243</f>
        <v>0</v>
      </c>
      <c r="Y241" s="3598"/>
      <c r="Z241" s="864"/>
    </row>
    <row r="242" spans="1:27" ht="13.5" hidden="1" customHeight="1">
      <c r="A242" s="3601"/>
      <c r="B242" s="1752" t="s">
        <v>23</v>
      </c>
      <c r="C242" s="3625"/>
      <c r="D242" s="2234"/>
      <c r="E242" s="1710"/>
      <c r="F242" s="1709"/>
      <c r="G242" s="1710"/>
      <c r="H242" s="1710"/>
      <c r="I242" s="1710"/>
      <c r="J242" s="1710"/>
      <c r="K242" s="1710"/>
      <c r="L242" s="1713"/>
      <c r="M242" s="2273"/>
      <c r="N242" s="1713"/>
      <c r="O242" s="1731"/>
      <c r="P242" s="1709"/>
      <c r="Q242" s="1709"/>
      <c r="R242" s="1709"/>
      <c r="S242" s="1709"/>
      <c r="T242" s="1709"/>
      <c r="U242" s="1709"/>
      <c r="V242" s="1709"/>
      <c r="W242" s="1709"/>
      <c r="X242" s="2285">
        <f>SUM(Q242:W242)</f>
        <v>0</v>
      </c>
      <c r="Y242" s="3598"/>
    </row>
    <row r="243" spans="1:27" ht="13.5" hidden="1" customHeight="1">
      <c r="A243" s="3601"/>
      <c r="B243" s="2284" t="s">
        <v>26</v>
      </c>
      <c r="C243" s="3625"/>
      <c r="D243" s="2234"/>
      <c r="E243" s="1709"/>
      <c r="F243" s="1709"/>
      <c r="G243" s="1709"/>
      <c r="H243" s="1709"/>
      <c r="I243" s="1709"/>
      <c r="J243" s="1709"/>
      <c r="K243" s="1709"/>
      <c r="L243" s="1283"/>
      <c r="M243" s="2273"/>
      <c r="N243" s="1283"/>
      <c r="O243" s="2290"/>
      <c r="P243" s="1709"/>
      <c r="Q243" s="1709"/>
      <c r="R243" s="1709"/>
      <c r="S243" s="1709"/>
      <c r="T243" s="1709"/>
      <c r="U243" s="1709"/>
      <c r="V243" s="1709"/>
      <c r="W243" s="1709"/>
      <c r="X243" s="2285">
        <f>SUM(Q243:W243)</f>
        <v>0</v>
      </c>
      <c r="Y243" s="3598"/>
    </row>
    <row r="244" spans="1:27" ht="13.5" hidden="1" customHeight="1">
      <c r="A244" s="3601"/>
      <c r="B244" s="2291" t="s">
        <v>29</v>
      </c>
      <c r="C244" s="3625"/>
      <c r="D244" s="1284"/>
      <c r="E244" s="1284"/>
      <c r="F244" s="1284"/>
      <c r="G244" s="1284"/>
      <c r="H244" s="1284"/>
      <c r="I244" s="1284"/>
      <c r="J244" s="1284"/>
      <c r="K244" s="1284"/>
      <c r="L244" s="1284"/>
      <c r="M244" s="1284"/>
      <c r="N244" s="1284"/>
      <c r="O244" s="2292"/>
      <c r="P244" s="1284"/>
      <c r="Q244" s="1284"/>
      <c r="R244" s="1284"/>
      <c r="S244" s="1284"/>
      <c r="T244" s="1284"/>
      <c r="U244" s="1284"/>
      <c r="V244" s="1284"/>
      <c r="W244" s="1284"/>
      <c r="X244" s="1280">
        <f>+X245</f>
        <v>0</v>
      </c>
      <c r="Y244" s="3598"/>
    </row>
    <row r="245" spans="1:27" ht="13.5" hidden="1" customHeight="1">
      <c r="A245" s="3601"/>
      <c r="B245" s="1392" t="s">
        <v>32</v>
      </c>
      <c r="C245" s="3628"/>
      <c r="D245" s="2234"/>
      <c r="E245" s="1710"/>
      <c r="F245" s="1709"/>
      <c r="G245" s="1709"/>
      <c r="H245" s="1710"/>
      <c r="I245" s="1710"/>
      <c r="J245" s="1710"/>
      <c r="K245" s="1710"/>
      <c r="L245" s="1710"/>
      <c r="M245" s="2273"/>
      <c r="N245" s="1710"/>
      <c r="O245" s="1731"/>
      <c r="P245" s="1709"/>
      <c r="Q245" s="1709"/>
      <c r="R245" s="1709"/>
      <c r="S245" s="1709"/>
      <c r="T245" s="1709"/>
      <c r="U245" s="1709"/>
      <c r="V245" s="1709"/>
      <c r="W245" s="1709"/>
      <c r="X245" s="2285">
        <f>SUM(Q245:W245)</f>
        <v>0</v>
      </c>
      <c r="Y245" s="3599"/>
    </row>
    <row r="246" spans="1:27" ht="24" hidden="1" customHeight="1">
      <c r="A246" s="3637"/>
      <c r="B246" s="1049" t="s">
        <v>33</v>
      </c>
      <c r="C246" s="1270" t="s">
        <v>483</v>
      </c>
      <c r="D246" s="1690"/>
      <c r="E246" s="1690"/>
      <c r="F246" s="1690"/>
      <c r="G246" s="1690"/>
      <c r="H246" s="1690"/>
      <c r="I246" s="1690"/>
      <c r="J246" s="1690"/>
      <c r="K246" s="1690"/>
      <c r="L246" s="1690"/>
      <c r="M246" s="1690"/>
      <c r="N246" s="1690"/>
      <c r="O246" s="1690"/>
      <c r="P246" s="1690"/>
      <c r="Q246" s="1690"/>
      <c r="R246" s="1690"/>
      <c r="S246" s="1690"/>
      <c r="T246" s="1690"/>
      <c r="U246" s="1690"/>
      <c r="V246" s="1690"/>
      <c r="W246" s="1690"/>
      <c r="X246" s="3605" t="s">
        <v>34</v>
      </c>
      <c r="Y246" s="3608" t="s">
        <v>118</v>
      </c>
      <c r="Z246" s="864"/>
      <c r="AA246" s="864">
        <v>-1230552</v>
      </c>
    </row>
    <row r="247" spans="1:27" ht="12" hidden="1" customHeight="1">
      <c r="A247" s="3637"/>
      <c r="B247" s="2293" t="s">
        <v>35</v>
      </c>
      <c r="C247" s="3611" t="s">
        <v>276</v>
      </c>
      <c r="D247" s="1284"/>
      <c r="E247" s="1284"/>
      <c r="F247" s="1284"/>
      <c r="G247" s="1284"/>
      <c r="H247" s="1284"/>
      <c r="I247" s="1284"/>
      <c r="J247" s="1284"/>
      <c r="K247" s="1284"/>
      <c r="L247" s="1284"/>
      <c r="M247" s="1284"/>
      <c r="N247" s="1284"/>
      <c r="O247" s="1284"/>
      <c r="P247" s="1284"/>
      <c r="Q247" s="1284"/>
      <c r="R247" s="1284"/>
      <c r="S247" s="1284"/>
      <c r="T247" s="1284"/>
      <c r="U247" s="1284"/>
      <c r="V247" s="1284"/>
      <c r="W247" s="1284"/>
      <c r="X247" s="3606"/>
      <c r="Y247" s="3609"/>
    </row>
    <row r="248" spans="1:27" ht="12" hidden="1" customHeight="1">
      <c r="A248" s="3637"/>
      <c r="B248" s="2284" t="s">
        <v>26</v>
      </c>
      <c r="C248" s="3612"/>
      <c r="D248" s="2234"/>
      <c r="E248" s="2266"/>
      <c r="F248" s="2266"/>
      <c r="G248" s="2266"/>
      <c r="H248" s="2266"/>
      <c r="I248" s="2266"/>
      <c r="J248" s="2266"/>
      <c r="K248" s="2266"/>
      <c r="L248" s="2266"/>
      <c r="M248" s="2273"/>
      <c r="N248" s="2266"/>
      <c r="O248" s="2266"/>
      <c r="P248" s="2266"/>
      <c r="Q248" s="2266"/>
      <c r="R248" s="2266"/>
      <c r="S248" s="2266"/>
      <c r="T248" s="2266"/>
      <c r="U248" s="2266"/>
      <c r="V248" s="2266"/>
      <c r="W248" s="2266"/>
      <c r="X248" s="3606"/>
      <c r="Y248" s="3609"/>
    </row>
    <row r="249" spans="1:27" s="353" customFormat="1" ht="13.5" hidden="1" customHeight="1">
      <c r="A249" s="3637"/>
      <c r="B249" s="1350" t="s">
        <v>29</v>
      </c>
      <c r="C249" s="3612"/>
      <c r="D249" s="2120"/>
      <c r="E249" s="2120"/>
      <c r="F249" s="2120"/>
      <c r="G249" s="2120"/>
      <c r="H249" s="2120"/>
      <c r="I249" s="2120"/>
      <c r="J249" s="2120"/>
      <c r="K249" s="2120"/>
      <c r="L249" s="2120"/>
      <c r="M249" s="1441"/>
      <c r="N249" s="1441"/>
      <c r="O249" s="1441"/>
      <c r="P249" s="2120"/>
      <c r="Q249" s="2120"/>
      <c r="R249" s="2120"/>
      <c r="S249" s="2120"/>
      <c r="T249" s="2120"/>
      <c r="U249" s="2120"/>
      <c r="V249" s="2120"/>
      <c r="W249" s="2120"/>
      <c r="X249" s="3606"/>
      <c r="Y249" s="3609"/>
    </row>
    <row r="250" spans="1:27" s="353" customFormat="1" ht="13.5" hidden="1" thickBot="1">
      <c r="A250" s="3638"/>
      <c r="B250" s="2294" t="s">
        <v>32</v>
      </c>
      <c r="C250" s="3613"/>
      <c r="D250" s="2215"/>
      <c r="E250" s="2295"/>
      <c r="F250" s="2296"/>
      <c r="G250" s="2295"/>
      <c r="H250" s="2295"/>
      <c r="I250" s="2295"/>
      <c r="J250" s="2295"/>
      <c r="K250" s="2295"/>
      <c r="L250" s="2295"/>
      <c r="M250" s="2215"/>
      <c r="N250" s="2297"/>
      <c r="O250" s="2297"/>
      <c r="P250" s="940"/>
      <c r="Q250" s="940"/>
      <c r="R250" s="940"/>
      <c r="S250" s="940"/>
      <c r="T250" s="940"/>
      <c r="U250" s="940"/>
      <c r="V250" s="940"/>
      <c r="W250" s="940"/>
      <c r="X250" s="3607"/>
      <c r="Y250" s="3610"/>
    </row>
    <row r="251" spans="1:27" ht="32.25" customHeight="1">
      <c r="A251" s="3600" t="s">
        <v>103</v>
      </c>
      <c r="B251" s="91" t="s">
        <v>440</v>
      </c>
      <c r="C251" s="73"/>
      <c r="D251" s="74"/>
      <c r="E251" s="76"/>
      <c r="F251" s="76"/>
      <c r="G251" s="76"/>
      <c r="H251" s="76"/>
      <c r="I251" s="50"/>
      <c r="J251" s="50"/>
      <c r="K251" s="50"/>
      <c r="L251" s="50"/>
      <c r="M251" s="52"/>
      <c r="N251" s="52"/>
      <c r="O251" s="52"/>
      <c r="P251" s="52"/>
      <c r="Q251" s="52"/>
      <c r="R251" s="52"/>
      <c r="S251" s="52"/>
      <c r="T251" s="52"/>
      <c r="U251" s="309"/>
      <c r="V251" s="309"/>
      <c r="W251" s="309"/>
      <c r="X251" s="77"/>
      <c r="Y251" s="54"/>
    </row>
    <row r="252" spans="1:27" ht="14.25" customHeight="1">
      <c r="A252" s="3601"/>
      <c r="B252" s="2344" t="s">
        <v>21</v>
      </c>
      <c r="C252" s="2287" t="s">
        <v>95</v>
      </c>
      <c r="D252" s="2283">
        <f t="shared" ref="D252:Q252" si="138">+D253+D257</f>
        <v>41966333</v>
      </c>
      <c r="E252" s="2283">
        <f t="shared" si="138"/>
        <v>13622</v>
      </c>
      <c r="F252" s="2283">
        <f t="shared" si="138"/>
        <v>13622</v>
      </c>
      <c r="G252" s="2283">
        <f t="shared" si="138"/>
        <v>0</v>
      </c>
      <c r="H252" s="2283">
        <f t="shared" si="138"/>
        <v>0</v>
      </c>
      <c r="I252" s="2283">
        <f t="shared" si="138"/>
        <v>0</v>
      </c>
      <c r="J252" s="2283">
        <f t="shared" si="138"/>
        <v>26794</v>
      </c>
      <c r="K252" s="2283">
        <f t="shared" si="138"/>
        <v>108225</v>
      </c>
      <c r="L252" s="2283">
        <f t="shared" si="138"/>
        <v>208076</v>
      </c>
      <c r="M252" s="2283">
        <f t="shared" si="138"/>
        <v>5980665</v>
      </c>
      <c r="N252" s="2283">
        <f t="shared" si="138"/>
        <v>5436823</v>
      </c>
      <c r="O252" s="2283">
        <f t="shared" si="138"/>
        <v>187125</v>
      </c>
      <c r="P252" s="2283">
        <f t="shared" si="138"/>
        <v>15166148</v>
      </c>
      <c r="Q252" s="2283">
        <f t="shared" si="138"/>
        <v>20819520</v>
      </c>
      <c r="R252" s="2283"/>
      <c r="S252" s="2283"/>
      <c r="T252" s="2283"/>
      <c r="U252" s="2283"/>
      <c r="V252" s="2283"/>
      <c r="W252" s="2283"/>
      <c r="X252" s="2261">
        <f>X253+X257</f>
        <v>20819520</v>
      </c>
      <c r="Y252" s="3598" t="s">
        <v>101</v>
      </c>
    </row>
    <row r="253" spans="1:27" ht="12" customHeight="1">
      <c r="A253" s="3601"/>
      <c r="B253" s="2293" t="s">
        <v>35</v>
      </c>
      <c r="C253" s="3611" t="s">
        <v>98</v>
      </c>
      <c r="D253" s="1771">
        <f>+D254+D255+D256</f>
        <v>4370166</v>
      </c>
      <c r="E253" s="1771">
        <f t="shared" ref="E253:Q253" si="139">+E254+E255+E256</f>
        <v>13622</v>
      </c>
      <c r="F253" s="1771">
        <f t="shared" si="139"/>
        <v>13622</v>
      </c>
      <c r="G253" s="1771">
        <f t="shared" si="139"/>
        <v>0</v>
      </c>
      <c r="H253" s="1771">
        <f t="shared" si="139"/>
        <v>0</v>
      </c>
      <c r="I253" s="1771">
        <f t="shared" si="139"/>
        <v>0</v>
      </c>
      <c r="J253" s="1771">
        <f t="shared" si="139"/>
        <v>26794</v>
      </c>
      <c r="K253" s="1771">
        <f t="shared" si="139"/>
        <v>108225</v>
      </c>
      <c r="L253" s="1771">
        <f t="shared" si="139"/>
        <v>208076</v>
      </c>
      <c r="M253" s="1771">
        <f t="shared" si="139"/>
        <v>2228586</v>
      </c>
      <c r="N253" s="1771">
        <f t="shared" si="139"/>
        <v>1817458</v>
      </c>
      <c r="O253" s="1771">
        <f t="shared" si="139"/>
        <v>54411</v>
      </c>
      <c r="P253" s="1771">
        <f t="shared" si="139"/>
        <v>1006148</v>
      </c>
      <c r="Q253" s="1771">
        <f t="shared" si="139"/>
        <v>1135432</v>
      </c>
      <c r="R253" s="1771"/>
      <c r="S253" s="1771"/>
      <c r="T253" s="1771"/>
      <c r="U253" s="1771"/>
      <c r="V253" s="1771"/>
      <c r="W253" s="1771"/>
      <c r="X253" s="1280">
        <f>+X254+X256</f>
        <v>1135432</v>
      </c>
      <c r="Y253" s="3598"/>
    </row>
    <row r="254" spans="1:27" ht="11.25" customHeight="1">
      <c r="A254" s="3601"/>
      <c r="B254" s="2345" t="s">
        <v>23</v>
      </c>
      <c r="C254" s="3612"/>
      <c r="D254" s="2234">
        <f t="shared" ref="D254:D256" si="140">M254+P254+Q254+R254+S254+T254+U254+V254+W254</f>
        <v>2870166</v>
      </c>
      <c r="E254" s="1710">
        <f>+F254+G254+H254</f>
        <v>13622</v>
      </c>
      <c r="F254" s="1710">
        <v>13622</v>
      </c>
      <c r="G254" s="1710"/>
      <c r="H254" s="1713"/>
      <c r="I254" s="1713"/>
      <c r="J254" s="1713">
        <v>26794</v>
      </c>
      <c r="K254" s="1713">
        <v>108225</v>
      </c>
      <c r="L254" s="1713">
        <v>208076</v>
      </c>
      <c r="M254" s="2273">
        <f>+E254+I254+J254+K254+L254+N254+O254</f>
        <v>2228586</v>
      </c>
      <c r="N254" s="2273">
        <v>1817458</v>
      </c>
      <c r="O254" s="2273">
        <v>54411</v>
      </c>
      <c r="P254" s="2273">
        <f>5550000+46931-4390000-802884-197047-159852-41000</f>
        <v>6148</v>
      </c>
      <c r="Q254" s="2273">
        <f>1933354-1900000+166646+197047+159852+78533</f>
        <v>635432</v>
      </c>
      <c r="R254" s="1709"/>
      <c r="S254" s="1709"/>
      <c r="T254" s="1709"/>
      <c r="U254" s="1709"/>
      <c r="V254" s="1709"/>
      <c r="W254" s="1709"/>
      <c r="X254" s="2285">
        <f>SUM(Q254:W254)</f>
        <v>635432</v>
      </c>
      <c r="Y254" s="3598"/>
    </row>
    <row r="255" spans="1:27" ht="12" hidden="1" customHeight="1">
      <c r="A255" s="3601"/>
      <c r="B255" s="1752" t="s">
        <v>28</v>
      </c>
      <c r="C255" s="3612"/>
      <c r="D255" s="2234">
        <f t="shared" si="140"/>
        <v>0</v>
      </c>
      <c r="E255" s="1710">
        <f>+F255+G255+H255</f>
        <v>0</v>
      </c>
      <c r="F255" s="1709">
        <v>0</v>
      </c>
      <c r="G255" s="1710">
        <v>0</v>
      </c>
      <c r="H255" s="1713">
        <f>142740-142740</f>
        <v>0</v>
      </c>
      <c r="I255" s="1713">
        <f>201581-201581</f>
        <v>0</v>
      </c>
      <c r="J255" s="1713"/>
      <c r="K255" s="1710"/>
      <c r="L255" s="1710">
        <v>0</v>
      </c>
      <c r="M255" s="1710"/>
      <c r="N255" s="1710">
        <v>0</v>
      </c>
      <c r="O255" s="1710">
        <v>0</v>
      </c>
      <c r="P255" s="1709">
        <v>0</v>
      </c>
      <c r="Q255" s="1709"/>
      <c r="R255" s="1709"/>
      <c r="S255" s="1709"/>
      <c r="T255" s="1709"/>
      <c r="U255" s="268"/>
      <c r="V255" s="268"/>
      <c r="W255" s="268"/>
      <c r="X255" s="85"/>
      <c r="Y255" s="3598"/>
    </row>
    <row r="256" spans="1:27" ht="12" customHeight="1">
      <c r="A256" s="3601"/>
      <c r="B256" s="2284" t="s">
        <v>26</v>
      </c>
      <c r="C256" s="3612"/>
      <c r="D256" s="2234">
        <f t="shared" si="140"/>
        <v>1500000</v>
      </c>
      <c r="E256" s="1710">
        <v>0</v>
      </c>
      <c r="F256" s="1709"/>
      <c r="G256" s="1710"/>
      <c r="H256" s="1713"/>
      <c r="I256" s="1713">
        <v>0</v>
      </c>
      <c r="J256" s="1713">
        <v>0</v>
      </c>
      <c r="K256" s="1713"/>
      <c r="L256" s="1710">
        <v>0</v>
      </c>
      <c r="M256" s="2273">
        <f>+E256+I256+J256+K256+L256+N256+O256</f>
        <v>0</v>
      </c>
      <c r="N256" s="1710">
        <v>0</v>
      </c>
      <c r="O256" s="1710">
        <v>0</v>
      </c>
      <c r="P256" s="1709">
        <v>1000000</v>
      </c>
      <c r="Q256" s="1709">
        <v>500000</v>
      </c>
      <c r="R256" s="1709"/>
      <c r="S256" s="1709"/>
      <c r="T256" s="1709"/>
      <c r="U256" s="1710"/>
      <c r="V256" s="1710"/>
      <c r="W256" s="1710"/>
      <c r="X256" s="2285">
        <f>SUM(Q256:W256)</f>
        <v>500000</v>
      </c>
      <c r="Y256" s="3598"/>
    </row>
    <row r="257" spans="1:27" ht="12" customHeight="1">
      <c r="A257" s="3601"/>
      <c r="B257" s="2305" t="s">
        <v>29</v>
      </c>
      <c r="C257" s="3612"/>
      <c r="D257" s="1284">
        <f t="shared" ref="D257:Q257" si="141">+D258+D259</f>
        <v>37596167</v>
      </c>
      <c r="E257" s="1284">
        <f t="shared" si="141"/>
        <v>0</v>
      </c>
      <c r="F257" s="1284">
        <f t="shared" si="141"/>
        <v>0</v>
      </c>
      <c r="G257" s="1284">
        <f t="shared" si="141"/>
        <v>0</v>
      </c>
      <c r="H257" s="1284">
        <f t="shared" si="141"/>
        <v>0</v>
      </c>
      <c r="I257" s="1284">
        <f t="shared" si="141"/>
        <v>0</v>
      </c>
      <c r="J257" s="1284">
        <f t="shared" si="141"/>
        <v>0</v>
      </c>
      <c r="K257" s="1284">
        <f t="shared" si="141"/>
        <v>0</v>
      </c>
      <c r="L257" s="1284">
        <f t="shared" si="141"/>
        <v>0</v>
      </c>
      <c r="M257" s="1284">
        <f t="shared" si="141"/>
        <v>3752079</v>
      </c>
      <c r="N257" s="1284">
        <f t="shared" si="141"/>
        <v>3619365</v>
      </c>
      <c r="O257" s="1284">
        <f t="shared" si="141"/>
        <v>132714</v>
      </c>
      <c r="P257" s="1284">
        <f t="shared" si="141"/>
        <v>14160000</v>
      </c>
      <c r="Q257" s="1284">
        <f t="shared" si="141"/>
        <v>19684088</v>
      </c>
      <c r="R257" s="1284"/>
      <c r="S257" s="1284"/>
      <c r="T257" s="1284"/>
      <c r="U257" s="1284"/>
      <c r="V257" s="1284"/>
      <c r="W257" s="1284"/>
      <c r="X257" s="1280">
        <f>+X258+X259</f>
        <v>19684088</v>
      </c>
      <c r="Y257" s="3598"/>
    </row>
    <row r="258" spans="1:27" ht="12" hidden="1" customHeight="1">
      <c r="A258" s="3601"/>
      <c r="B258" s="1752" t="s">
        <v>28</v>
      </c>
      <c r="C258" s="3612"/>
      <c r="D258" s="2266">
        <v>0</v>
      </c>
      <c r="E258" s="1710">
        <v>0</v>
      </c>
      <c r="F258" s="1709">
        <v>0</v>
      </c>
      <c r="G258" s="1710">
        <v>0</v>
      </c>
      <c r="H258" s="1713">
        <v>0</v>
      </c>
      <c r="I258" s="1713">
        <v>0</v>
      </c>
      <c r="J258" s="1713">
        <v>0</v>
      </c>
      <c r="K258" s="1710">
        <v>0</v>
      </c>
      <c r="L258" s="1710">
        <v>0</v>
      </c>
      <c r="M258" s="1731"/>
      <c r="N258" s="1710">
        <v>0</v>
      </c>
      <c r="O258" s="1710">
        <v>0</v>
      </c>
      <c r="P258" s="1709">
        <v>0</v>
      </c>
      <c r="Q258" s="1709"/>
      <c r="R258" s="1709"/>
      <c r="S258" s="1709"/>
      <c r="T258" s="1709"/>
      <c r="U258" s="268"/>
      <c r="V258" s="268"/>
      <c r="W258" s="268"/>
      <c r="X258" s="85"/>
      <c r="Y258" s="3598"/>
    </row>
    <row r="259" spans="1:27" ht="12" customHeight="1">
      <c r="A259" s="3601"/>
      <c r="B259" s="1752" t="s">
        <v>32</v>
      </c>
      <c r="C259" s="3670"/>
      <c r="D259" s="2234">
        <f>M259+P259+Q259+R259+S259+T259+U259+V259+W259</f>
        <v>37596167</v>
      </c>
      <c r="E259" s="1710">
        <f>+F259+G259+H259</f>
        <v>0</v>
      </c>
      <c r="F259" s="1709"/>
      <c r="G259" s="1710"/>
      <c r="H259" s="1713"/>
      <c r="I259" s="1713"/>
      <c r="J259" s="1713"/>
      <c r="K259" s="1710"/>
      <c r="L259" s="1710">
        <v>0</v>
      </c>
      <c r="M259" s="2273">
        <f>+E259+I259+J259+K259+L259+N259+O259</f>
        <v>3752079</v>
      </c>
      <c r="N259" s="2273">
        <v>3619365</v>
      </c>
      <c r="O259" s="2273">
        <v>132714</v>
      </c>
      <c r="P259" s="2273">
        <f>31450000+265944-197116-17358828</f>
        <v>14160000</v>
      </c>
      <c r="Q259" s="2273">
        <f>10955672-8630312+17358828-100</f>
        <v>19684088</v>
      </c>
      <c r="R259" s="1709"/>
      <c r="S259" s="1709"/>
      <c r="T259" s="1709"/>
      <c r="U259" s="1709"/>
      <c r="V259" s="1709"/>
      <c r="W259" s="1709"/>
      <c r="X259" s="2285">
        <f>SUM(Q259:W259)</f>
        <v>19684088</v>
      </c>
      <c r="Y259" s="3599"/>
    </row>
    <row r="260" spans="1:27" ht="22.5" customHeight="1">
      <c r="A260" s="3601"/>
      <c r="B260" s="103" t="s">
        <v>33</v>
      </c>
      <c r="C260" s="1270" t="s">
        <v>483</v>
      </c>
      <c r="D260" s="1690">
        <f t="shared" ref="D260:Q260" si="142">+D264+D261</f>
        <v>39096167</v>
      </c>
      <c r="E260" s="1690">
        <f t="shared" si="142"/>
        <v>0</v>
      </c>
      <c r="F260" s="1690">
        <f t="shared" si="142"/>
        <v>0</v>
      </c>
      <c r="G260" s="1690">
        <f t="shared" si="142"/>
        <v>0</v>
      </c>
      <c r="H260" s="1690">
        <f t="shared" si="142"/>
        <v>0</v>
      </c>
      <c r="I260" s="1690">
        <f t="shared" si="142"/>
        <v>0</v>
      </c>
      <c r="J260" s="1690">
        <f t="shared" si="142"/>
        <v>0</v>
      </c>
      <c r="K260" s="1690">
        <f t="shared" si="142"/>
        <v>0</v>
      </c>
      <c r="L260" s="1690">
        <f t="shared" si="142"/>
        <v>0</v>
      </c>
      <c r="M260" s="1882">
        <f t="shared" si="142"/>
        <v>0</v>
      </c>
      <c r="N260" s="1882">
        <f t="shared" si="142"/>
        <v>0</v>
      </c>
      <c r="O260" s="1882">
        <f t="shared" si="142"/>
        <v>0</v>
      </c>
      <c r="P260" s="1690">
        <f t="shared" si="142"/>
        <v>14036781</v>
      </c>
      <c r="Q260" s="1690">
        <f t="shared" si="142"/>
        <v>25059386</v>
      </c>
      <c r="R260" s="1690"/>
      <c r="S260" s="1690"/>
      <c r="T260" s="1690"/>
      <c r="U260" s="1690"/>
      <c r="V260" s="1690"/>
      <c r="W260" s="1690"/>
      <c r="X260" s="3605" t="s">
        <v>34</v>
      </c>
      <c r="Y260" s="3608" t="s">
        <v>118</v>
      </c>
      <c r="Z260" s="864"/>
      <c r="AA260" s="864">
        <v>-14140496</v>
      </c>
    </row>
    <row r="261" spans="1:27" ht="12" customHeight="1">
      <c r="A261" s="3601"/>
      <c r="B261" s="2293" t="s">
        <v>35</v>
      </c>
      <c r="C261" s="3611" t="s">
        <v>276</v>
      </c>
      <c r="D261" s="1284">
        <f>+D262+D263</f>
        <v>1500000</v>
      </c>
      <c r="E261" s="1284">
        <f t="shared" ref="E261:P261" si="143">+E262+E263</f>
        <v>0</v>
      </c>
      <c r="F261" s="1284">
        <f t="shared" si="143"/>
        <v>0</v>
      </c>
      <c r="G261" s="1284">
        <f t="shared" si="143"/>
        <v>0</v>
      </c>
      <c r="H261" s="1284">
        <f t="shared" si="143"/>
        <v>0</v>
      </c>
      <c r="I261" s="1284">
        <f t="shared" si="143"/>
        <v>0</v>
      </c>
      <c r="J261" s="1284">
        <f t="shared" si="143"/>
        <v>0</v>
      </c>
      <c r="K261" s="1284">
        <f t="shared" si="143"/>
        <v>0</v>
      </c>
      <c r="L261" s="1284">
        <f t="shared" si="143"/>
        <v>0</v>
      </c>
      <c r="M261" s="2292">
        <v>0</v>
      </c>
      <c r="N261" s="2292">
        <f t="shared" si="143"/>
        <v>0</v>
      </c>
      <c r="O261" s="2292">
        <f t="shared" si="143"/>
        <v>0</v>
      </c>
      <c r="P261" s="1284">
        <f t="shared" si="143"/>
        <v>1000000</v>
      </c>
      <c r="Q261" s="1284">
        <f>+Q262+Q263</f>
        <v>500000</v>
      </c>
      <c r="R261" s="1284"/>
      <c r="S261" s="1284"/>
      <c r="T261" s="1284"/>
      <c r="U261" s="1284"/>
      <c r="V261" s="1284"/>
      <c r="W261" s="1284"/>
      <c r="X261" s="3606"/>
      <c r="Y261" s="3609"/>
    </row>
    <row r="262" spans="1:27" ht="12" hidden="1" customHeight="1">
      <c r="A262" s="3601"/>
      <c r="B262" s="2284" t="s">
        <v>28</v>
      </c>
      <c r="C262" s="3612"/>
      <c r="D262" s="2234">
        <f>SUM(M262:T262)</f>
        <v>0</v>
      </c>
      <c r="E262" s="2346">
        <f>+F262+G262+H262</f>
        <v>0</v>
      </c>
      <c r="F262" s="2346">
        <v>0</v>
      </c>
      <c r="G262" s="2346">
        <v>0</v>
      </c>
      <c r="H262" s="2346">
        <v>0</v>
      </c>
      <c r="I262" s="2346">
        <v>0</v>
      </c>
      <c r="J262" s="2346"/>
      <c r="K262" s="2346"/>
      <c r="L262" s="2346"/>
      <c r="M262" s="2348"/>
      <c r="N262" s="2348">
        <v>0</v>
      </c>
      <c r="O262" s="2348">
        <v>0</v>
      </c>
      <c r="P262" s="2266">
        <v>0</v>
      </c>
      <c r="Q262" s="2266">
        <v>0</v>
      </c>
      <c r="R262" s="2266"/>
      <c r="S262" s="2266"/>
      <c r="T262" s="2266"/>
      <c r="U262" s="2266"/>
      <c r="V262" s="2266"/>
      <c r="W262" s="2266"/>
      <c r="X262" s="3606"/>
      <c r="Y262" s="3609"/>
    </row>
    <row r="263" spans="1:27" ht="12" customHeight="1">
      <c r="A263" s="3601"/>
      <c r="B263" s="2284" t="s">
        <v>26</v>
      </c>
      <c r="C263" s="3612"/>
      <c r="D263" s="2234">
        <f>M263+P263+Q263+R263+S263+T263+U263+V263+W263</f>
        <v>1500000</v>
      </c>
      <c r="E263" s="2346">
        <v>0</v>
      </c>
      <c r="F263" s="2346"/>
      <c r="G263" s="2346"/>
      <c r="H263" s="2346"/>
      <c r="I263" s="2346">
        <v>0</v>
      </c>
      <c r="J263" s="2346">
        <v>0</v>
      </c>
      <c r="K263" s="2346"/>
      <c r="L263" s="2346">
        <v>0</v>
      </c>
      <c r="M263" s="1387">
        <f>+E263+I263+J263+K263+L263+N263+O263</f>
        <v>0</v>
      </c>
      <c r="N263" s="2348">
        <v>0</v>
      </c>
      <c r="O263" s="2348">
        <v>0</v>
      </c>
      <c r="P263" s="2266">
        <v>1000000</v>
      </c>
      <c r="Q263" s="2266">
        <v>500000</v>
      </c>
      <c r="R263" s="2266"/>
      <c r="S263" s="2266"/>
      <c r="T263" s="2266"/>
      <c r="U263" s="2266"/>
      <c r="V263" s="2266"/>
      <c r="W263" s="2266"/>
      <c r="X263" s="3606"/>
      <c r="Y263" s="3609"/>
    </row>
    <row r="264" spans="1:27" ht="12" customHeight="1">
      <c r="A264" s="3601"/>
      <c r="B264" s="2291" t="s">
        <v>29</v>
      </c>
      <c r="C264" s="3612"/>
      <c r="D264" s="2120">
        <f t="shared" ref="D264:L264" si="144">+D265+D266</f>
        <v>37596167</v>
      </c>
      <c r="E264" s="2120">
        <f t="shared" si="144"/>
        <v>0</v>
      </c>
      <c r="F264" s="2120">
        <f t="shared" si="144"/>
        <v>0</v>
      </c>
      <c r="G264" s="2120">
        <f t="shared" si="144"/>
        <v>0</v>
      </c>
      <c r="H264" s="2120">
        <f t="shared" si="144"/>
        <v>0</v>
      </c>
      <c r="I264" s="2120">
        <f t="shared" si="144"/>
        <v>0</v>
      </c>
      <c r="J264" s="2120">
        <f t="shared" si="144"/>
        <v>0</v>
      </c>
      <c r="K264" s="2120">
        <f t="shared" si="144"/>
        <v>0</v>
      </c>
      <c r="L264" s="2120">
        <f t="shared" si="144"/>
        <v>0</v>
      </c>
      <c r="M264" s="1441">
        <v>0</v>
      </c>
      <c r="N264" s="1441">
        <f>+N265+N266</f>
        <v>0</v>
      </c>
      <c r="O264" s="1441">
        <f>+O265+O266</f>
        <v>0</v>
      </c>
      <c r="P264" s="2347">
        <f>+P265+P266</f>
        <v>13036781</v>
      </c>
      <c r="Q264" s="2347">
        <f>+Q265+Q266</f>
        <v>24559386</v>
      </c>
      <c r="R264" s="2347"/>
      <c r="S264" s="2347"/>
      <c r="T264" s="2347"/>
      <c r="U264" s="2347"/>
      <c r="V264" s="2347"/>
      <c r="W264" s="2347"/>
      <c r="X264" s="3606"/>
      <c r="Y264" s="3609"/>
    </row>
    <row r="265" spans="1:27" ht="12" hidden="1" customHeight="1">
      <c r="A265" s="3601"/>
      <c r="B265" s="1752" t="s">
        <v>28</v>
      </c>
      <c r="C265" s="3612"/>
      <c r="D265" s="2234">
        <f>SUM(M265:T265)</f>
        <v>0</v>
      </c>
      <c r="E265" s="2346">
        <f>+F265+G265+H265</f>
        <v>0</v>
      </c>
      <c r="F265" s="2346">
        <v>0</v>
      </c>
      <c r="G265" s="2346">
        <v>0</v>
      </c>
      <c r="H265" s="2346">
        <v>0</v>
      </c>
      <c r="I265" s="2346">
        <v>0</v>
      </c>
      <c r="J265" s="2346">
        <v>0</v>
      </c>
      <c r="K265" s="2346">
        <v>0</v>
      </c>
      <c r="L265" s="2346">
        <v>0</v>
      </c>
      <c r="M265" s="2348"/>
      <c r="N265" s="2348">
        <v>0</v>
      </c>
      <c r="O265" s="2348">
        <v>0</v>
      </c>
      <c r="P265" s="2266">
        <v>0</v>
      </c>
      <c r="Q265" s="2266"/>
      <c r="R265" s="2266"/>
      <c r="S265" s="2266"/>
      <c r="T265" s="2266"/>
      <c r="U265" s="2266"/>
      <c r="V265" s="2266"/>
      <c r="W265" s="2266"/>
      <c r="X265" s="3606"/>
      <c r="Y265" s="3609"/>
    </row>
    <row r="266" spans="1:27" ht="14.25" customHeight="1" thickBot="1">
      <c r="A266" s="3602"/>
      <c r="B266" s="2056" t="s">
        <v>32</v>
      </c>
      <c r="C266" s="3613"/>
      <c r="D266" s="2215">
        <f>M266+P266+Q266+R266+S266+T266+U266+V266+W266</f>
        <v>37596167</v>
      </c>
      <c r="E266" s="69">
        <v>0</v>
      </c>
      <c r="F266" s="69"/>
      <c r="G266" s="69"/>
      <c r="H266" s="69"/>
      <c r="I266" s="69">
        <v>0</v>
      </c>
      <c r="J266" s="69">
        <v>0</v>
      </c>
      <c r="K266" s="69"/>
      <c r="L266" s="69"/>
      <c r="M266" s="1404">
        <f>+E266+I266+J266+K266+L266+N266+O266</f>
        <v>0</v>
      </c>
      <c r="N266" s="923">
        <v>0</v>
      </c>
      <c r="O266" s="923">
        <v>0</v>
      </c>
      <c r="P266" s="2215">
        <f>36496351-9355855-20900496+6760000+36781</f>
        <v>13036781</v>
      </c>
      <c r="Q266" s="2215">
        <f>10955672-500000+20900496-6760000-36782</f>
        <v>24559386</v>
      </c>
      <c r="R266" s="94"/>
      <c r="S266" s="94"/>
      <c r="T266" s="94"/>
      <c r="U266" s="94"/>
      <c r="V266" s="94"/>
      <c r="W266" s="94"/>
      <c r="X266" s="3607"/>
      <c r="Y266" s="3610"/>
    </row>
    <row r="267" spans="1:27" ht="30" customHeight="1">
      <c r="A267" s="3600" t="s">
        <v>104</v>
      </c>
      <c r="B267" s="91" t="s">
        <v>443</v>
      </c>
      <c r="C267" s="73"/>
      <c r="D267" s="74"/>
      <c r="E267" s="76"/>
      <c r="F267" s="75"/>
      <c r="G267" s="76"/>
      <c r="H267" s="76"/>
      <c r="I267" s="50"/>
      <c r="J267" s="50"/>
      <c r="K267" s="50"/>
      <c r="L267" s="50"/>
      <c r="M267" s="52"/>
      <c r="N267" s="52"/>
      <c r="O267" s="52"/>
      <c r="P267" s="52"/>
      <c r="Q267" s="52"/>
      <c r="R267" s="52"/>
      <c r="S267" s="52"/>
      <c r="T267" s="52"/>
      <c r="U267" s="52"/>
      <c r="V267" s="52"/>
      <c r="W267" s="52"/>
      <c r="X267" s="53"/>
      <c r="Y267" s="115"/>
    </row>
    <row r="268" spans="1:27" ht="13.5" customHeight="1">
      <c r="A268" s="3601"/>
      <c r="B268" s="25" t="s">
        <v>21</v>
      </c>
      <c r="C268" s="1271" t="s">
        <v>95</v>
      </c>
      <c r="D268" s="78">
        <f t="shared" ref="D268:O268" si="145">+D269+D272</f>
        <v>8380189</v>
      </c>
      <c r="E268" s="78">
        <f>+E269+E272</f>
        <v>0</v>
      </c>
      <c r="F268" s="79">
        <f t="shared" si="145"/>
        <v>0</v>
      </c>
      <c r="G268" s="79">
        <f t="shared" si="145"/>
        <v>0</v>
      </c>
      <c r="H268" s="79">
        <f t="shared" si="145"/>
        <v>0</v>
      </c>
      <c r="I268" s="79">
        <f t="shared" si="145"/>
        <v>0</v>
      </c>
      <c r="J268" s="79">
        <f t="shared" si="145"/>
        <v>0</v>
      </c>
      <c r="K268" s="79">
        <f t="shared" si="145"/>
        <v>0</v>
      </c>
      <c r="L268" s="79">
        <f t="shared" si="145"/>
        <v>0</v>
      </c>
      <c r="M268" s="386">
        <f>+M269+M272</f>
        <v>0</v>
      </c>
      <c r="N268" s="386">
        <f t="shared" si="145"/>
        <v>0</v>
      </c>
      <c r="O268" s="79">
        <f t="shared" si="145"/>
        <v>0</v>
      </c>
      <c r="P268" s="79">
        <f>+P269+P272</f>
        <v>5561340</v>
      </c>
      <c r="Q268" s="79">
        <f>+Q269+Q272</f>
        <v>2818849</v>
      </c>
      <c r="R268" s="79"/>
      <c r="S268" s="79"/>
      <c r="T268" s="79"/>
      <c r="U268" s="79"/>
      <c r="V268" s="79"/>
      <c r="W268" s="79"/>
      <c r="X268" s="80">
        <f>X269+X272</f>
        <v>2818849</v>
      </c>
      <c r="Y268" s="3598" t="s">
        <v>101</v>
      </c>
      <c r="Z268" s="864"/>
    </row>
    <row r="269" spans="1:27" ht="13.5" customHeight="1">
      <c r="A269" s="3601"/>
      <c r="B269" s="217" t="s">
        <v>35</v>
      </c>
      <c r="C269" s="3624" t="s">
        <v>98</v>
      </c>
      <c r="D269" s="81">
        <f>+D270+D271</f>
        <v>211019</v>
      </c>
      <c r="E269" s="81">
        <f>+E270+E271</f>
        <v>0</v>
      </c>
      <c r="F269" s="81">
        <f t="shared" ref="F269:O269" si="146">+F270+F271</f>
        <v>0</v>
      </c>
      <c r="G269" s="81">
        <f t="shared" si="146"/>
        <v>0</v>
      </c>
      <c r="H269" s="81">
        <f t="shared" si="146"/>
        <v>0</v>
      </c>
      <c r="I269" s="81">
        <f t="shared" si="146"/>
        <v>0</v>
      </c>
      <c r="J269" s="81">
        <f t="shared" si="146"/>
        <v>0</v>
      </c>
      <c r="K269" s="81">
        <f t="shared" si="146"/>
        <v>0</v>
      </c>
      <c r="L269" s="81">
        <f t="shared" si="146"/>
        <v>0</v>
      </c>
      <c r="M269" s="384">
        <f>+M270+M271</f>
        <v>0</v>
      </c>
      <c r="N269" s="384">
        <f t="shared" si="146"/>
        <v>0</v>
      </c>
      <c r="O269" s="81">
        <f t="shared" si="146"/>
        <v>0</v>
      </c>
      <c r="P269" s="81">
        <f>+P270+P271</f>
        <v>11019</v>
      </c>
      <c r="Q269" s="81">
        <f>+Q270+Q271</f>
        <v>200000</v>
      </c>
      <c r="R269" s="81"/>
      <c r="S269" s="81"/>
      <c r="T269" s="81"/>
      <c r="U269" s="81"/>
      <c r="V269" s="81"/>
      <c r="W269" s="81"/>
      <c r="X269" s="99">
        <f>X270</f>
        <v>200000</v>
      </c>
      <c r="Y269" s="3598"/>
      <c r="Z269" s="864"/>
    </row>
    <row r="270" spans="1:27" ht="11.25" customHeight="1">
      <c r="A270" s="3601"/>
      <c r="B270" s="727" t="s">
        <v>23</v>
      </c>
      <c r="C270" s="3625"/>
      <c r="D270" s="325">
        <f>M270+P270+Q270+R270+S270+T270+U270+V270+W270</f>
        <v>211019</v>
      </c>
      <c r="E270" s="59"/>
      <c r="F270" s="60">
        <v>0</v>
      </c>
      <c r="G270" s="59">
        <v>0</v>
      </c>
      <c r="H270" s="92">
        <v>0</v>
      </c>
      <c r="I270" s="92"/>
      <c r="J270" s="92"/>
      <c r="K270" s="59"/>
      <c r="L270" s="92"/>
      <c r="M270" s="2097">
        <f>+E270+I270+J270+K270+L270+N270+O270</f>
        <v>0</v>
      </c>
      <c r="N270" s="304">
        <v>0</v>
      </c>
      <c r="O270" s="387">
        <f>6000-6000</f>
        <v>0</v>
      </c>
      <c r="P270" s="387">
        <f>894000+6000-889921+940</f>
        <v>11019</v>
      </c>
      <c r="Q270" s="387">
        <f>465000-265000</f>
        <v>200000</v>
      </c>
      <c r="R270" s="387"/>
      <c r="S270" s="387"/>
      <c r="T270" s="387"/>
      <c r="U270" s="387"/>
      <c r="V270" s="387"/>
      <c r="W270" s="387"/>
      <c r="X270" s="44">
        <f>SUM(Q270:W270)</f>
        <v>200000</v>
      </c>
      <c r="Y270" s="3598"/>
      <c r="Z270" s="864"/>
    </row>
    <row r="271" spans="1:27" ht="10.5" hidden="1" customHeight="1">
      <c r="A271" s="3601"/>
      <c r="B271" s="708" t="s">
        <v>26</v>
      </c>
      <c r="C271" s="3625"/>
      <c r="D271" s="325">
        <f>SUM(M271:T271)</f>
        <v>0</v>
      </c>
      <c r="E271" s="59">
        <v>0</v>
      </c>
      <c r="F271" s="57">
        <v>0</v>
      </c>
      <c r="G271" s="57">
        <v>0</v>
      </c>
      <c r="H271" s="86">
        <v>0</v>
      </c>
      <c r="I271" s="86"/>
      <c r="J271" s="86"/>
      <c r="K271" s="57">
        <v>0</v>
      </c>
      <c r="L271" s="57">
        <v>0</v>
      </c>
      <c r="M271" s="356">
        <v>0</v>
      </c>
      <c r="N271" s="356">
        <v>0</v>
      </c>
      <c r="O271" s="57">
        <v>0</v>
      </c>
      <c r="P271" s="57">
        <v>0</v>
      </c>
      <c r="Q271" s="57"/>
      <c r="R271" s="57"/>
      <c r="S271" s="57"/>
      <c r="T271" s="57"/>
      <c r="U271" s="268"/>
      <c r="V271" s="268"/>
      <c r="W271" s="268"/>
      <c r="X271" s="85"/>
      <c r="Y271" s="3598"/>
    </row>
    <row r="272" spans="1:27" ht="12.75" customHeight="1">
      <c r="A272" s="3601"/>
      <c r="B272" s="885" t="s">
        <v>29</v>
      </c>
      <c r="C272" s="3625"/>
      <c r="D272" s="61">
        <f>+D273</f>
        <v>8169170</v>
      </c>
      <c r="E272" s="62">
        <f>+E273</f>
        <v>0</v>
      </c>
      <c r="F272" s="62">
        <f t="shared" ref="F272:Q272" si="147">+F273</f>
        <v>0</v>
      </c>
      <c r="G272" s="62">
        <f t="shared" si="147"/>
        <v>0</v>
      </c>
      <c r="H272" s="62">
        <f t="shared" si="147"/>
        <v>0</v>
      </c>
      <c r="I272" s="62">
        <f t="shared" si="147"/>
        <v>0</v>
      </c>
      <c r="J272" s="62">
        <f t="shared" si="147"/>
        <v>0</v>
      </c>
      <c r="K272" s="62">
        <f t="shared" si="147"/>
        <v>0</v>
      </c>
      <c r="L272" s="62">
        <f t="shared" si="147"/>
        <v>0</v>
      </c>
      <c r="M272" s="388">
        <f t="shared" si="147"/>
        <v>0</v>
      </c>
      <c r="N272" s="388">
        <f t="shared" si="147"/>
        <v>0</v>
      </c>
      <c r="O272" s="62">
        <f t="shared" si="147"/>
        <v>0</v>
      </c>
      <c r="P272" s="62">
        <f t="shared" si="147"/>
        <v>5550321</v>
      </c>
      <c r="Q272" s="62">
        <f t="shared" si="147"/>
        <v>2618849</v>
      </c>
      <c r="R272" s="62"/>
      <c r="S272" s="62"/>
      <c r="T272" s="62"/>
      <c r="U272" s="61"/>
      <c r="V272" s="61"/>
      <c r="W272" s="61"/>
      <c r="X272" s="99">
        <f>X273</f>
        <v>2618849</v>
      </c>
      <c r="Y272" s="3598"/>
    </row>
    <row r="273" spans="1:27" ht="12" customHeight="1">
      <c r="A273" s="3601"/>
      <c r="B273" s="727" t="s">
        <v>32</v>
      </c>
      <c r="C273" s="3628"/>
      <c r="D273" s="2192">
        <f>M273+P273+Q273+R273+S273+T273+U273+V273+W273</f>
        <v>8169170</v>
      </c>
      <c r="E273" s="59"/>
      <c r="F273" s="60">
        <v>0</v>
      </c>
      <c r="G273" s="59">
        <v>0</v>
      </c>
      <c r="H273" s="92">
        <v>0</v>
      </c>
      <c r="I273" s="92"/>
      <c r="J273" s="92"/>
      <c r="K273" s="59">
        <v>0</v>
      </c>
      <c r="L273" s="59">
        <v>0</v>
      </c>
      <c r="M273" s="2097">
        <f>+E273+I273+J273+K273+L273+N273+O273</f>
        <v>0</v>
      </c>
      <c r="N273" s="304">
        <v>0</v>
      </c>
      <c r="O273" s="387">
        <f>34000-34000</f>
        <v>0</v>
      </c>
      <c r="P273" s="387">
        <f>5066000+34000+889921-80411-359189</f>
        <v>5550321</v>
      </c>
      <c r="Q273" s="387">
        <f>2635000-453934+78594+359189</f>
        <v>2618849</v>
      </c>
      <c r="R273" s="387"/>
      <c r="S273" s="59"/>
      <c r="T273" s="59"/>
      <c r="U273" s="60"/>
      <c r="V273" s="60"/>
      <c r="W273" s="60"/>
      <c r="X273" s="44">
        <f>SUM(Q273:W273)</f>
        <v>2618849</v>
      </c>
      <c r="Y273" s="3599"/>
    </row>
    <row r="274" spans="1:27" ht="22.5">
      <c r="A274" s="3637"/>
      <c r="B274" s="119" t="s">
        <v>33</v>
      </c>
      <c r="C274" s="1270" t="s">
        <v>483</v>
      </c>
      <c r="D274" s="134">
        <f t="shared" ref="D274:O274" si="148">+D275+D277</f>
        <v>8169170</v>
      </c>
      <c r="E274" s="302">
        <f t="shared" si="148"/>
        <v>0</v>
      </c>
      <c r="F274" s="302">
        <f t="shared" si="148"/>
        <v>0</v>
      </c>
      <c r="G274" s="302">
        <f t="shared" si="148"/>
        <v>0</v>
      </c>
      <c r="H274" s="302">
        <f t="shared" si="148"/>
        <v>0</v>
      </c>
      <c r="I274" s="302">
        <f t="shared" si="148"/>
        <v>0</v>
      </c>
      <c r="J274" s="302">
        <f t="shared" si="148"/>
        <v>0</v>
      </c>
      <c r="K274" s="302">
        <f t="shared" si="148"/>
        <v>0</v>
      </c>
      <c r="L274" s="302">
        <f t="shared" si="148"/>
        <v>0</v>
      </c>
      <c r="M274" s="305">
        <f>+M275+M277</f>
        <v>0</v>
      </c>
      <c r="N274" s="305">
        <f t="shared" si="148"/>
        <v>0</v>
      </c>
      <c r="O274" s="305">
        <f t="shared" si="148"/>
        <v>0</v>
      </c>
      <c r="P274" s="302">
        <f>+P275+P277</f>
        <v>3015669</v>
      </c>
      <c r="Q274" s="302">
        <f>+Q275+Q277</f>
        <v>5153501</v>
      </c>
      <c r="R274" s="302"/>
      <c r="S274" s="302"/>
      <c r="T274" s="302"/>
      <c r="U274" s="302"/>
      <c r="V274" s="302"/>
      <c r="W274" s="302"/>
      <c r="X274" s="3667" t="s">
        <v>34</v>
      </c>
      <c r="Y274" s="3727" t="s">
        <v>118</v>
      </c>
      <c r="Z274" s="864"/>
      <c r="AA274" s="864">
        <v>-1435987</v>
      </c>
    </row>
    <row r="275" spans="1:27" ht="13.5" hidden="1" customHeight="1">
      <c r="A275" s="3637"/>
      <c r="B275" s="1269" t="s">
        <v>35</v>
      </c>
      <c r="C275" s="3728" t="s">
        <v>292</v>
      </c>
      <c r="D275" s="65">
        <f>+D276</f>
        <v>0</v>
      </c>
      <c r="E275" s="65">
        <f t="shared" ref="E275:P275" si="149">+E276</f>
        <v>0</v>
      </c>
      <c r="F275" s="65">
        <f t="shared" si="149"/>
        <v>0</v>
      </c>
      <c r="G275" s="65">
        <f t="shared" si="149"/>
        <v>0</v>
      </c>
      <c r="H275" s="65">
        <f t="shared" si="149"/>
        <v>0</v>
      </c>
      <c r="I275" s="65">
        <f t="shared" si="149"/>
        <v>0</v>
      </c>
      <c r="J275" s="65">
        <f t="shared" si="149"/>
        <v>0</v>
      </c>
      <c r="K275" s="65">
        <f t="shared" si="149"/>
        <v>0</v>
      </c>
      <c r="L275" s="65">
        <f t="shared" si="149"/>
        <v>0</v>
      </c>
      <c r="M275" s="357">
        <f t="shared" si="149"/>
        <v>0</v>
      </c>
      <c r="N275" s="357">
        <f t="shared" si="149"/>
        <v>0</v>
      </c>
      <c r="O275" s="357">
        <f t="shared" si="149"/>
        <v>0</v>
      </c>
      <c r="P275" s="65">
        <f t="shared" si="149"/>
        <v>0</v>
      </c>
      <c r="Q275" s="65"/>
      <c r="R275" s="65"/>
      <c r="S275" s="65"/>
      <c r="T275" s="65"/>
      <c r="U275" s="65"/>
      <c r="V275" s="65"/>
      <c r="W275" s="65"/>
      <c r="X275" s="3635"/>
      <c r="Y275" s="3630"/>
    </row>
    <row r="276" spans="1:27" hidden="1">
      <c r="A276" s="3637"/>
      <c r="B276" s="118" t="s">
        <v>26</v>
      </c>
      <c r="C276" s="3725"/>
      <c r="D276" s="325">
        <f>SUM(M276:T276)</f>
        <v>0</v>
      </c>
      <c r="E276" s="67">
        <f>+F276+G276+H276</f>
        <v>0</v>
      </c>
      <c r="F276" s="67">
        <v>0</v>
      </c>
      <c r="G276" s="67">
        <v>0</v>
      </c>
      <c r="H276" s="67">
        <v>0</v>
      </c>
      <c r="I276" s="67"/>
      <c r="J276" s="67"/>
      <c r="K276" s="67">
        <v>0</v>
      </c>
      <c r="L276" s="67">
        <v>0</v>
      </c>
      <c r="M276" s="358">
        <v>0</v>
      </c>
      <c r="N276" s="358">
        <v>0</v>
      </c>
      <c r="O276" s="358">
        <v>0</v>
      </c>
      <c r="P276" s="67">
        <v>0</v>
      </c>
      <c r="Q276" s="67"/>
      <c r="R276" s="67"/>
      <c r="S276" s="67"/>
      <c r="T276" s="67"/>
      <c r="U276" s="67"/>
      <c r="V276" s="67"/>
      <c r="W276" s="67"/>
      <c r="X276" s="3635"/>
      <c r="Y276" s="3630"/>
    </row>
    <row r="277" spans="1:27" ht="12" customHeight="1">
      <c r="A277" s="3637"/>
      <c r="B277" s="1910" t="s">
        <v>29</v>
      </c>
      <c r="C277" s="3725"/>
      <c r="D277" s="61">
        <f t="shared" ref="D277:Q277" si="150">+D278</f>
        <v>8169170</v>
      </c>
      <c r="E277" s="62">
        <f t="shared" si="150"/>
        <v>0</v>
      </c>
      <c r="F277" s="62">
        <f t="shared" si="150"/>
        <v>0</v>
      </c>
      <c r="G277" s="62">
        <f t="shared" si="150"/>
        <v>0</v>
      </c>
      <c r="H277" s="62">
        <f t="shared" si="150"/>
        <v>0</v>
      </c>
      <c r="I277" s="62">
        <f t="shared" si="150"/>
        <v>0</v>
      </c>
      <c r="J277" s="62">
        <f t="shared" si="150"/>
        <v>0</v>
      </c>
      <c r="K277" s="62">
        <f t="shared" si="150"/>
        <v>0</v>
      </c>
      <c r="L277" s="62">
        <f t="shared" si="150"/>
        <v>0</v>
      </c>
      <c r="M277" s="388">
        <f t="shared" si="150"/>
        <v>0</v>
      </c>
      <c r="N277" s="388">
        <f t="shared" si="150"/>
        <v>0</v>
      </c>
      <c r="O277" s="388">
        <f t="shared" si="150"/>
        <v>0</v>
      </c>
      <c r="P277" s="62">
        <f t="shared" si="150"/>
        <v>3015669</v>
      </c>
      <c r="Q277" s="62">
        <f t="shared" si="150"/>
        <v>5153501</v>
      </c>
      <c r="R277" s="62"/>
      <c r="S277" s="62"/>
      <c r="T277" s="62"/>
      <c r="U277" s="62"/>
      <c r="V277" s="62"/>
      <c r="W277" s="62"/>
      <c r="X277" s="3635"/>
      <c r="Y277" s="3630"/>
    </row>
    <row r="278" spans="1:27" ht="13.5" customHeight="1" thickBot="1">
      <c r="A278" s="3638"/>
      <c r="B278" s="88" t="s">
        <v>32</v>
      </c>
      <c r="C278" s="3726"/>
      <c r="D278" s="325">
        <f>M278+P278+Q278+R278+S278+T278+U278+V278+W278</f>
        <v>8169170</v>
      </c>
      <c r="E278" s="89">
        <f>+F278+G278+H278</f>
        <v>0</v>
      </c>
      <c r="F278" s="90">
        <v>0</v>
      </c>
      <c r="G278" s="89">
        <v>0</v>
      </c>
      <c r="H278" s="89">
        <v>0</v>
      </c>
      <c r="I278" s="89"/>
      <c r="J278" s="89"/>
      <c r="K278" s="89">
        <v>0</v>
      </c>
      <c r="L278" s="89">
        <v>0</v>
      </c>
      <c r="M278" s="2097">
        <f>+E278+I278+J278+K278+L278+N278+O278</f>
        <v>0</v>
      </c>
      <c r="N278" s="389">
        <v>0</v>
      </c>
      <c r="O278" s="389">
        <v>0</v>
      </c>
      <c r="P278" s="89">
        <f>4000000+435987-1575987+140000+15669</f>
        <v>3015669</v>
      </c>
      <c r="Q278" s="89">
        <f>3735000+1575987-141817-15669</f>
        <v>5153501</v>
      </c>
      <c r="R278" s="89"/>
      <c r="S278" s="89"/>
      <c r="T278" s="89"/>
      <c r="U278" s="89"/>
      <c r="V278" s="89"/>
      <c r="W278" s="89"/>
      <c r="X278" s="3636"/>
      <c r="Y278" s="3631"/>
    </row>
    <row r="279" spans="1:27" ht="30.75" customHeight="1">
      <c r="A279" s="3600" t="s">
        <v>105</v>
      </c>
      <c r="B279" s="91" t="s">
        <v>441</v>
      </c>
      <c r="C279" s="73" t="s">
        <v>95</v>
      </c>
      <c r="D279" s="74"/>
      <c r="E279" s="76"/>
      <c r="F279" s="75"/>
      <c r="G279" s="76"/>
      <c r="H279" s="76"/>
      <c r="I279" s="50"/>
      <c r="J279" s="50"/>
      <c r="K279" s="50"/>
      <c r="L279" s="50"/>
      <c r="M279" s="52"/>
      <c r="N279" s="52"/>
      <c r="O279" s="52"/>
      <c r="P279" s="52"/>
      <c r="Q279" s="52"/>
      <c r="R279" s="52"/>
      <c r="S279" s="52"/>
      <c r="T279" s="52"/>
      <c r="U279" s="52"/>
      <c r="V279" s="52"/>
      <c r="W279" s="52"/>
      <c r="X279" s="53"/>
      <c r="Y279" s="115"/>
      <c r="Z279" s="301" t="s">
        <v>405</v>
      </c>
    </row>
    <row r="280" spans="1:27">
      <c r="A280" s="3601"/>
      <c r="B280" s="25" t="s">
        <v>21</v>
      </c>
      <c r="C280" s="836"/>
      <c r="D280" s="837">
        <f>+D281+D284</f>
        <v>51600000</v>
      </c>
      <c r="E280" s="837">
        <f>+E281+E284</f>
        <v>0</v>
      </c>
      <c r="F280" s="879">
        <f t="shared" ref="F280:O280" si="151">+F281+F284</f>
        <v>0</v>
      </c>
      <c r="G280" s="879">
        <f t="shared" si="151"/>
        <v>0</v>
      </c>
      <c r="H280" s="879">
        <f t="shared" si="151"/>
        <v>0</v>
      </c>
      <c r="I280" s="879">
        <f t="shared" si="151"/>
        <v>0</v>
      </c>
      <c r="J280" s="879">
        <f t="shared" si="151"/>
        <v>0</v>
      </c>
      <c r="K280" s="879">
        <f t="shared" si="151"/>
        <v>0</v>
      </c>
      <c r="L280" s="879">
        <f t="shared" si="151"/>
        <v>0</v>
      </c>
      <c r="M280" s="880">
        <f t="shared" si="151"/>
        <v>0</v>
      </c>
      <c r="N280" s="880">
        <f t="shared" si="151"/>
        <v>0</v>
      </c>
      <c r="O280" s="879">
        <f t="shared" si="151"/>
        <v>0</v>
      </c>
      <c r="P280" s="879">
        <f>+P281+P284</f>
        <v>330606</v>
      </c>
      <c r="Q280" s="879">
        <f>+Q281+Q284</f>
        <v>30800000</v>
      </c>
      <c r="R280" s="879">
        <f>+R281+R284</f>
        <v>20469394</v>
      </c>
      <c r="S280" s="879"/>
      <c r="T280" s="879"/>
      <c r="U280" s="879"/>
      <c r="V280" s="879"/>
      <c r="W280" s="879"/>
      <c r="X280" s="838">
        <f>X281+X284</f>
        <v>51269394</v>
      </c>
      <c r="Y280" s="3598" t="s">
        <v>101</v>
      </c>
      <c r="Z280" s="864"/>
    </row>
    <row r="281" spans="1:27">
      <c r="A281" s="3601"/>
      <c r="B281" s="217" t="s">
        <v>35</v>
      </c>
      <c r="C281" s="3627" t="s">
        <v>98</v>
      </c>
      <c r="D281" s="846">
        <f>+D282+D283</f>
        <v>7825000</v>
      </c>
      <c r="E281" s="846">
        <f>+E282+E283</f>
        <v>0</v>
      </c>
      <c r="F281" s="846">
        <f t="shared" ref="F281:O281" si="152">+F282+F283</f>
        <v>0</v>
      </c>
      <c r="G281" s="846">
        <f t="shared" si="152"/>
        <v>0</v>
      </c>
      <c r="H281" s="846">
        <f t="shared" si="152"/>
        <v>0</v>
      </c>
      <c r="I281" s="846">
        <f t="shared" si="152"/>
        <v>0</v>
      </c>
      <c r="J281" s="846">
        <f t="shared" si="152"/>
        <v>0</v>
      </c>
      <c r="K281" s="846">
        <f t="shared" si="152"/>
        <v>0</v>
      </c>
      <c r="L281" s="846">
        <f t="shared" si="152"/>
        <v>0</v>
      </c>
      <c r="M281" s="881">
        <f t="shared" si="152"/>
        <v>0</v>
      </c>
      <c r="N281" s="881">
        <f t="shared" si="152"/>
        <v>0</v>
      </c>
      <c r="O281" s="846">
        <f t="shared" si="152"/>
        <v>0</v>
      </c>
      <c r="P281" s="846">
        <f>+P282+P283</f>
        <v>49591</v>
      </c>
      <c r="Q281" s="846">
        <f>+Q282+Q283</f>
        <v>4705000</v>
      </c>
      <c r="R281" s="846">
        <f>+R282+R283</f>
        <v>3070409</v>
      </c>
      <c r="S281" s="846"/>
      <c r="T281" s="846"/>
      <c r="U281" s="846"/>
      <c r="V281" s="846"/>
      <c r="W281" s="846"/>
      <c r="X281" s="840">
        <f>X282</f>
        <v>7775409</v>
      </c>
      <c r="Y281" s="3598"/>
      <c r="Z281" s="864"/>
    </row>
    <row r="282" spans="1:27" ht="11.25" customHeight="1">
      <c r="A282" s="3601"/>
      <c r="B282" s="727" t="s">
        <v>23</v>
      </c>
      <c r="C282" s="3625"/>
      <c r="D282" s="2192">
        <f>M282+P282+Q282+R282+S282+T282+U282+V282+W282</f>
        <v>7825000</v>
      </c>
      <c r="E282" s="810"/>
      <c r="F282" s="841">
        <v>0</v>
      </c>
      <c r="G282" s="810">
        <v>0</v>
      </c>
      <c r="H282" s="818">
        <v>0</v>
      </c>
      <c r="I282" s="818"/>
      <c r="J282" s="818"/>
      <c r="K282" s="810"/>
      <c r="L282" s="818"/>
      <c r="M282" s="2097">
        <f>+E282+I282+J282+K282+L282+N282+O282</f>
        <v>0</v>
      </c>
      <c r="N282" s="882">
        <v>0</v>
      </c>
      <c r="O282" s="883">
        <f>6000-6000</f>
        <v>0</v>
      </c>
      <c r="P282" s="883">
        <f>150000-135000+34591</f>
        <v>49591</v>
      </c>
      <c r="Q282" s="883">
        <f>5700000+1500000+135000-2630000</f>
        <v>4705000</v>
      </c>
      <c r="R282" s="883">
        <f>1875000+1435625-240216</f>
        <v>3070409</v>
      </c>
      <c r="S282" s="883"/>
      <c r="T282" s="883"/>
      <c r="U282" s="883"/>
      <c r="V282" s="883"/>
      <c r="W282" s="883"/>
      <c r="X282" s="44">
        <f>SUM(Q282:W282)</f>
        <v>7775409</v>
      </c>
      <c r="Y282" s="3598"/>
      <c r="Z282" s="864"/>
    </row>
    <row r="283" spans="1:27" ht="10.5" hidden="1" customHeight="1">
      <c r="A283" s="3601"/>
      <c r="B283" s="708" t="s">
        <v>26</v>
      </c>
      <c r="C283" s="3625"/>
      <c r="D283" s="884">
        <f>SUM(M283:T283)</f>
        <v>0</v>
      </c>
      <c r="E283" s="810">
        <v>0</v>
      </c>
      <c r="F283" s="812">
        <v>0</v>
      </c>
      <c r="G283" s="812">
        <v>0</v>
      </c>
      <c r="H283" s="814">
        <v>0</v>
      </c>
      <c r="I283" s="814"/>
      <c r="J283" s="814"/>
      <c r="K283" s="812">
        <v>0</v>
      </c>
      <c r="L283" s="812">
        <v>0</v>
      </c>
      <c r="M283" s="853">
        <v>0</v>
      </c>
      <c r="N283" s="853">
        <v>0</v>
      </c>
      <c r="O283" s="812">
        <v>0</v>
      </c>
      <c r="P283" s="812">
        <v>0</v>
      </c>
      <c r="Q283" s="812"/>
      <c r="R283" s="812"/>
      <c r="S283" s="812"/>
      <c r="T283" s="812"/>
      <c r="U283" s="268"/>
      <c r="V283" s="268"/>
      <c r="W283" s="268"/>
      <c r="X283" s="85"/>
      <c r="Y283" s="3598"/>
    </row>
    <row r="284" spans="1:27">
      <c r="A284" s="3601"/>
      <c r="B284" s="885" t="s">
        <v>29</v>
      </c>
      <c r="C284" s="3625"/>
      <c r="D284" s="843">
        <f>+D285</f>
        <v>43775000</v>
      </c>
      <c r="E284" s="844">
        <f>+E285</f>
        <v>0</v>
      </c>
      <c r="F284" s="844">
        <f t="shared" ref="F284:R284" si="153">+F285</f>
        <v>0</v>
      </c>
      <c r="G284" s="844">
        <f t="shared" si="153"/>
        <v>0</v>
      </c>
      <c r="H284" s="844">
        <f t="shared" si="153"/>
        <v>0</v>
      </c>
      <c r="I284" s="844">
        <f t="shared" si="153"/>
        <v>0</v>
      </c>
      <c r="J284" s="844">
        <f t="shared" si="153"/>
        <v>0</v>
      </c>
      <c r="K284" s="844">
        <f t="shared" si="153"/>
        <v>0</v>
      </c>
      <c r="L284" s="844">
        <f t="shared" si="153"/>
        <v>0</v>
      </c>
      <c r="M284" s="854">
        <f t="shared" si="153"/>
        <v>0</v>
      </c>
      <c r="N284" s="854">
        <f t="shared" si="153"/>
        <v>0</v>
      </c>
      <c r="O284" s="844">
        <f t="shared" si="153"/>
        <v>0</v>
      </c>
      <c r="P284" s="844">
        <f t="shared" si="153"/>
        <v>281015</v>
      </c>
      <c r="Q284" s="844">
        <f t="shared" si="153"/>
        <v>26095000</v>
      </c>
      <c r="R284" s="844">
        <f t="shared" si="153"/>
        <v>17398985</v>
      </c>
      <c r="S284" s="844"/>
      <c r="T284" s="844"/>
      <c r="U284" s="843"/>
      <c r="V284" s="843"/>
      <c r="W284" s="843"/>
      <c r="X284" s="840">
        <f>X285</f>
        <v>43493985</v>
      </c>
      <c r="Y284" s="3598"/>
    </row>
    <row r="285" spans="1:27" ht="12" customHeight="1">
      <c r="A285" s="3601"/>
      <c r="B285" s="727" t="s">
        <v>32</v>
      </c>
      <c r="C285" s="3628"/>
      <c r="D285" s="2192">
        <f>M285+P285+Q285+R285+S285+T285+U285+V285+W285</f>
        <v>43775000</v>
      </c>
      <c r="E285" s="810"/>
      <c r="F285" s="841">
        <v>0</v>
      </c>
      <c r="G285" s="810">
        <v>0</v>
      </c>
      <c r="H285" s="818">
        <v>0</v>
      </c>
      <c r="I285" s="818"/>
      <c r="J285" s="818"/>
      <c r="K285" s="810">
        <v>0</v>
      </c>
      <c r="L285" s="810">
        <v>0</v>
      </c>
      <c r="M285" s="2097">
        <f>+E285+I285+J285+K285+L285+N285+O285</f>
        <v>0</v>
      </c>
      <c r="N285" s="882">
        <v>0</v>
      </c>
      <c r="O285" s="883">
        <f>34000-34000</f>
        <v>0</v>
      </c>
      <c r="P285" s="883">
        <f>850000-765000+196015</f>
        <v>281015</v>
      </c>
      <c r="Q285" s="883">
        <f>32300000+8500000+765000-15470000</f>
        <v>26095000</v>
      </c>
      <c r="R285" s="883">
        <f>10625000+4125213+2648772</f>
        <v>17398985</v>
      </c>
      <c r="S285" s="810"/>
      <c r="T285" s="810"/>
      <c r="U285" s="841"/>
      <c r="V285" s="841"/>
      <c r="W285" s="841"/>
      <c r="X285" s="44">
        <f>SUM(Q285:W285)</f>
        <v>43493985</v>
      </c>
      <c r="Y285" s="3599"/>
    </row>
    <row r="286" spans="1:27" ht="12" customHeight="1">
      <c r="A286" s="3637"/>
      <c r="B286" s="119" t="s">
        <v>33</v>
      </c>
      <c r="C286" s="116"/>
      <c r="D286" s="134">
        <f t="shared" ref="D286:O286" si="154">+D287+D289</f>
        <v>43775000</v>
      </c>
      <c r="E286" s="302">
        <f t="shared" si="154"/>
        <v>0</v>
      </c>
      <c r="F286" s="302">
        <f t="shared" si="154"/>
        <v>0</v>
      </c>
      <c r="G286" s="302">
        <f t="shared" si="154"/>
        <v>0</v>
      </c>
      <c r="H286" s="302">
        <f t="shared" si="154"/>
        <v>0</v>
      </c>
      <c r="I286" s="302">
        <f t="shared" si="154"/>
        <v>0</v>
      </c>
      <c r="J286" s="302">
        <f t="shared" si="154"/>
        <v>0</v>
      </c>
      <c r="K286" s="302">
        <f t="shared" si="154"/>
        <v>0</v>
      </c>
      <c r="L286" s="302">
        <f t="shared" si="154"/>
        <v>0</v>
      </c>
      <c r="M286" s="305">
        <f t="shared" si="154"/>
        <v>0</v>
      </c>
      <c r="N286" s="305">
        <f t="shared" si="154"/>
        <v>0</v>
      </c>
      <c r="O286" s="305">
        <f t="shared" si="154"/>
        <v>0</v>
      </c>
      <c r="P286" s="302">
        <f>+P287+P289</f>
        <v>0</v>
      </c>
      <c r="Q286" s="302">
        <f>+Q287+Q289</f>
        <v>26376015</v>
      </c>
      <c r="R286" s="302">
        <f>+R287+R289</f>
        <v>17398985</v>
      </c>
      <c r="S286" s="302"/>
      <c r="T286" s="302"/>
      <c r="U286" s="302"/>
      <c r="V286" s="302"/>
      <c r="W286" s="302"/>
      <c r="X286" s="3729" t="s">
        <v>34</v>
      </c>
      <c r="Y286" s="3629" t="s">
        <v>118</v>
      </c>
    </row>
    <row r="287" spans="1:27" ht="13.5" hidden="1" customHeight="1">
      <c r="A287" s="3637"/>
      <c r="B287" s="855" t="s">
        <v>35</v>
      </c>
      <c r="C287" s="3730" t="s">
        <v>292</v>
      </c>
      <c r="D287" s="65">
        <f>+D288</f>
        <v>0</v>
      </c>
      <c r="E287" s="65">
        <f t="shared" ref="E287:P287" si="155">+E288</f>
        <v>0</v>
      </c>
      <c r="F287" s="65">
        <f t="shared" si="155"/>
        <v>0</v>
      </c>
      <c r="G287" s="65">
        <f t="shared" si="155"/>
        <v>0</v>
      </c>
      <c r="H287" s="65">
        <f t="shared" si="155"/>
        <v>0</v>
      </c>
      <c r="I287" s="65">
        <f t="shared" si="155"/>
        <v>0</v>
      </c>
      <c r="J287" s="65">
        <f t="shared" si="155"/>
        <v>0</v>
      </c>
      <c r="K287" s="65">
        <f t="shared" si="155"/>
        <v>0</v>
      </c>
      <c r="L287" s="65">
        <f t="shared" si="155"/>
        <v>0</v>
      </c>
      <c r="M287" s="357">
        <f t="shared" si="155"/>
        <v>0</v>
      </c>
      <c r="N287" s="357">
        <f t="shared" si="155"/>
        <v>0</v>
      </c>
      <c r="O287" s="357">
        <f t="shared" si="155"/>
        <v>0</v>
      </c>
      <c r="P287" s="65">
        <f t="shared" si="155"/>
        <v>0</v>
      </c>
      <c r="Q287" s="65"/>
      <c r="R287" s="65"/>
      <c r="S287" s="65"/>
      <c r="T287" s="65"/>
      <c r="U287" s="65"/>
      <c r="V287" s="65"/>
      <c r="W287" s="65"/>
      <c r="X287" s="3635"/>
      <c r="Y287" s="3630"/>
    </row>
    <row r="288" spans="1:27" ht="13.5" hidden="1" customHeight="1">
      <c r="A288" s="3637"/>
      <c r="B288" s="118" t="s">
        <v>26</v>
      </c>
      <c r="C288" s="3725"/>
      <c r="D288" s="884">
        <f>SUM(M288:T288)</f>
        <v>0</v>
      </c>
      <c r="E288" s="845">
        <f>+F288+G288+H288</f>
        <v>0</v>
      </c>
      <c r="F288" s="845">
        <v>0</v>
      </c>
      <c r="G288" s="845">
        <v>0</v>
      </c>
      <c r="H288" s="845">
        <v>0</v>
      </c>
      <c r="I288" s="845"/>
      <c r="J288" s="845"/>
      <c r="K288" s="845">
        <v>0</v>
      </c>
      <c r="L288" s="845">
        <v>0</v>
      </c>
      <c r="M288" s="856">
        <v>0</v>
      </c>
      <c r="N288" s="856">
        <v>0</v>
      </c>
      <c r="O288" s="856">
        <v>0</v>
      </c>
      <c r="P288" s="845">
        <v>0</v>
      </c>
      <c r="Q288" s="845"/>
      <c r="R288" s="845"/>
      <c r="S288" s="845"/>
      <c r="T288" s="845"/>
      <c r="U288" s="845"/>
      <c r="V288" s="845"/>
      <c r="W288" s="845"/>
      <c r="X288" s="3635"/>
      <c r="Y288" s="3630"/>
    </row>
    <row r="289" spans="1:26" ht="12" customHeight="1">
      <c r="A289" s="3637"/>
      <c r="B289" s="664" t="s">
        <v>29</v>
      </c>
      <c r="C289" s="3725"/>
      <c r="D289" s="843">
        <f t="shared" ref="D289:R289" si="156">+D290</f>
        <v>43775000</v>
      </c>
      <c r="E289" s="844">
        <f t="shared" si="156"/>
        <v>0</v>
      </c>
      <c r="F289" s="844">
        <f t="shared" si="156"/>
        <v>0</v>
      </c>
      <c r="G289" s="844">
        <f t="shared" si="156"/>
        <v>0</v>
      </c>
      <c r="H289" s="844">
        <f t="shared" si="156"/>
        <v>0</v>
      </c>
      <c r="I289" s="844">
        <f t="shared" si="156"/>
        <v>0</v>
      </c>
      <c r="J289" s="844">
        <f t="shared" si="156"/>
        <v>0</v>
      </c>
      <c r="K289" s="844">
        <f t="shared" si="156"/>
        <v>0</v>
      </c>
      <c r="L289" s="844">
        <f t="shared" si="156"/>
        <v>0</v>
      </c>
      <c r="M289" s="854">
        <f t="shared" si="156"/>
        <v>0</v>
      </c>
      <c r="N289" s="854">
        <f t="shared" si="156"/>
        <v>0</v>
      </c>
      <c r="O289" s="854">
        <f t="shared" si="156"/>
        <v>0</v>
      </c>
      <c r="P289" s="844">
        <f t="shared" si="156"/>
        <v>0</v>
      </c>
      <c r="Q289" s="844">
        <f t="shared" si="156"/>
        <v>26376015</v>
      </c>
      <c r="R289" s="844">
        <f t="shared" si="156"/>
        <v>17398985</v>
      </c>
      <c r="S289" s="844"/>
      <c r="T289" s="844"/>
      <c r="U289" s="844"/>
      <c r="V289" s="844"/>
      <c r="W289" s="844"/>
      <c r="X289" s="3635"/>
      <c r="Y289" s="3630"/>
    </row>
    <row r="290" spans="1:26" ht="13.5" customHeight="1" thickBot="1">
      <c r="A290" s="3638"/>
      <c r="B290" s="88" t="s">
        <v>32</v>
      </c>
      <c r="C290" s="3726"/>
      <c r="D290" s="2192">
        <f>M290+P290+Q290+R290+S290+T290+U290+V290+W290</f>
        <v>43775000</v>
      </c>
      <c r="E290" s="89">
        <f>+F290+G290+H290</f>
        <v>0</v>
      </c>
      <c r="F290" s="90">
        <v>0</v>
      </c>
      <c r="G290" s="89">
        <v>0</v>
      </c>
      <c r="H290" s="89">
        <v>0</v>
      </c>
      <c r="I290" s="89"/>
      <c r="J290" s="89"/>
      <c r="K290" s="89">
        <v>0</v>
      </c>
      <c r="L290" s="89">
        <v>0</v>
      </c>
      <c r="M290" s="2097">
        <f>+E290+I290+J290+K290+L290+N290+O290</f>
        <v>0</v>
      </c>
      <c r="N290" s="389">
        <v>0</v>
      </c>
      <c r="O290" s="389">
        <v>0</v>
      </c>
      <c r="P290" s="89">
        <v>0</v>
      </c>
      <c r="Q290" s="89">
        <f>29000000+6000000-8623985</f>
        <v>26376015</v>
      </c>
      <c r="R290" s="89">
        <f>14775000+6625213-4001228</f>
        <v>17398985</v>
      </c>
      <c r="S290" s="89"/>
      <c r="T290" s="89"/>
      <c r="U290" s="89"/>
      <c r="V290" s="89"/>
      <c r="W290" s="89"/>
      <c r="X290" s="3636"/>
      <c r="Y290" s="3631"/>
    </row>
    <row r="291" spans="1:26" ht="30" customHeight="1">
      <c r="A291" s="3600" t="s">
        <v>106</v>
      </c>
      <c r="B291" s="91" t="s">
        <v>519</v>
      </c>
      <c r="C291" s="73" t="s">
        <v>95</v>
      </c>
      <c r="D291" s="74"/>
      <c r="E291" s="76"/>
      <c r="F291" s="75"/>
      <c r="G291" s="76"/>
      <c r="H291" s="76"/>
      <c r="I291" s="50"/>
      <c r="J291" s="50"/>
      <c r="K291" s="50"/>
      <c r="L291" s="50"/>
      <c r="M291" s="52"/>
      <c r="N291" s="52"/>
      <c r="O291" s="52"/>
      <c r="P291" s="52"/>
      <c r="Q291" s="52"/>
      <c r="R291" s="52"/>
      <c r="S291" s="52"/>
      <c r="T291" s="52"/>
      <c r="U291" s="52"/>
      <c r="V291" s="52"/>
      <c r="W291" s="52"/>
      <c r="X291" s="53"/>
      <c r="Y291" s="115"/>
      <c r="Z291" s="301" t="s">
        <v>405</v>
      </c>
    </row>
    <row r="292" spans="1:26" ht="13.5" customHeight="1">
      <c r="A292" s="3601"/>
      <c r="B292" s="1320" t="s">
        <v>21</v>
      </c>
      <c r="C292" s="1881"/>
      <c r="D292" s="2283">
        <f>+D293+D296</f>
        <v>18000000</v>
      </c>
      <c r="E292" s="2283">
        <f>+E293+E296</f>
        <v>0</v>
      </c>
      <c r="F292" s="1551">
        <f t="shared" ref="F292:O292" si="157">+F293+F296</f>
        <v>0</v>
      </c>
      <c r="G292" s="1551">
        <f t="shared" si="157"/>
        <v>0</v>
      </c>
      <c r="H292" s="1551">
        <f t="shared" si="157"/>
        <v>0</v>
      </c>
      <c r="I292" s="1551">
        <f t="shared" si="157"/>
        <v>0</v>
      </c>
      <c r="J292" s="1551">
        <f t="shared" si="157"/>
        <v>0</v>
      </c>
      <c r="K292" s="1551">
        <f t="shared" si="157"/>
        <v>0</v>
      </c>
      <c r="L292" s="1551">
        <f t="shared" si="157"/>
        <v>0</v>
      </c>
      <c r="M292" s="2298">
        <f t="shared" si="157"/>
        <v>0</v>
      </c>
      <c r="N292" s="2298">
        <f t="shared" si="157"/>
        <v>0</v>
      </c>
      <c r="O292" s="1551">
        <f t="shared" si="157"/>
        <v>0</v>
      </c>
      <c r="P292" s="1551">
        <f>+P293+P296</f>
        <v>0</v>
      </c>
      <c r="Q292" s="1551">
        <f>+Q293+Q296</f>
        <v>18000000</v>
      </c>
      <c r="R292" s="1551">
        <f>+R293+R296</f>
        <v>0</v>
      </c>
      <c r="S292" s="1551"/>
      <c r="T292" s="1551"/>
      <c r="U292" s="1551"/>
      <c r="V292" s="1551"/>
      <c r="W292" s="1551"/>
      <c r="X292" s="2261">
        <f>X293+X296</f>
        <v>18000000</v>
      </c>
      <c r="Y292" s="3598" t="s">
        <v>101</v>
      </c>
      <c r="Z292" s="864"/>
    </row>
    <row r="293" spans="1:26" ht="13.5" customHeight="1">
      <c r="A293" s="3601"/>
      <c r="B293" s="1251" t="s">
        <v>35</v>
      </c>
      <c r="C293" s="3611" t="s">
        <v>98</v>
      </c>
      <c r="D293" s="1771">
        <f>+D294+D295</f>
        <v>2836000</v>
      </c>
      <c r="E293" s="1771">
        <f>+E294+E295</f>
        <v>0</v>
      </c>
      <c r="F293" s="1771">
        <f t="shared" ref="F293:O293" si="158">+F294+F295</f>
        <v>0</v>
      </c>
      <c r="G293" s="1771">
        <f t="shared" si="158"/>
        <v>0</v>
      </c>
      <c r="H293" s="1771">
        <f t="shared" si="158"/>
        <v>0</v>
      </c>
      <c r="I293" s="1771">
        <f t="shared" si="158"/>
        <v>0</v>
      </c>
      <c r="J293" s="1771">
        <f t="shared" si="158"/>
        <v>0</v>
      </c>
      <c r="K293" s="1771">
        <f t="shared" si="158"/>
        <v>0</v>
      </c>
      <c r="L293" s="1771">
        <f t="shared" si="158"/>
        <v>0</v>
      </c>
      <c r="M293" s="2289">
        <f t="shared" si="158"/>
        <v>0</v>
      </c>
      <c r="N293" s="2289">
        <f t="shared" si="158"/>
        <v>0</v>
      </c>
      <c r="O293" s="1771">
        <f t="shared" si="158"/>
        <v>0</v>
      </c>
      <c r="P293" s="1771">
        <f>+P294+P295</f>
        <v>0</v>
      </c>
      <c r="Q293" s="1771">
        <f>+Q294+Q295</f>
        <v>2836000</v>
      </c>
      <c r="R293" s="1771">
        <f>+R294+R295</f>
        <v>0</v>
      </c>
      <c r="S293" s="1771"/>
      <c r="T293" s="1771"/>
      <c r="U293" s="1771"/>
      <c r="V293" s="1771"/>
      <c r="W293" s="1771"/>
      <c r="X293" s="1280">
        <f>X294</f>
        <v>2836000</v>
      </c>
      <c r="Y293" s="3598"/>
      <c r="Z293" s="864"/>
    </row>
    <row r="294" spans="1:26">
      <c r="A294" s="3601"/>
      <c r="B294" s="2299" t="s">
        <v>23</v>
      </c>
      <c r="C294" s="3625"/>
      <c r="D294" s="2192">
        <f>M294+P294+Q294+R294+S294+T294+U294+V294+W294</f>
        <v>2836000</v>
      </c>
      <c r="E294" s="1710"/>
      <c r="F294" s="1709">
        <v>0</v>
      </c>
      <c r="G294" s="1710">
        <v>0</v>
      </c>
      <c r="H294" s="1713">
        <v>0</v>
      </c>
      <c r="I294" s="1713"/>
      <c r="J294" s="1713"/>
      <c r="K294" s="1710"/>
      <c r="L294" s="1713"/>
      <c r="M294" s="1387">
        <f>+E294+I294+J294+K294+L294+N294+O294</f>
        <v>0</v>
      </c>
      <c r="N294" s="1731">
        <v>0</v>
      </c>
      <c r="O294" s="2273">
        <f>6000-6000</f>
        <v>0</v>
      </c>
      <c r="P294" s="2273">
        <f>15000-15000</f>
        <v>0</v>
      </c>
      <c r="Q294" s="2273">
        <f>2821000+15000</f>
        <v>2836000</v>
      </c>
      <c r="R294" s="2273">
        <v>0</v>
      </c>
      <c r="S294" s="2273"/>
      <c r="T294" s="2273"/>
      <c r="U294" s="2273"/>
      <c r="V294" s="2273"/>
      <c r="W294" s="2273"/>
      <c r="X294" s="2285">
        <f>SUM(Q294:W294)</f>
        <v>2836000</v>
      </c>
      <c r="Y294" s="3598"/>
      <c r="Z294" s="864"/>
    </row>
    <row r="295" spans="1:26" ht="10.5" hidden="1" customHeight="1">
      <c r="A295" s="3601"/>
      <c r="B295" s="708" t="s">
        <v>26</v>
      </c>
      <c r="C295" s="3625"/>
      <c r="D295" s="2234">
        <f>SUM(M295:T295)</f>
        <v>0</v>
      </c>
      <c r="E295" s="1710">
        <v>0</v>
      </c>
      <c r="F295" s="2300">
        <v>0</v>
      </c>
      <c r="G295" s="2300">
        <v>0</v>
      </c>
      <c r="H295" s="2301">
        <v>0</v>
      </c>
      <c r="I295" s="2301"/>
      <c r="J295" s="2301"/>
      <c r="K295" s="2300">
        <v>0</v>
      </c>
      <c r="L295" s="2300">
        <v>0</v>
      </c>
      <c r="M295" s="2302">
        <v>0</v>
      </c>
      <c r="N295" s="2302">
        <v>0</v>
      </c>
      <c r="O295" s="2300">
        <v>0</v>
      </c>
      <c r="P295" s="2300">
        <v>0</v>
      </c>
      <c r="Q295" s="2300"/>
      <c r="R295" s="2300"/>
      <c r="S295" s="2300"/>
      <c r="T295" s="2300"/>
      <c r="U295" s="268"/>
      <c r="V295" s="268"/>
      <c r="W295" s="268"/>
      <c r="X295" s="85"/>
      <c r="Y295" s="3598"/>
    </row>
    <row r="296" spans="1:26" ht="12.75" customHeight="1">
      <c r="A296" s="3601"/>
      <c r="B296" s="2291" t="s">
        <v>29</v>
      </c>
      <c r="C296" s="3625"/>
      <c r="D296" s="1284">
        <f>+D297</f>
        <v>15164000</v>
      </c>
      <c r="E296" s="2268">
        <f>+E297</f>
        <v>0</v>
      </c>
      <c r="F296" s="2268">
        <f t="shared" ref="F296:R296" si="159">+F297</f>
        <v>0</v>
      </c>
      <c r="G296" s="2268">
        <f t="shared" si="159"/>
        <v>0</v>
      </c>
      <c r="H296" s="2268">
        <f t="shared" si="159"/>
        <v>0</v>
      </c>
      <c r="I296" s="2268">
        <f t="shared" si="159"/>
        <v>0</v>
      </c>
      <c r="J296" s="2268">
        <f t="shared" si="159"/>
        <v>0</v>
      </c>
      <c r="K296" s="2268">
        <f t="shared" si="159"/>
        <v>0</v>
      </c>
      <c r="L296" s="2268">
        <f t="shared" si="159"/>
        <v>0</v>
      </c>
      <c r="M296" s="2303">
        <f t="shared" si="159"/>
        <v>0</v>
      </c>
      <c r="N296" s="2303">
        <f t="shared" si="159"/>
        <v>0</v>
      </c>
      <c r="O296" s="2268">
        <f t="shared" si="159"/>
        <v>0</v>
      </c>
      <c r="P296" s="2268">
        <f t="shared" si="159"/>
        <v>0</v>
      </c>
      <c r="Q296" s="2268">
        <f t="shared" si="159"/>
        <v>15164000</v>
      </c>
      <c r="R296" s="2268">
        <f t="shared" si="159"/>
        <v>0</v>
      </c>
      <c r="S296" s="2268"/>
      <c r="T296" s="2268"/>
      <c r="U296" s="1284"/>
      <c r="V296" s="1284"/>
      <c r="W296" s="1284"/>
      <c r="X296" s="1280">
        <f>X297</f>
        <v>15164000</v>
      </c>
      <c r="Y296" s="3598"/>
    </row>
    <row r="297" spans="1:26">
      <c r="A297" s="3601"/>
      <c r="B297" s="2299" t="s">
        <v>32</v>
      </c>
      <c r="C297" s="3628"/>
      <c r="D297" s="2192">
        <f>M297+P297+Q297+R297+S297+T297+U297+V297+W297</f>
        <v>15164000</v>
      </c>
      <c r="E297" s="1710"/>
      <c r="F297" s="1709">
        <v>0</v>
      </c>
      <c r="G297" s="1710">
        <v>0</v>
      </c>
      <c r="H297" s="1713">
        <v>0</v>
      </c>
      <c r="I297" s="1713"/>
      <c r="J297" s="1713"/>
      <c r="K297" s="1710">
        <v>0</v>
      </c>
      <c r="L297" s="1710">
        <v>0</v>
      </c>
      <c r="M297" s="1387">
        <f>+E297+I297+J297+K297+L297+N297+O297</f>
        <v>0</v>
      </c>
      <c r="N297" s="1731">
        <v>0</v>
      </c>
      <c r="O297" s="2273">
        <f>34000-34000</f>
        <v>0</v>
      </c>
      <c r="P297" s="2273">
        <f>85000-85000</f>
        <v>0</v>
      </c>
      <c r="Q297" s="2273">
        <f>15079000+85000</f>
        <v>15164000</v>
      </c>
      <c r="R297" s="2273">
        <v>0</v>
      </c>
      <c r="S297" s="1710"/>
      <c r="T297" s="1710"/>
      <c r="U297" s="1709"/>
      <c r="V297" s="1709"/>
      <c r="W297" s="1709"/>
      <c r="X297" s="2285">
        <f>SUM(Q297:W297)</f>
        <v>15164000</v>
      </c>
      <c r="Y297" s="3599"/>
    </row>
    <row r="298" spans="1:26" ht="13.5" customHeight="1">
      <c r="A298" s="3637"/>
      <c r="B298" s="119" t="s">
        <v>33</v>
      </c>
      <c r="C298" s="116"/>
      <c r="D298" s="134">
        <f t="shared" ref="D298:O298" si="160">+D299+D301</f>
        <v>15164000</v>
      </c>
      <c r="E298" s="302">
        <f t="shared" si="160"/>
        <v>0</v>
      </c>
      <c r="F298" s="302">
        <f t="shared" si="160"/>
        <v>0</v>
      </c>
      <c r="G298" s="302">
        <f t="shared" si="160"/>
        <v>0</v>
      </c>
      <c r="H298" s="302">
        <f t="shared" si="160"/>
        <v>0</v>
      </c>
      <c r="I298" s="302">
        <f t="shared" si="160"/>
        <v>0</v>
      </c>
      <c r="J298" s="302">
        <f t="shared" si="160"/>
        <v>0</v>
      </c>
      <c r="K298" s="302">
        <f t="shared" si="160"/>
        <v>0</v>
      </c>
      <c r="L298" s="302">
        <f t="shared" si="160"/>
        <v>0</v>
      </c>
      <c r="M298" s="305">
        <f t="shared" si="160"/>
        <v>0</v>
      </c>
      <c r="N298" s="305">
        <f t="shared" si="160"/>
        <v>0</v>
      </c>
      <c r="O298" s="305">
        <f t="shared" si="160"/>
        <v>0</v>
      </c>
      <c r="P298" s="302">
        <f>+P299+P301</f>
        <v>0</v>
      </c>
      <c r="Q298" s="302">
        <f>+Q299+Q301</f>
        <v>14164000</v>
      </c>
      <c r="R298" s="302">
        <f>+R299+R301</f>
        <v>1000000</v>
      </c>
      <c r="S298" s="302"/>
      <c r="T298" s="302"/>
      <c r="U298" s="302"/>
      <c r="V298" s="302"/>
      <c r="W298" s="302"/>
      <c r="X298" s="3634" t="s">
        <v>34</v>
      </c>
      <c r="Y298" s="3723" t="s">
        <v>118</v>
      </c>
    </row>
    <row r="299" spans="1:26" ht="13.5" hidden="1" customHeight="1">
      <c r="A299" s="3637"/>
      <c r="B299" s="2293" t="s">
        <v>35</v>
      </c>
      <c r="C299" s="3724" t="s">
        <v>292</v>
      </c>
      <c r="D299" s="65">
        <f>+D300</f>
        <v>0</v>
      </c>
      <c r="E299" s="65">
        <f t="shared" ref="E299:P299" si="161">+E300</f>
        <v>0</v>
      </c>
      <c r="F299" s="65">
        <f t="shared" si="161"/>
        <v>0</v>
      </c>
      <c r="G299" s="65">
        <f t="shared" si="161"/>
        <v>0</v>
      </c>
      <c r="H299" s="65">
        <f t="shared" si="161"/>
        <v>0</v>
      </c>
      <c r="I299" s="65">
        <f t="shared" si="161"/>
        <v>0</v>
      </c>
      <c r="J299" s="65">
        <f t="shared" si="161"/>
        <v>0</v>
      </c>
      <c r="K299" s="65">
        <f t="shared" si="161"/>
        <v>0</v>
      </c>
      <c r="L299" s="65">
        <f t="shared" si="161"/>
        <v>0</v>
      </c>
      <c r="M299" s="357">
        <f t="shared" si="161"/>
        <v>0</v>
      </c>
      <c r="N299" s="357">
        <f t="shared" si="161"/>
        <v>0</v>
      </c>
      <c r="O299" s="357">
        <f t="shared" si="161"/>
        <v>0</v>
      </c>
      <c r="P299" s="65">
        <f t="shared" si="161"/>
        <v>0</v>
      </c>
      <c r="Q299" s="65"/>
      <c r="R299" s="65"/>
      <c r="S299" s="65"/>
      <c r="T299" s="65"/>
      <c r="U299" s="65"/>
      <c r="V299" s="65"/>
      <c r="W299" s="65"/>
      <c r="X299" s="3635"/>
      <c r="Y299" s="3630"/>
    </row>
    <row r="300" spans="1:26" ht="13.5" hidden="1" customHeight="1">
      <c r="A300" s="3637"/>
      <c r="B300" s="118" t="s">
        <v>26</v>
      </c>
      <c r="C300" s="3725"/>
      <c r="D300" s="2234">
        <f>SUM(M300:T300)</f>
        <v>0</v>
      </c>
      <c r="E300" s="2266">
        <f>+F300+G300+H300</f>
        <v>0</v>
      </c>
      <c r="F300" s="2266">
        <v>0</v>
      </c>
      <c r="G300" s="2266">
        <v>0</v>
      </c>
      <c r="H300" s="2266">
        <v>0</v>
      </c>
      <c r="I300" s="2266"/>
      <c r="J300" s="2266"/>
      <c r="K300" s="2266">
        <v>0</v>
      </c>
      <c r="L300" s="2266">
        <v>0</v>
      </c>
      <c r="M300" s="2304">
        <v>0</v>
      </c>
      <c r="N300" s="2304">
        <v>0</v>
      </c>
      <c r="O300" s="2304">
        <v>0</v>
      </c>
      <c r="P300" s="2266">
        <v>0</v>
      </c>
      <c r="Q300" s="2266"/>
      <c r="R300" s="2266"/>
      <c r="S300" s="2266"/>
      <c r="T300" s="2266"/>
      <c r="U300" s="2266"/>
      <c r="V300" s="2266"/>
      <c r="W300" s="2266"/>
      <c r="X300" s="3635"/>
      <c r="Y300" s="3630"/>
    </row>
    <row r="301" spans="1:26" ht="12" customHeight="1">
      <c r="A301" s="3637"/>
      <c r="B301" s="2305" t="s">
        <v>29</v>
      </c>
      <c r="C301" s="3725"/>
      <c r="D301" s="1284">
        <f t="shared" ref="D301:R301" si="162">+D302</f>
        <v>15164000</v>
      </c>
      <c r="E301" s="2268">
        <f t="shared" si="162"/>
        <v>0</v>
      </c>
      <c r="F301" s="2268">
        <f t="shared" si="162"/>
        <v>0</v>
      </c>
      <c r="G301" s="2268">
        <f t="shared" si="162"/>
        <v>0</v>
      </c>
      <c r="H301" s="2268">
        <f t="shared" si="162"/>
        <v>0</v>
      </c>
      <c r="I301" s="2268">
        <f t="shared" si="162"/>
        <v>0</v>
      </c>
      <c r="J301" s="2268">
        <f t="shared" si="162"/>
        <v>0</v>
      </c>
      <c r="K301" s="2268">
        <f t="shared" si="162"/>
        <v>0</v>
      </c>
      <c r="L301" s="2268">
        <f t="shared" si="162"/>
        <v>0</v>
      </c>
      <c r="M301" s="2303">
        <f t="shared" si="162"/>
        <v>0</v>
      </c>
      <c r="N301" s="2303">
        <f t="shared" si="162"/>
        <v>0</v>
      </c>
      <c r="O301" s="2303">
        <f t="shared" si="162"/>
        <v>0</v>
      </c>
      <c r="P301" s="2268">
        <f t="shared" si="162"/>
        <v>0</v>
      </c>
      <c r="Q301" s="2268">
        <f t="shared" si="162"/>
        <v>14164000</v>
      </c>
      <c r="R301" s="2268">
        <f t="shared" si="162"/>
        <v>1000000</v>
      </c>
      <c r="S301" s="2268"/>
      <c r="T301" s="2268"/>
      <c r="U301" s="2268"/>
      <c r="V301" s="2268"/>
      <c r="W301" s="2268"/>
      <c r="X301" s="3635"/>
      <c r="Y301" s="3630"/>
    </row>
    <row r="302" spans="1:26" ht="13.5" customHeight="1" thickBot="1">
      <c r="A302" s="3638"/>
      <c r="B302" s="2294" t="s">
        <v>32</v>
      </c>
      <c r="C302" s="3726"/>
      <c r="D302" s="2214">
        <f>M302+P302+Q302+R302+S302+T302+U302+V302+W302</f>
        <v>15164000</v>
      </c>
      <c r="E302" s="963">
        <f>+F302+G302+H302</f>
        <v>0</v>
      </c>
      <c r="F302" s="1088">
        <v>0</v>
      </c>
      <c r="G302" s="963">
        <v>0</v>
      </c>
      <c r="H302" s="963">
        <v>0</v>
      </c>
      <c r="I302" s="963"/>
      <c r="J302" s="963"/>
      <c r="K302" s="963">
        <v>0</v>
      </c>
      <c r="L302" s="963">
        <v>0</v>
      </c>
      <c r="M302" s="1404">
        <f>+E302+I302+J302+K302+L302+N302+O302</f>
        <v>0</v>
      </c>
      <c r="N302" s="2306">
        <v>0</v>
      </c>
      <c r="O302" s="2306">
        <v>0</v>
      </c>
      <c r="P302" s="963">
        <v>0</v>
      </c>
      <c r="Q302" s="963">
        <v>14164000</v>
      </c>
      <c r="R302" s="963">
        <v>1000000</v>
      </c>
      <c r="S302" s="963"/>
      <c r="T302" s="963"/>
      <c r="U302" s="963"/>
      <c r="V302" s="963"/>
      <c r="W302" s="963"/>
      <c r="X302" s="3636"/>
      <c r="Y302" s="3631"/>
    </row>
    <row r="303" spans="1:26" ht="24">
      <c r="A303" s="3600" t="s">
        <v>107</v>
      </c>
      <c r="B303" s="91" t="s">
        <v>518</v>
      </c>
      <c r="C303" s="73" t="s">
        <v>95</v>
      </c>
      <c r="D303" s="74"/>
      <c r="E303" s="76"/>
      <c r="F303" s="75"/>
      <c r="G303" s="76"/>
      <c r="H303" s="76"/>
      <c r="I303" s="50"/>
      <c r="J303" s="50"/>
      <c r="K303" s="50"/>
      <c r="L303" s="50"/>
      <c r="M303" s="52"/>
      <c r="N303" s="52"/>
      <c r="O303" s="52"/>
      <c r="P303" s="52"/>
      <c r="Q303" s="52"/>
      <c r="R303" s="52"/>
      <c r="S303" s="52"/>
      <c r="T303" s="52"/>
      <c r="U303" s="52"/>
      <c r="V303" s="52"/>
      <c r="W303" s="52"/>
      <c r="X303" s="53"/>
      <c r="Y303" s="115"/>
      <c r="Z303" s="301" t="s">
        <v>405</v>
      </c>
    </row>
    <row r="304" spans="1:26" ht="13.5" customHeight="1">
      <c r="A304" s="3601"/>
      <c r="B304" s="25" t="s">
        <v>21</v>
      </c>
      <c r="C304" s="26"/>
      <c r="D304" s="78">
        <f>+D305+D308</f>
        <v>63000000</v>
      </c>
      <c r="E304" s="78">
        <f>+E305+E308</f>
        <v>0</v>
      </c>
      <c r="F304" s="79">
        <f t="shared" ref="F304:O304" si="163">+F305+F308</f>
        <v>0</v>
      </c>
      <c r="G304" s="79">
        <f t="shared" si="163"/>
        <v>0</v>
      </c>
      <c r="H304" s="79">
        <f t="shared" si="163"/>
        <v>0</v>
      </c>
      <c r="I304" s="79">
        <f t="shared" si="163"/>
        <v>0</v>
      </c>
      <c r="J304" s="79">
        <f t="shared" si="163"/>
        <v>0</v>
      </c>
      <c r="K304" s="79">
        <f t="shared" si="163"/>
        <v>0</v>
      </c>
      <c r="L304" s="79">
        <f t="shared" si="163"/>
        <v>0</v>
      </c>
      <c r="M304" s="386">
        <f t="shared" si="163"/>
        <v>0</v>
      </c>
      <c r="N304" s="386">
        <f t="shared" si="163"/>
        <v>0</v>
      </c>
      <c r="O304" s="79">
        <f t="shared" si="163"/>
        <v>0</v>
      </c>
      <c r="P304" s="79">
        <f>+P305+P308</f>
        <v>0</v>
      </c>
      <c r="Q304" s="79">
        <f>+Q305+Q308</f>
        <v>45100000</v>
      </c>
      <c r="R304" s="79">
        <f>+R305+R308</f>
        <v>17900000</v>
      </c>
      <c r="S304" s="79"/>
      <c r="T304" s="79"/>
      <c r="U304" s="79"/>
      <c r="V304" s="79"/>
      <c r="W304" s="79"/>
      <c r="X304" s="80">
        <f>X305+X308</f>
        <v>63000000</v>
      </c>
      <c r="Y304" s="3598" t="s">
        <v>101</v>
      </c>
      <c r="Z304" s="864"/>
    </row>
    <row r="305" spans="1:26" ht="13.5" customHeight="1">
      <c r="A305" s="3601"/>
      <c r="B305" s="217" t="s">
        <v>35</v>
      </c>
      <c r="C305" s="3624" t="s">
        <v>98</v>
      </c>
      <c r="D305" s="81">
        <f>+D306+D307</f>
        <v>10980000</v>
      </c>
      <c r="E305" s="81">
        <f>+E306+E307</f>
        <v>0</v>
      </c>
      <c r="F305" s="81">
        <f t="shared" ref="F305:O305" si="164">+F306+F307</f>
        <v>0</v>
      </c>
      <c r="G305" s="81">
        <f t="shared" si="164"/>
        <v>0</v>
      </c>
      <c r="H305" s="81">
        <f t="shared" si="164"/>
        <v>0</v>
      </c>
      <c r="I305" s="81">
        <f t="shared" si="164"/>
        <v>0</v>
      </c>
      <c r="J305" s="81">
        <f t="shared" si="164"/>
        <v>0</v>
      </c>
      <c r="K305" s="81">
        <f t="shared" si="164"/>
        <v>0</v>
      </c>
      <c r="L305" s="81">
        <f t="shared" si="164"/>
        <v>0</v>
      </c>
      <c r="M305" s="384">
        <f t="shared" si="164"/>
        <v>0</v>
      </c>
      <c r="N305" s="384">
        <f t="shared" si="164"/>
        <v>0</v>
      </c>
      <c r="O305" s="81">
        <f t="shared" si="164"/>
        <v>0</v>
      </c>
      <c r="P305" s="81">
        <f>+P306+P307</f>
        <v>0</v>
      </c>
      <c r="Q305" s="81">
        <f>+Q306+Q307</f>
        <v>6765000</v>
      </c>
      <c r="R305" s="81">
        <f>+R306+R307</f>
        <v>4215000</v>
      </c>
      <c r="S305" s="81"/>
      <c r="T305" s="81"/>
      <c r="U305" s="81"/>
      <c r="V305" s="81"/>
      <c r="W305" s="81"/>
      <c r="X305" s="99">
        <f>X306</f>
        <v>10980000</v>
      </c>
      <c r="Y305" s="3598"/>
      <c r="Z305" s="864"/>
    </row>
    <row r="306" spans="1:26">
      <c r="A306" s="3601"/>
      <c r="B306" s="727" t="s">
        <v>23</v>
      </c>
      <c r="C306" s="3625"/>
      <c r="D306" s="2192">
        <f>M306+P306+Q306+R306+S306+T306+U306+V306+W306</f>
        <v>10980000</v>
      </c>
      <c r="E306" s="59"/>
      <c r="F306" s="60">
        <v>0</v>
      </c>
      <c r="G306" s="59">
        <v>0</v>
      </c>
      <c r="H306" s="92">
        <v>0</v>
      </c>
      <c r="I306" s="92"/>
      <c r="J306" s="92"/>
      <c r="K306" s="59"/>
      <c r="L306" s="92"/>
      <c r="M306" s="2097">
        <f>+E306+I306+J306+K306+L306+N306</f>
        <v>0</v>
      </c>
      <c r="N306" s="304">
        <v>0</v>
      </c>
      <c r="O306" s="387">
        <f>6000-6000</f>
        <v>0</v>
      </c>
      <c r="P306" s="387">
        <f>15000-15000</f>
        <v>0</v>
      </c>
      <c r="Q306" s="387">
        <f>6750000+15000</f>
        <v>6765000</v>
      </c>
      <c r="R306" s="387">
        <v>4215000</v>
      </c>
      <c r="S306" s="387"/>
      <c r="T306" s="387"/>
      <c r="U306" s="387"/>
      <c r="V306" s="387"/>
      <c r="W306" s="387"/>
      <c r="X306" s="44">
        <f>SUM(Q306:W306)</f>
        <v>10980000</v>
      </c>
      <c r="Y306" s="3598"/>
      <c r="Z306" s="864" t="s">
        <v>417</v>
      </c>
    </row>
    <row r="307" spans="1:26" ht="10.5" hidden="1" customHeight="1">
      <c r="A307" s="3601"/>
      <c r="B307" s="708" t="s">
        <v>26</v>
      </c>
      <c r="C307" s="3625"/>
      <c r="D307" s="325">
        <f>SUM(M307:T307)</f>
        <v>0</v>
      </c>
      <c r="E307" s="59">
        <v>0</v>
      </c>
      <c r="F307" s="57">
        <v>0</v>
      </c>
      <c r="G307" s="57">
        <v>0</v>
      </c>
      <c r="H307" s="86">
        <v>0</v>
      </c>
      <c r="I307" s="86"/>
      <c r="J307" s="86"/>
      <c r="K307" s="57">
        <v>0</v>
      </c>
      <c r="L307" s="57">
        <v>0</v>
      </c>
      <c r="M307" s="356">
        <v>0</v>
      </c>
      <c r="N307" s="356">
        <v>0</v>
      </c>
      <c r="O307" s="57">
        <v>0</v>
      </c>
      <c r="P307" s="57">
        <v>0</v>
      </c>
      <c r="Q307" s="57"/>
      <c r="R307" s="57"/>
      <c r="S307" s="57"/>
      <c r="T307" s="57"/>
      <c r="U307" s="268"/>
      <c r="V307" s="268"/>
      <c r="W307" s="268"/>
      <c r="X307" s="85"/>
      <c r="Y307" s="3598"/>
    </row>
    <row r="308" spans="1:26" ht="12.75" customHeight="1">
      <c r="A308" s="3601"/>
      <c r="B308" s="885" t="s">
        <v>29</v>
      </c>
      <c r="C308" s="3625"/>
      <c r="D308" s="61">
        <f>+D309</f>
        <v>52020000</v>
      </c>
      <c r="E308" s="62">
        <f>+E309</f>
        <v>0</v>
      </c>
      <c r="F308" s="62">
        <f t="shared" ref="F308:R308" si="165">+F309</f>
        <v>0</v>
      </c>
      <c r="G308" s="62">
        <f t="shared" si="165"/>
        <v>0</v>
      </c>
      <c r="H308" s="62">
        <f t="shared" si="165"/>
        <v>0</v>
      </c>
      <c r="I308" s="62">
        <f t="shared" si="165"/>
        <v>0</v>
      </c>
      <c r="J308" s="62">
        <f t="shared" si="165"/>
        <v>0</v>
      </c>
      <c r="K308" s="62">
        <f t="shared" si="165"/>
        <v>0</v>
      </c>
      <c r="L308" s="62">
        <f t="shared" si="165"/>
        <v>0</v>
      </c>
      <c r="M308" s="388">
        <f t="shared" si="165"/>
        <v>0</v>
      </c>
      <c r="N308" s="388">
        <f t="shared" si="165"/>
        <v>0</v>
      </c>
      <c r="O308" s="62">
        <f t="shared" si="165"/>
        <v>0</v>
      </c>
      <c r="P308" s="62">
        <f t="shared" si="165"/>
        <v>0</v>
      </c>
      <c r="Q308" s="62">
        <f t="shared" si="165"/>
        <v>38335000</v>
      </c>
      <c r="R308" s="62">
        <f t="shared" si="165"/>
        <v>13685000</v>
      </c>
      <c r="S308" s="62"/>
      <c r="T308" s="62"/>
      <c r="U308" s="61"/>
      <c r="V308" s="61"/>
      <c r="W308" s="61"/>
      <c r="X308" s="99">
        <f>X309</f>
        <v>52020000</v>
      </c>
      <c r="Y308" s="3598"/>
    </row>
    <row r="309" spans="1:26">
      <c r="A309" s="3601"/>
      <c r="B309" s="727" t="s">
        <v>32</v>
      </c>
      <c r="C309" s="3628"/>
      <c r="D309" s="2192">
        <f>M309+P309+Q309+R309+S309+T309+U309+V309+W309</f>
        <v>52020000</v>
      </c>
      <c r="E309" s="59"/>
      <c r="F309" s="60">
        <v>0</v>
      </c>
      <c r="G309" s="59">
        <v>0</v>
      </c>
      <c r="H309" s="92">
        <v>0</v>
      </c>
      <c r="I309" s="92"/>
      <c r="J309" s="92"/>
      <c r="K309" s="59">
        <v>0</v>
      </c>
      <c r="L309" s="59">
        <v>0</v>
      </c>
      <c r="M309" s="2097">
        <f>+E309+I309+J309+K309+L309+N309</f>
        <v>0</v>
      </c>
      <c r="N309" s="304">
        <v>0</v>
      </c>
      <c r="O309" s="387">
        <f>34000-34000</f>
        <v>0</v>
      </c>
      <c r="P309" s="387">
        <f>85000-85000</f>
        <v>0</v>
      </c>
      <c r="Q309" s="387">
        <f>38250000+85000</f>
        <v>38335000</v>
      </c>
      <c r="R309" s="387">
        <v>13685000</v>
      </c>
      <c r="S309" s="59"/>
      <c r="T309" s="59"/>
      <c r="U309" s="60"/>
      <c r="V309" s="60"/>
      <c r="W309" s="60"/>
      <c r="X309" s="44">
        <f>SUM(Q309:W309)</f>
        <v>52020000</v>
      </c>
      <c r="Y309" s="3599"/>
    </row>
    <row r="310" spans="1:26" ht="13.5" customHeight="1">
      <c r="A310" s="3637"/>
      <c r="B310" s="119" t="s">
        <v>33</v>
      </c>
      <c r="C310" s="116"/>
      <c r="D310" s="134">
        <f t="shared" ref="D310:O310" si="166">+D311+D313</f>
        <v>52020000</v>
      </c>
      <c r="E310" s="302">
        <f t="shared" si="166"/>
        <v>0</v>
      </c>
      <c r="F310" s="302">
        <f t="shared" si="166"/>
        <v>0</v>
      </c>
      <c r="G310" s="302">
        <f t="shared" si="166"/>
        <v>0</v>
      </c>
      <c r="H310" s="302">
        <f t="shared" si="166"/>
        <v>0</v>
      </c>
      <c r="I310" s="302">
        <f t="shared" si="166"/>
        <v>0</v>
      </c>
      <c r="J310" s="302">
        <f t="shared" si="166"/>
        <v>0</v>
      </c>
      <c r="K310" s="302">
        <f t="shared" si="166"/>
        <v>0</v>
      </c>
      <c r="L310" s="302">
        <f t="shared" si="166"/>
        <v>0</v>
      </c>
      <c r="M310" s="305">
        <f t="shared" si="166"/>
        <v>0</v>
      </c>
      <c r="N310" s="305">
        <f t="shared" si="166"/>
        <v>0</v>
      </c>
      <c r="O310" s="305">
        <f t="shared" si="166"/>
        <v>0</v>
      </c>
      <c r="P310" s="302">
        <f>+P311+P313</f>
        <v>0</v>
      </c>
      <c r="Q310" s="302">
        <f>+Q311+Q313</f>
        <v>38335000</v>
      </c>
      <c r="R310" s="302">
        <f>+R311+R313</f>
        <v>13685000</v>
      </c>
      <c r="S310" s="302"/>
      <c r="T310" s="302"/>
      <c r="U310" s="302"/>
      <c r="V310" s="302"/>
      <c r="W310" s="302"/>
      <c r="X310" s="3667" t="s">
        <v>34</v>
      </c>
      <c r="Y310" s="3727" t="s">
        <v>118</v>
      </c>
    </row>
    <row r="311" spans="1:26" ht="13.5" hidden="1" customHeight="1">
      <c r="A311" s="3637"/>
      <c r="B311" s="1269" t="s">
        <v>35</v>
      </c>
      <c r="C311" s="3728" t="s">
        <v>292</v>
      </c>
      <c r="D311" s="65">
        <f>+D312</f>
        <v>0</v>
      </c>
      <c r="E311" s="65">
        <f t="shared" ref="E311:P311" si="167">+E312</f>
        <v>0</v>
      </c>
      <c r="F311" s="65">
        <f t="shared" si="167"/>
        <v>0</v>
      </c>
      <c r="G311" s="65">
        <f t="shared" si="167"/>
        <v>0</v>
      </c>
      <c r="H311" s="65">
        <f t="shared" si="167"/>
        <v>0</v>
      </c>
      <c r="I311" s="65">
        <f t="shared" si="167"/>
        <v>0</v>
      </c>
      <c r="J311" s="65">
        <f t="shared" si="167"/>
        <v>0</v>
      </c>
      <c r="K311" s="65">
        <f t="shared" si="167"/>
        <v>0</v>
      </c>
      <c r="L311" s="65">
        <f t="shared" si="167"/>
        <v>0</v>
      </c>
      <c r="M311" s="357">
        <f t="shared" si="167"/>
        <v>0</v>
      </c>
      <c r="N311" s="357">
        <f t="shared" si="167"/>
        <v>0</v>
      </c>
      <c r="O311" s="357">
        <f t="shared" si="167"/>
        <v>0</v>
      </c>
      <c r="P311" s="65">
        <f t="shared" si="167"/>
        <v>0</v>
      </c>
      <c r="Q311" s="65"/>
      <c r="R311" s="65"/>
      <c r="S311" s="65"/>
      <c r="T311" s="65"/>
      <c r="U311" s="65"/>
      <c r="V311" s="65"/>
      <c r="W311" s="65"/>
      <c r="X311" s="3635"/>
      <c r="Y311" s="3630"/>
    </row>
    <row r="312" spans="1:26" ht="13.5" hidden="1" customHeight="1">
      <c r="A312" s="3637"/>
      <c r="B312" s="118" t="s">
        <v>26</v>
      </c>
      <c r="C312" s="3725"/>
      <c r="D312" s="325">
        <f>SUM(M312:T312)</f>
        <v>0</v>
      </c>
      <c r="E312" s="67">
        <f>+F312+G312+H312</f>
        <v>0</v>
      </c>
      <c r="F312" s="67">
        <v>0</v>
      </c>
      <c r="G312" s="67">
        <v>0</v>
      </c>
      <c r="H312" s="67">
        <v>0</v>
      </c>
      <c r="I312" s="67"/>
      <c r="J312" s="67"/>
      <c r="K312" s="67">
        <v>0</v>
      </c>
      <c r="L312" s="67">
        <v>0</v>
      </c>
      <c r="M312" s="358">
        <v>0</v>
      </c>
      <c r="N312" s="358">
        <v>0</v>
      </c>
      <c r="O312" s="358">
        <v>0</v>
      </c>
      <c r="P312" s="67">
        <v>0</v>
      </c>
      <c r="Q312" s="67"/>
      <c r="R312" s="67"/>
      <c r="S312" s="67"/>
      <c r="T312" s="67"/>
      <c r="U312" s="67"/>
      <c r="V312" s="67"/>
      <c r="W312" s="67"/>
      <c r="X312" s="3635"/>
      <c r="Y312" s="3630"/>
    </row>
    <row r="313" spans="1:26" ht="12" customHeight="1">
      <c r="A313" s="3637"/>
      <c r="B313" s="1910" t="s">
        <v>29</v>
      </c>
      <c r="C313" s="3725"/>
      <c r="D313" s="61">
        <f t="shared" ref="D313:R313" si="168">+D314</f>
        <v>52020000</v>
      </c>
      <c r="E313" s="62">
        <f t="shared" si="168"/>
        <v>0</v>
      </c>
      <c r="F313" s="62">
        <f t="shared" si="168"/>
        <v>0</v>
      </c>
      <c r="G313" s="62">
        <f t="shared" si="168"/>
        <v>0</v>
      </c>
      <c r="H313" s="62">
        <f t="shared" si="168"/>
        <v>0</v>
      </c>
      <c r="I313" s="62">
        <f t="shared" si="168"/>
        <v>0</v>
      </c>
      <c r="J313" s="62">
        <f t="shared" si="168"/>
        <v>0</v>
      </c>
      <c r="K313" s="62">
        <f t="shared" si="168"/>
        <v>0</v>
      </c>
      <c r="L313" s="62">
        <f t="shared" si="168"/>
        <v>0</v>
      </c>
      <c r="M313" s="388">
        <f t="shared" si="168"/>
        <v>0</v>
      </c>
      <c r="N313" s="388">
        <f t="shared" si="168"/>
        <v>0</v>
      </c>
      <c r="O313" s="388">
        <f t="shared" si="168"/>
        <v>0</v>
      </c>
      <c r="P313" s="62">
        <f t="shared" si="168"/>
        <v>0</v>
      </c>
      <c r="Q313" s="62">
        <f t="shared" si="168"/>
        <v>38335000</v>
      </c>
      <c r="R313" s="62">
        <f t="shared" si="168"/>
        <v>13685000</v>
      </c>
      <c r="S313" s="62"/>
      <c r="T313" s="62"/>
      <c r="U313" s="62"/>
      <c r="V313" s="62"/>
      <c r="W313" s="62"/>
      <c r="X313" s="3635"/>
      <c r="Y313" s="3630"/>
    </row>
    <row r="314" spans="1:26" ht="13.5" customHeight="1" thickBot="1">
      <c r="A314" s="3638"/>
      <c r="B314" s="88" t="s">
        <v>32</v>
      </c>
      <c r="C314" s="3726"/>
      <c r="D314" s="2192">
        <f>M314+P314+Q314+R314+S314+T314+U314+V314+W314</f>
        <v>52020000</v>
      </c>
      <c r="E314" s="89">
        <f>+F314+G314+H314</f>
        <v>0</v>
      </c>
      <c r="F314" s="90">
        <v>0</v>
      </c>
      <c r="G314" s="89">
        <v>0</v>
      </c>
      <c r="H314" s="89">
        <v>0</v>
      </c>
      <c r="I314" s="89"/>
      <c r="J314" s="89"/>
      <c r="K314" s="89">
        <v>0</v>
      </c>
      <c r="L314" s="89">
        <v>0</v>
      </c>
      <c r="M314" s="2097">
        <f>+E314+I314+J314+K314+L314+N314+O314</f>
        <v>0</v>
      </c>
      <c r="N314" s="389">
        <v>0</v>
      </c>
      <c r="O314" s="389">
        <v>0</v>
      </c>
      <c r="P314" s="89">
        <v>0</v>
      </c>
      <c r="Q314" s="89">
        <v>38335000</v>
      </c>
      <c r="R314" s="89">
        <v>13685000</v>
      </c>
      <c r="S314" s="89"/>
      <c r="T314" s="89"/>
      <c r="U314" s="89"/>
      <c r="V314" s="89"/>
      <c r="W314" s="89"/>
      <c r="X314" s="3636"/>
      <c r="Y314" s="3631"/>
    </row>
    <row r="315" spans="1:26" ht="39.75" customHeight="1">
      <c r="A315" s="3600" t="s">
        <v>108</v>
      </c>
      <c r="B315" s="91" t="s">
        <v>532</v>
      </c>
      <c r="C315" s="73" t="s">
        <v>95</v>
      </c>
      <c r="D315" s="74"/>
      <c r="E315" s="76"/>
      <c r="F315" s="75"/>
      <c r="G315" s="76"/>
      <c r="H315" s="76"/>
      <c r="I315" s="50"/>
      <c r="J315" s="50"/>
      <c r="K315" s="50"/>
      <c r="L315" s="50"/>
      <c r="M315" s="52"/>
      <c r="N315" s="52"/>
      <c r="O315" s="52"/>
      <c r="P315" s="52"/>
      <c r="Q315" s="52"/>
      <c r="R315" s="52"/>
      <c r="S315" s="52"/>
      <c r="T315" s="52"/>
      <c r="U315" s="52"/>
      <c r="V315" s="52"/>
      <c r="W315" s="52"/>
      <c r="X315" s="53"/>
      <c r="Y315" s="115"/>
      <c r="Z315" s="301" t="s">
        <v>405</v>
      </c>
    </row>
    <row r="316" spans="1:26" ht="13.5" customHeight="1">
      <c r="A316" s="3601"/>
      <c r="B316" s="1320" t="s">
        <v>21</v>
      </c>
      <c r="C316" s="1881"/>
      <c r="D316" s="2283">
        <f>+D317+D320</f>
        <v>3474722</v>
      </c>
      <c r="E316" s="2283">
        <f>+E317+E320</f>
        <v>0</v>
      </c>
      <c r="F316" s="1551">
        <f t="shared" ref="F316:O316" si="169">+F317+F320</f>
        <v>0</v>
      </c>
      <c r="G316" s="1551">
        <f t="shared" si="169"/>
        <v>0</v>
      </c>
      <c r="H316" s="1551">
        <f t="shared" si="169"/>
        <v>0</v>
      </c>
      <c r="I316" s="1551">
        <f t="shared" si="169"/>
        <v>0</v>
      </c>
      <c r="J316" s="1551">
        <f t="shared" si="169"/>
        <v>0</v>
      </c>
      <c r="K316" s="1551">
        <f t="shared" si="169"/>
        <v>0</v>
      </c>
      <c r="L316" s="1551">
        <f t="shared" si="169"/>
        <v>124722</v>
      </c>
      <c r="M316" s="1551">
        <f t="shared" si="169"/>
        <v>124722</v>
      </c>
      <c r="N316" s="2298">
        <f t="shared" si="169"/>
        <v>0</v>
      </c>
      <c r="O316" s="1551">
        <f t="shared" si="169"/>
        <v>0</v>
      </c>
      <c r="P316" s="1551">
        <f>+P317+P320</f>
        <v>61453</v>
      </c>
      <c r="Q316" s="1551">
        <f>+Q317+Q320</f>
        <v>3288547</v>
      </c>
      <c r="R316" s="1551">
        <f>+R317+R320</f>
        <v>0</v>
      </c>
      <c r="S316" s="1551"/>
      <c r="T316" s="1551"/>
      <c r="U316" s="1551"/>
      <c r="V316" s="1551"/>
      <c r="W316" s="1551"/>
      <c r="X316" s="2261">
        <f>X317+X320</f>
        <v>3288547</v>
      </c>
      <c r="Y316" s="3598" t="s">
        <v>101</v>
      </c>
      <c r="Z316" s="864"/>
    </row>
    <row r="317" spans="1:26" ht="13.5" customHeight="1">
      <c r="A317" s="3601"/>
      <c r="B317" s="1251" t="s">
        <v>35</v>
      </c>
      <c r="C317" s="3611" t="s">
        <v>98</v>
      </c>
      <c r="D317" s="1771">
        <f>+D318+D319</f>
        <v>754722</v>
      </c>
      <c r="E317" s="1771">
        <f>+E318+E319</f>
        <v>0</v>
      </c>
      <c r="F317" s="1771">
        <f t="shared" ref="F317:O317" si="170">+F318+F319</f>
        <v>0</v>
      </c>
      <c r="G317" s="1771">
        <f t="shared" si="170"/>
        <v>0</v>
      </c>
      <c r="H317" s="1771">
        <f t="shared" si="170"/>
        <v>0</v>
      </c>
      <c r="I317" s="1771">
        <f t="shared" si="170"/>
        <v>0</v>
      </c>
      <c r="J317" s="1771">
        <f t="shared" si="170"/>
        <v>0</v>
      </c>
      <c r="K317" s="1771">
        <f t="shared" si="170"/>
        <v>0</v>
      </c>
      <c r="L317" s="1771">
        <f t="shared" si="170"/>
        <v>124722</v>
      </c>
      <c r="M317" s="1771">
        <f t="shared" si="170"/>
        <v>124722</v>
      </c>
      <c r="N317" s="2289">
        <f t="shared" si="170"/>
        <v>0</v>
      </c>
      <c r="O317" s="1771">
        <f t="shared" si="170"/>
        <v>0</v>
      </c>
      <c r="P317" s="1771">
        <f>+P318+P319</f>
        <v>9218</v>
      </c>
      <c r="Q317" s="1771">
        <f>+Q318+Q319</f>
        <v>620782</v>
      </c>
      <c r="R317" s="1771">
        <f>+R318+R319</f>
        <v>0</v>
      </c>
      <c r="S317" s="1771"/>
      <c r="T317" s="1771"/>
      <c r="U317" s="1771"/>
      <c r="V317" s="1771"/>
      <c r="W317" s="1771"/>
      <c r="X317" s="1280">
        <f>X318</f>
        <v>620782</v>
      </c>
      <c r="Y317" s="3598"/>
      <c r="Z317" s="864"/>
    </row>
    <row r="318" spans="1:26" ht="11.25" customHeight="1">
      <c r="A318" s="3601"/>
      <c r="B318" s="2299" t="s">
        <v>23</v>
      </c>
      <c r="C318" s="3625"/>
      <c r="D318" s="2192">
        <f>M318+P318+Q318+R318+S318+T318+U318+V318+W318</f>
        <v>754722</v>
      </c>
      <c r="E318" s="1710"/>
      <c r="F318" s="1709">
        <v>0</v>
      </c>
      <c r="G318" s="1710">
        <v>0</v>
      </c>
      <c r="H318" s="1713">
        <v>0</v>
      </c>
      <c r="I318" s="1713"/>
      <c r="J318" s="1713"/>
      <c r="K318" s="1710"/>
      <c r="L318" s="1713">
        <v>124722</v>
      </c>
      <c r="M318" s="2273">
        <f>+E318+I318+J318+K318+L318+N318+O318</f>
        <v>124722</v>
      </c>
      <c r="N318" s="1731">
        <v>0</v>
      </c>
      <c r="O318" s="2273">
        <f>6000-6000</f>
        <v>0</v>
      </c>
      <c r="P318" s="2273">
        <f>45000-30000-5782</f>
        <v>9218</v>
      </c>
      <c r="Q318" s="2273">
        <f>630000+30000-39218</f>
        <v>620782</v>
      </c>
      <c r="R318" s="2273">
        <v>0</v>
      </c>
      <c r="S318" s="2273"/>
      <c r="T318" s="2273"/>
      <c r="U318" s="2273"/>
      <c r="V318" s="2273"/>
      <c r="W318" s="2273"/>
      <c r="X318" s="2285">
        <f>SUM(Q318:W318)</f>
        <v>620782</v>
      </c>
      <c r="Y318" s="3598"/>
      <c r="Z318" s="864"/>
    </row>
    <row r="319" spans="1:26" ht="10.5" hidden="1" customHeight="1">
      <c r="A319" s="3601"/>
      <c r="B319" s="708" t="s">
        <v>26</v>
      </c>
      <c r="C319" s="3625"/>
      <c r="D319" s="2234">
        <f>SUM(M319:T319)</f>
        <v>0</v>
      </c>
      <c r="E319" s="1710">
        <v>0</v>
      </c>
      <c r="F319" s="2300">
        <v>0</v>
      </c>
      <c r="G319" s="2300">
        <v>0</v>
      </c>
      <c r="H319" s="2301">
        <v>0</v>
      </c>
      <c r="I319" s="2301"/>
      <c r="J319" s="2301"/>
      <c r="K319" s="2300">
        <v>0</v>
      </c>
      <c r="L319" s="2300">
        <v>0</v>
      </c>
      <c r="M319" s="2302">
        <v>0</v>
      </c>
      <c r="N319" s="2302">
        <v>0</v>
      </c>
      <c r="O319" s="2300">
        <v>0</v>
      </c>
      <c r="P319" s="2300">
        <v>0</v>
      </c>
      <c r="Q319" s="2300"/>
      <c r="R319" s="2300"/>
      <c r="S319" s="2300"/>
      <c r="T319" s="2300"/>
      <c r="U319" s="268"/>
      <c r="V319" s="268"/>
      <c r="W319" s="268"/>
      <c r="X319" s="85"/>
      <c r="Y319" s="3598"/>
    </row>
    <row r="320" spans="1:26" ht="12.75" customHeight="1">
      <c r="A320" s="3601"/>
      <c r="B320" s="2291" t="s">
        <v>29</v>
      </c>
      <c r="C320" s="3625"/>
      <c r="D320" s="1284">
        <f>+D321</f>
        <v>2720000</v>
      </c>
      <c r="E320" s="2268">
        <f>+E321</f>
        <v>0</v>
      </c>
      <c r="F320" s="2268">
        <f t="shared" ref="F320:R320" si="171">+F321</f>
        <v>0</v>
      </c>
      <c r="G320" s="2268">
        <f t="shared" si="171"/>
        <v>0</v>
      </c>
      <c r="H320" s="2268">
        <f t="shared" si="171"/>
        <v>0</v>
      </c>
      <c r="I320" s="2268">
        <f t="shared" si="171"/>
        <v>0</v>
      </c>
      <c r="J320" s="2268">
        <f t="shared" si="171"/>
        <v>0</v>
      </c>
      <c r="K320" s="2268">
        <f t="shared" si="171"/>
        <v>0</v>
      </c>
      <c r="L320" s="2268">
        <f t="shared" si="171"/>
        <v>0</v>
      </c>
      <c r="M320" s="2303">
        <f t="shared" si="171"/>
        <v>0</v>
      </c>
      <c r="N320" s="2303">
        <f t="shared" si="171"/>
        <v>0</v>
      </c>
      <c r="O320" s="2268">
        <f t="shared" si="171"/>
        <v>0</v>
      </c>
      <c r="P320" s="2268">
        <f t="shared" si="171"/>
        <v>52235</v>
      </c>
      <c r="Q320" s="2268">
        <f t="shared" si="171"/>
        <v>2667765</v>
      </c>
      <c r="R320" s="2268">
        <f t="shared" si="171"/>
        <v>0</v>
      </c>
      <c r="S320" s="2268"/>
      <c r="T320" s="2268"/>
      <c r="U320" s="1284"/>
      <c r="V320" s="1284"/>
      <c r="W320" s="1284"/>
      <c r="X320" s="1280">
        <f>X321</f>
        <v>2667765</v>
      </c>
      <c r="Y320" s="3598"/>
    </row>
    <row r="321" spans="1:27" ht="12" customHeight="1">
      <c r="A321" s="3601"/>
      <c r="B321" s="2299" t="s">
        <v>32</v>
      </c>
      <c r="C321" s="3628"/>
      <c r="D321" s="2192">
        <f>M321+P321+Q321+R321+S321+T321+U321+V321+W321</f>
        <v>2720000</v>
      </c>
      <c r="E321" s="1710"/>
      <c r="F321" s="1709">
        <v>0</v>
      </c>
      <c r="G321" s="1710">
        <v>0</v>
      </c>
      <c r="H321" s="1713">
        <v>0</v>
      </c>
      <c r="I321" s="1713"/>
      <c r="J321" s="1713"/>
      <c r="K321" s="1710">
        <v>0</v>
      </c>
      <c r="L321" s="1710">
        <v>0</v>
      </c>
      <c r="M321" s="1387">
        <f>+E321+I321+J321+K321+L321+N321+O321</f>
        <v>0</v>
      </c>
      <c r="N321" s="1731">
        <v>0</v>
      </c>
      <c r="O321" s="2273">
        <f>34000-34000</f>
        <v>0</v>
      </c>
      <c r="P321" s="2273">
        <f>255000-170000-32765</f>
        <v>52235</v>
      </c>
      <c r="Q321" s="2273">
        <f>3570000+170000-1072235</f>
        <v>2667765</v>
      </c>
      <c r="R321" s="2273">
        <v>0</v>
      </c>
      <c r="S321" s="1710"/>
      <c r="T321" s="1710"/>
      <c r="U321" s="1709"/>
      <c r="V321" s="1709"/>
      <c r="W321" s="1709"/>
      <c r="X321" s="2285">
        <f>SUM(Q321:W321)</f>
        <v>2667765</v>
      </c>
      <c r="Y321" s="3599"/>
    </row>
    <row r="322" spans="1:27" ht="13.5" customHeight="1">
      <c r="A322" s="3637"/>
      <c r="B322" s="119" t="s">
        <v>33</v>
      </c>
      <c r="C322" s="116"/>
      <c r="D322" s="134">
        <f t="shared" ref="D322:O322" si="172">+D323+D325</f>
        <v>2720000</v>
      </c>
      <c r="E322" s="302">
        <f t="shared" si="172"/>
        <v>0</v>
      </c>
      <c r="F322" s="302">
        <f t="shared" si="172"/>
        <v>0</v>
      </c>
      <c r="G322" s="302">
        <f t="shared" si="172"/>
        <v>0</v>
      </c>
      <c r="H322" s="302">
        <f t="shared" si="172"/>
        <v>0</v>
      </c>
      <c r="I322" s="302">
        <f t="shared" si="172"/>
        <v>0</v>
      </c>
      <c r="J322" s="302">
        <f t="shared" si="172"/>
        <v>0</v>
      </c>
      <c r="K322" s="302">
        <f t="shared" si="172"/>
        <v>0</v>
      </c>
      <c r="L322" s="302">
        <f t="shared" si="172"/>
        <v>0</v>
      </c>
      <c r="M322" s="305">
        <f t="shared" si="172"/>
        <v>0</v>
      </c>
      <c r="N322" s="305">
        <f t="shared" si="172"/>
        <v>0</v>
      </c>
      <c r="O322" s="305">
        <f t="shared" si="172"/>
        <v>0</v>
      </c>
      <c r="P322" s="302">
        <f>+P323+P325</f>
        <v>0</v>
      </c>
      <c r="Q322" s="302">
        <f>+Q323+Q325</f>
        <v>2720000</v>
      </c>
      <c r="R322" s="302">
        <f>+R323+R325</f>
        <v>0</v>
      </c>
      <c r="S322" s="302"/>
      <c r="T322" s="302"/>
      <c r="U322" s="302"/>
      <c r="V322" s="302"/>
      <c r="W322" s="302"/>
      <c r="X322" s="3634" t="s">
        <v>34</v>
      </c>
      <c r="Y322" s="3723" t="s">
        <v>118</v>
      </c>
    </row>
    <row r="323" spans="1:27" ht="13.5" hidden="1" customHeight="1">
      <c r="A323" s="3637"/>
      <c r="B323" s="2293" t="s">
        <v>35</v>
      </c>
      <c r="C323" s="3724" t="s">
        <v>292</v>
      </c>
      <c r="D323" s="65">
        <f>+D324</f>
        <v>0</v>
      </c>
      <c r="E323" s="65">
        <f t="shared" ref="E323:P323" si="173">+E324</f>
        <v>0</v>
      </c>
      <c r="F323" s="65">
        <f t="shared" si="173"/>
        <v>0</v>
      </c>
      <c r="G323" s="65">
        <f t="shared" si="173"/>
        <v>0</v>
      </c>
      <c r="H323" s="65">
        <f t="shared" si="173"/>
        <v>0</v>
      </c>
      <c r="I323" s="65">
        <f t="shared" si="173"/>
        <v>0</v>
      </c>
      <c r="J323" s="65">
        <f t="shared" si="173"/>
        <v>0</v>
      </c>
      <c r="K323" s="65">
        <f t="shared" si="173"/>
        <v>0</v>
      </c>
      <c r="L323" s="65">
        <f t="shared" si="173"/>
        <v>0</v>
      </c>
      <c r="M323" s="357">
        <f t="shared" si="173"/>
        <v>0</v>
      </c>
      <c r="N323" s="357">
        <f t="shared" si="173"/>
        <v>0</v>
      </c>
      <c r="O323" s="357">
        <f t="shared" si="173"/>
        <v>0</v>
      </c>
      <c r="P323" s="65">
        <f t="shared" si="173"/>
        <v>0</v>
      </c>
      <c r="Q323" s="65"/>
      <c r="R323" s="65"/>
      <c r="S323" s="65"/>
      <c r="T323" s="65"/>
      <c r="U323" s="65"/>
      <c r="V323" s="65"/>
      <c r="W323" s="65"/>
      <c r="X323" s="3635"/>
      <c r="Y323" s="3630"/>
    </row>
    <row r="324" spans="1:27" ht="13.5" hidden="1" customHeight="1">
      <c r="A324" s="3637"/>
      <c r="B324" s="118" t="s">
        <v>26</v>
      </c>
      <c r="C324" s="3725"/>
      <c r="D324" s="2234">
        <f>SUM(M324:T324)</f>
        <v>0</v>
      </c>
      <c r="E324" s="2266">
        <f>+F324+G324+H324</f>
        <v>0</v>
      </c>
      <c r="F324" s="2266">
        <v>0</v>
      </c>
      <c r="G324" s="2266">
        <v>0</v>
      </c>
      <c r="H324" s="2266">
        <v>0</v>
      </c>
      <c r="I324" s="2266"/>
      <c r="J324" s="2266"/>
      <c r="K324" s="2266">
        <v>0</v>
      </c>
      <c r="L324" s="2266">
        <v>0</v>
      </c>
      <c r="M324" s="2304">
        <v>0</v>
      </c>
      <c r="N324" s="2304">
        <v>0</v>
      </c>
      <c r="O324" s="2304">
        <v>0</v>
      </c>
      <c r="P324" s="2266">
        <v>0</v>
      </c>
      <c r="Q324" s="2266"/>
      <c r="R324" s="2266"/>
      <c r="S324" s="2266"/>
      <c r="T324" s="2266"/>
      <c r="U324" s="2266"/>
      <c r="V324" s="2266"/>
      <c r="W324" s="2266"/>
      <c r="X324" s="3635"/>
      <c r="Y324" s="3630"/>
    </row>
    <row r="325" spans="1:27" ht="12" customHeight="1">
      <c r="A325" s="3637"/>
      <c r="B325" s="2305" t="s">
        <v>29</v>
      </c>
      <c r="C325" s="3725"/>
      <c r="D325" s="1284">
        <f t="shared" ref="D325:R325" si="174">+D326</f>
        <v>2720000</v>
      </c>
      <c r="E325" s="2268">
        <f t="shared" si="174"/>
        <v>0</v>
      </c>
      <c r="F325" s="2268">
        <f t="shared" si="174"/>
        <v>0</v>
      </c>
      <c r="G325" s="2268">
        <f t="shared" si="174"/>
        <v>0</v>
      </c>
      <c r="H325" s="2268">
        <f t="shared" si="174"/>
        <v>0</v>
      </c>
      <c r="I325" s="2268">
        <f t="shared" si="174"/>
        <v>0</v>
      </c>
      <c r="J325" s="2268">
        <f t="shared" si="174"/>
        <v>0</v>
      </c>
      <c r="K325" s="2268">
        <f t="shared" si="174"/>
        <v>0</v>
      </c>
      <c r="L325" s="2268">
        <f t="shared" si="174"/>
        <v>0</v>
      </c>
      <c r="M325" s="2303">
        <f t="shared" si="174"/>
        <v>0</v>
      </c>
      <c r="N325" s="2303">
        <f t="shared" si="174"/>
        <v>0</v>
      </c>
      <c r="O325" s="2303">
        <f t="shared" si="174"/>
        <v>0</v>
      </c>
      <c r="P325" s="2268">
        <f t="shared" si="174"/>
        <v>0</v>
      </c>
      <c r="Q325" s="2268">
        <f t="shared" si="174"/>
        <v>2720000</v>
      </c>
      <c r="R325" s="2268">
        <f t="shared" si="174"/>
        <v>0</v>
      </c>
      <c r="S325" s="2268"/>
      <c r="T325" s="2268"/>
      <c r="U325" s="2268"/>
      <c r="V325" s="2268"/>
      <c r="W325" s="2268"/>
      <c r="X325" s="3635"/>
      <c r="Y325" s="3630"/>
    </row>
    <row r="326" spans="1:27" ht="13.5" thickBot="1">
      <c r="A326" s="3638"/>
      <c r="B326" s="2294" t="s">
        <v>32</v>
      </c>
      <c r="C326" s="3726"/>
      <c r="D326" s="2214">
        <f>M326+P326+Q326+R326+S326+T326+U326+V326+W326</f>
        <v>2720000</v>
      </c>
      <c r="E326" s="963">
        <f>+F326+G326+H326</f>
        <v>0</v>
      </c>
      <c r="F326" s="1088">
        <v>0</v>
      </c>
      <c r="G326" s="963">
        <v>0</v>
      </c>
      <c r="H326" s="963">
        <v>0</v>
      </c>
      <c r="I326" s="963"/>
      <c r="J326" s="963"/>
      <c r="K326" s="963">
        <v>0</v>
      </c>
      <c r="L326" s="963">
        <v>0</v>
      </c>
      <c r="M326" s="1404">
        <f>+E326+I326+J326+K326+L326+N326+O326</f>
        <v>0</v>
      </c>
      <c r="N326" s="2306">
        <v>0</v>
      </c>
      <c r="O326" s="2306">
        <v>0</v>
      </c>
      <c r="P326" s="963">
        <v>0</v>
      </c>
      <c r="Q326" s="963">
        <f>3500000-780000</f>
        <v>2720000</v>
      </c>
      <c r="R326" s="963">
        <f>325000-325000</f>
        <v>0</v>
      </c>
      <c r="S326" s="963"/>
      <c r="T326" s="963"/>
      <c r="U326" s="963"/>
      <c r="V326" s="963"/>
      <c r="W326" s="963"/>
      <c r="X326" s="3636"/>
      <c r="Y326" s="3631"/>
    </row>
    <row r="327" spans="1:27" ht="27.75" customHeight="1">
      <c r="A327" s="3600" t="s">
        <v>109</v>
      </c>
      <c r="B327" s="707" t="s">
        <v>533</v>
      </c>
      <c r="C327" s="73" t="s">
        <v>95</v>
      </c>
      <c r="D327" s="1993"/>
      <c r="E327" s="51"/>
      <c r="F327" s="51"/>
      <c r="G327" s="50"/>
      <c r="H327" s="50"/>
      <c r="I327" s="50"/>
      <c r="J327" s="50"/>
      <c r="K327" s="50"/>
      <c r="L327" s="50"/>
      <c r="M327" s="52"/>
      <c r="N327" s="52"/>
      <c r="O327" s="52"/>
      <c r="P327" s="52"/>
      <c r="Q327" s="52"/>
      <c r="R327" s="52"/>
      <c r="S327" s="52"/>
      <c r="T327" s="52"/>
      <c r="U327" s="52"/>
      <c r="V327" s="52"/>
      <c r="W327" s="52"/>
      <c r="X327" s="53"/>
      <c r="Y327" s="3597" t="s">
        <v>101</v>
      </c>
    </row>
    <row r="328" spans="1:27" ht="13.5" customHeight="1">
      <c r="A328" s="3601"/>
      <c r="B328" s="101" t="s">
        <v>21</v>
      </c>
      <c r="C328" s="924"/>
      <c r="D328" s="925">
        <f>+D329+D332</f>
        <v>30158614</v>
      </c>
      <c r="E328" s="925">
        <f t="shared" ref="E328:R328" si="175">+E329+E332</f>
        <v>0</v>
      </c>
      <c r="F328" s="925">
        <f t="shared" si="175"/>
        <v>0</v>
      </c>
      <c r="G328" s="925">
        <f t="shared" si="175"/>
        <v>0</v>
      </c>
      <c r="H328" s="925">
        <f t="shared" si="175"/>
        <v>0</v>
      </c>
      <c r="I328" s="925">
        <f t="shared" si="175"/>
        <v>315360</v>
      </c>
      <c r="J328" s="925">
        <f t="shared" si="175"/>
        <v>243934</v>
      </c>
      <c r="K328" s="925">
        <f t="shared" si="175"/>
        <v>0</v>
      </c>
      <c r="L328" s="925">
        <f t="shared" si="175"/>
        <v>0</v>
      </c>
      <c r="M328" s="925">
        <f t="shared" si="175"/>
        <v>559294</v>
      </c>
      <c r="N328" s="925">
        <f t="shared" si="175"/>
        <v>0</v>
      </c>
      <c r="O328" s="925">
        <f t="shared" si="175"/>
        <v>0</v>
      </c>
      <c r="P328" s="925">
        <f t="shared" si="175"/>
        <v>39320</v>
      </c>
      <c r="Q328" s="925">
        <f t="shared" si="175"/>
        <v>10560000</v>
      </c>
      <c r="R328" s="925">
        <f t="shared" si="175"/>
        <v>19000000</v>
      </c>
      <c r="S328" s="925"/>
      <c r="T328" s="925"/>
      <c r="U328" s="925"/>
      <c r="V328" s="925"/>
      <c r="W328" s="925"/>
      <c r="X328" s="857">
        <f>+X329+X332</f>
        <v>29560000</v>
      </c>
      <c r="Y328" s="3598"/>
      <c r="Z328" s="301" t="s">
        <v>405</v>
      </c>
    </row>
    <row r="329" spans="1:27" ht="13.5" customHeight="1">
      <c r="A329" s="3601"/>
      <c r="B329" s="294" t="s">
        <v>35</v>
      </c>
      <c r="C329" s="3603" t="s">
        <v>98</v>
      </c>
      <c r="D329" s="809">
        <f>+D330+D331</f>
        <v>10283614</v>
      </c>
      <c r="E329" s="809">
        <f t="shared" ref="E329:P329" si="176">+E330</f>
        <v>0</v>
      </c>
      <c r="F329" s="809">
        <f t="shared" si="176"/>
        <v>0</v>
      </c>
      <c r="G329" s="809">
        <f t="shared" si="176"/>
        <v>0</v>
      </c>
      <c r="H329" s="809">
        <f t="shared" si="176"/>
        <v>0</v>
      </c>
      <c r="I329" s="809">
        <f t="shared" si="176"/>
        <v>315360</v>
      </c>
      <c r="J329" s="809">
        <f t="shared" si="176"/>
        <v>243934</v>
      </c>
      <c r="K329" s="809">
        <f t="shared" si="176"/>
        <v>0</v>
      </c>
      <c r="L329" s="809">
        <f t="shared" si="176"/>
        <v>0</v>
      </c>
      <c r="M329" s="809">
        <f t="shared" si="176"/>
        <v>559294</v>
      </c>
      <c r="N329" s="809">
        <f t="shared" si="176"/>
        <v>0</v>
      </c>
      <c r="O329" s="809">
        <f t="shared" si="176"/>
        <v>0</v>
      </c>
      <c r="P329" s="809">
        <f t="shared" si="176"/>
        <v>39320</v>
      </c>
      <c r="Q329" s="809">
        <f>+Q330+Q331</f>
        <v>4910843</v>
      </c>
      <c r="R329" s="809">
        <f>+R330+R331</f>
        <v>4774157</v>
      </c>
      <c r="S329" s="809"/>
      <c r="T329" s="809"/>
      <c r="U329" s="809"/>
      <c r="V329" s="809"/>
      <c r="W329" s="809"/>
      <c r="X329" s="861">
        <f>+X330+X331</f>
        <v>9685000</v>
      </c>
      <c r="Y329" s="3598"/>
      <c r="Z329" s="864"/>
    </row>
    <row r="330" spans="1:27" ht="13.5" customHeight="1">
      <c r="A330" s="3601"/>
      <c r="B330" s="1752" t="s">
        <v>23</v>
      </c>
      <c r="C330" s="3604"/>
      <c r="D330" s="2192">
        <f>M330+P330+Q330+R330+S330+T330+U330+V330+W330</f>
        <v>613614</v>
      </c>
      <c r="E330" s="1710">
        <f>+F330+G330+H330</f>
        <v>0</v>
      </c>
      <c r="F330" s="1709">
        <v>0</v>
      </c>
      <c r="G330" s="1710">
        <v>0</v>
      </c>
      <c r="H330" s="1710">
        <v>0</v>
      </c>
      <c r="I330" s="1710">
        <f>305899+9461</f>
        <v>315360</v>
      </c>
      <c r="J330" s="1710">
        <v>243934</v>
      </c>
      <c r="K330" s="1710">
        <v>0</v>
      </c>
      <c r="L330" s="1710">
        <f>4000000-4000000</f>
        <v>0</v>
      </c>
      <c r="M330" s="1755">
        <f>+E330+I330+J330+K330+L330+N330+O330</f>
        <v>559294</v>
      </c>
      <c r="N330" s="1710">
        <f>4000000-1000000-3000000</f>
        <v>0</v>
      </c>
      <c r="O330" s="1710">
        <f>3000000-3000000</f>
        <v>0</v>
      </c>
      <c r="P330" s="1709">
        <f>3000000-2960680</f>
        <v>39320</v>
      </c>
      <c r="Q330" s="1709">
        <f>2960680-2945680</f>
        <v>15000</v>
      </c>
      <c r="R330" s="1709"/>
      <c r="S330" s="1709"/>
      <c r="T330" s="1709"/>
      <c r="U330" s="1709"/>
      <c r="V330" s="1709"/>
      <c r="W330" s="1709"/>
      <c r="X330" s="44">
        <f>SUM(Q330:W330)</f>
        <v>15000</v>
      </c>
      <c r="Y330" s="3598"/>
    </row>
    <row r="331" spans="1:27" ht="13.5" customHeight="1">
      <c r="A331" s="3601"/>
      <c r="B331" s="2339" t="s">
        <v>26</v>
      </c>
      <c r="C331" s="3604"/>
      <c r="D331" s="2192">
        <f>M331+P331+Q331+R331+S331+T331+U331+V331+W331</f>
        <v>9670000</v>
      </c>
      <c r="E331" s="2340"/>
      <c r="F331" s="2340"/>
      <c r="G331" s="2340"/>
      <c r="H331" s="2340"/>
      <c r="I331" s="2340"/>
      <c r="J331" s="2340"/>
      <c r="K331" s="2340"/>
      <c r="L331" s="306"/>
      <c r="M331" s="2383">
        <v>0</v>
      </c>
      <c r="N331" s="306"/>
      <c r="O331" s="2986">
        <v>0</v>
      </c>
      <c r="P331" s="2340">
        <v>0</v>
      </c>
      <c r="Q331" s="2340">
        <v>4895843</v>
      </c>
      <c r="R331" s="2340">
        <v>4774157</v>
      </c>
      <c r="S331" s="2340"/>
      <c r="T331" s="2340"/>
      <c r="U331" s="2340"/>
      <c r="V331" s="2340"/>
      <c r="W331" s="2340"/>
      <c r="X331" s="2285">
        <f>SUM(Q331:W331)</f>
        <v>9670000</v>
      </c>
      <c r="Y331" s="3598"/>
    </row>
    <row r="332" spans="1:27" ht="13.5" customHeight="1">
      <c r="A332" s="3601"/>
      <c r="B332" s="2291" t="s">
        <v>29</v>
      </c>
      <c r="C332" s="3604"/>
      <c r="D332" s="1284">
        <f>+D333</f>
        <v>19875000</v>
      </c>
      <c r="E332" s="1284">
        <f t="shared" ref="E332:R332" si="177">+E333</f>
        <v>0</v>
      </c>
      <c r="F332" s="1284">
        <f t="shared" si="177"/>
        <v>0</v>
      </c>
      <c r="G332" s="1284">
        <f t="shared" si="177"/>
        <v>0</v>
      </c>
      <c r="H332" s="1284">
        <f t="shared" si="177"/>
        <v>0</v>
      </c>
      <c r="I332" s="1284">
        <f t="shared" si="177"/>
        <v>0</v>
      </c>
      <c r="J332" s="1284">
        <f t="shared" si="177"/>
        <v>0</v>
      </c>
      <c r="K332" s="1284">
        <f t="shared" si="177"/>
        <v>0</v>
      </c>
      <c r="L332" s="1284">
        <f t="shared" si="177"/>
        <v>0</v>
      </c>
      <c r="M332" s="1284">
        <f t="shared" si="177"/>
        <v>0</v>
      </c>
      <c r="N332" s="1284">
        <f t="shared" si="177"/>
        <v>0</v>
      </c>
      <c r="O332" s="2292">
        <f t="shared" si="177"/>
        <v>0</v>
      </c>
      <c r="P332" s="1284">
        <f t="shared" si="177"/>
        <v>0</v>
      </c>
      <c r="Q332" s="1284">
        <f t="shared" si="177"/>
        <v>5649157</v>
      </c>
      <c r="R332" s="1284">
        <f t="shared" si="177"/>
        <v>14225843</v>
      </c>
      <c r="S332" s="1284"/>
      <c r="T332" s="1284"/>
      <c r="U332" s="1284"/>
      <c r="V332" s="1284"/>
      <c r="W332" s="1284"/>
      <c r="X332" s="1280">
        <f>+X333</f>
        <v>19875000</v>
      </c>
      <c r="Y332" s="3598"/>
    </row>
    <row r="333" spans="1:27" ht="13.5" customHeight="1">
      <c r="A333" s="3601"/>
      <c r="B333" s="1392" t="s">
        <v>32</v>
      </c>
      <c r="C333" s="3717"/>
      <c r="D333" s="2234">
        <f>+M333+P333+Q333+R333+S333+T333+U333+V333+W333</f>
        <v>19875000</v>
      </c>
      <c r="E333" s="1710">
        <f>+F333+G333+H333</f>
        <v>0</v>
      </c>
      <c r="F333" s="1709">
        <v>0</v>
      </c>
      <c r="G333" s="1709">
        <v>0</v>
      </c>
      <c r="H333" s="1710">
        <v>0</v>
      </c>
      <c r="I333" s="1710">
        <f>163508-163508</f>
        <v>0</v>
      </c>
      <c r="J333" s="1710"/>
      <c r="K333" s="1710"/>
      <c r="L333" s="1710">
        <v>0</v>
      </c>
      <c r="M333" s="2273">
        <v>0</v>
      </c>
      <c r="N333" s="1710">
        <v>0</v>
      </c>
      <c r="O333" s="1731">
        <v>0</v>
      </c>
      <c r="P333" s="1709">
        <v>0</v>
      </c>
      <c r="Q333" s="1709">
        <v>5649157</v>
      </c>
      <c r="R333" s="1709">
        <v>14225843</v>
      </c>
      <c r="S333" s="1709"/>
      <c r="T333" s="1709"/>
      <c r="U333" s="1709"/>
      <c r="V333" s="1709"/>
      <c r="W333" s="1709"/>
      <c r="X333" s="2285">
        <f>SUM(Q333:W333)</f>
        <v>19875000</v>
      </c>
      <c r="Y333" s="3599"/>
    </row>
    <row r="334" spans="1:27" ht="17.25" customHeight="1">
      <c r="A334" s="3601"/>
      <c r="B334" s="1049" t="s">
        <v>33</v>
      </c>
      <c r="C334" s="1270"/>
      <c r="D334" s="1690">
        <f>+D337+D335</f>
        <v>29545000</v>
      </c>
      <c r="E334" s="1690">
        <f t="shared" ref="E334:Q334" si="178">+E337+E335</f>
        <v>0</v>
      </c>
      <c r="F334" s="1690">
        <f t="shared" si="178"/>
        <v>0</v>
      </c>
      <c r="G334" s="1690">
        <f t="shared" si="178"/>
        <v>0</v>
      </c>
      <c r="H334" s="1690">
        <f t="shared" si="178"/>
        <v>0</v>
      </c>
      <c r="I334" s="1690">
        <f t="shared" si="178"/>
        <v>0</v>
      </c>
      <c r="J334" s="1690">
        <f t="shared" si="178"/>
        <v>0</v>
      </c>
      <c r="K334" s="1690">
        <f t="shared" si="178"/>
        <v>0</v>
      </c>
      <c r="L334" s="1690">
        <f t="shared" si="178"/>
        <v>0</v>
      </c>
      <c r="M334" s="1690">
        <f t="shared" si="178"/>
        <v>0</v>
      </c>
      <c r="N334" s="1690">
        <f t="shared" si="178"/>
        <v>0</v>
      </c>
      <c r="O334" s="1690">
        <f t="shared" si="178"/>
        <v>0</v>
      </c>
      <c r="P334" s="1690">
        <f t="shared" si="178"/>
        <v>0</v>
      </c>
      <c r="Q334" s="1690">
        <f t="shared" si="178"/>
        <v>10545000</v>
      </c>
      <c r="R334" s="1690">
        <f t="shared" ref="R334" si="179">+R337+R335</f>
        <v>19000000</v>
      </c>
      <c r="S334" s="1690"/>
      <c r="T334" s="1690"/>
      <c r="U334" s="1690"/>
      <c r="V334" s="1690"/>
      <c r="W334" s="1690"/>
      <c r="X334" s="3605" t="s">
        <v>34</v>
      </c>
      <c r="Y334" s="3608" t="s">
        <v>118</v>
      </c>
      <c r="Z334" s="864"/>
      <c r="AA334" s="864">
        <v>-1230552</v>
      </c>
    </row>
    <row r="335" spans="1:27" ht="12" customHeight="1">
      <c r="A335" s="3601"/>
      <c r="B335" s="2293" t="s">
        <v>35</v>
      </c>
      <c r="C335" s="3611" t="s">
        <v>276</v>
      </c>
      <c r="D335" s="1284">
        <f>+D336</f>
        <v>9670000</v>
      </c>
      <c r="E335" s="1284">
        <f t="shared" ref="E335:R335" si="180">+E336</f>
        <v>0</v>
      </c>
      <c r="F335" s="1284">
        <f t="shared" si="180"/>
        <v>0</v>
      </c>
      <c r="G335" s="1284">
        <f t="shared" si="180"/>
        <v>0</v>
      </c>
      <c r="H335" s="1284">
        <f t="shared" si="180"/>
        <v>0</v>
      </c>
      <c r="I335" s="1284">
        <f t="shared" si="180"/>
        <v>0</v>
      </c>
      <c r="J335" s="1284">
        <f t="shared" si="180"/>
        <v>0</v>
      </c>
      <c r="K335" s="1284">
        <f t="shared" si="180"/>
        <v>0</v>
      </c>
      <c r="L335" s="1284">
        <f t="shared" si="180"/>
        <v>0</v>
      </c>
      <c r="M335" s="1284">
        <f>+M336</f>
        <v>0</v>
      </c>
      <c r="N335" s="1284">
        <f t="shared" si="180"/>
        <v>0</v>
      </c>
      <c r="O335" s="1284">
        <f t="shared" si="180"/>
        <v>0</v>
      </c>
      <c r="P335" s="1284">
        <f t="shared" si="180"/>
        <v>0</v>
      </c>
      <c r="Q335" s="1284">
        <f t="shared" si="180"/>
        <v>4895843</v>
      </c>
      <c r="R335" s="1284">
        <f t="shared" si="180"/>
        <v>4774157</v>
      </c>
      <c r="S335" s="1284"/>
      <c r="T335" s="1284"/>
      <c r="U335" s="1284"/>
      <c r="V335" s="1284"/>
      <c r="W335" s="1284"/>
      <c r="X335" s="3606"/>
      <c r="Y335" s="3609"/>
    </row>
    <row r="336" spans="1:27" ht="12" customHeight="1">
      <c r="A336" s="3601"/>
      <c r="B336" s="2284" t="s">
        <v>26</v>
      </c>
      <c r="C336" s="3612"/>
      <c r="D336" s="2234">
        <f>+M336+P336+Q336+R336+S336+T336+U336+V336+W336</f>
        <v>9670000</v>
      </c>
      <c r="E336" s="2266"/>
      <c r="F336" s="2266"/>
      <c r="G336" s="2266"/>
      <c r="H336" s="2266"/>
      <c r="I336" s="2266"/>
      <c r="J336" s="2266"/>
      <c r="K336" s="2266"/>
      <c r="L336" s="2266"/>
      <c r="M336" s="2273">
        <v>0</v>
      </c>
      <c r="N336" s="2266"/>
      <c r="O336" s="2266"/>
      <c r="P336" s="2266">
        <v>0</v>
      </c>
      <c r="Q336" s="2266">
        <v>4895843</v>
      </c>
      <c r="R336" s="2266">
        <v>4774157</v>
      </c>
      <c r="S336" s="2266"/>
      <c r="T336" s="2266"/>
      <c r="U336" s="2266"/>
      <c r="V336" s="2266"/>
      <c r="W336" s="2266"/>
      <c r="X336" s="3606"/>
      <c r="Y336" s="3609"/>
    </row>
    <row r="337" spans="1:27" s="353" customFormat="1" ht="13.5" customHeight="1">
      <c r="A337" s="3601"/>
      <c r="B337" s="1350" t="s">
        <v>29</v>
      </c>
      <c r="C337" s="3612"/>
      <c r="D337" s="2120">
        <f>+D338</f>
        <v>19875000</v>
      </c>
      <c r="E337" s="2120">
        <f t="shared" ref="E337:R337" si="181">+E338</f>
        <v>0</v>
      </c>
      <c r="F337" s="2120">
        <f t="shared" si="181"/>
        <v>0</v>
      </c>
      <c r="G337" s="2120">
        <f t="shared" si="181"/>
        <v>0</v>
      </c>
      <c r="H337" s="2120">
        <f t="shared" si="181"/>
        <v>0</v>
      </c>
      <c r="I337" s="2120">
        <f t="shared" si="181"/>
        <v>0</v>
      </c>
      <c r="J337" s="2120">
        <f t="shared" si="181"/>
        <v>0</v>
      </c>
      <c r="K337" s="2120">
        <f t="shared" si="181"/>
        <v>0</v>
      </c>
      <c r="L337" s="2120">
        <f t="shared" si="181"/>
        <v>0</v>
      </c>
      <c r="M337" s="1284">
        <f>+M338</f>
        <v>0</v>
      </c>
      <c r="N337" s="1441">
        <f t="shared" si="181"/>
        <v>0</v>
      </c>
      <c r="O337" s="1441">
        <f t="shared" si="181"/>
        <v>0</v>
      </c>
      <c r="P337" s="2120">
        <f t="shared" si="181"/>
        <v>0</v>
      </c>
      <c r="Q337" s="2120">
        <f t="shared" si="181"/>
        <v>5649157</v>
      </c>
      <c r="R337" s="2120">
        <f t="shared" si="181"/>
        <v>14225843</v>
      </c>
      <c r="S337" s="2120"/>
      <c r="T337" s="2120"/>
      <c r="U337" s="2120"/>
      <c r="V337" s="2120"/>
      <c r="W337" s="2120"/>
      <c r="X337" s="3606"/>
      <c r="Y337" s="3609"/>
    </row>
    <row r="338" spans="1:27" s="353" customFormat="1" ht="13.5" thickBot="1">
      <c r="A338" s="3602"/>
      <c r="B338" s="2294" t="s">
        <v>32</v>
      </c>
      <c r="C338" s="3613"/>
      <c r="D338" s="2215">
        <f>+M338+P338+Q338+R338+S338+T338+U338+V338+W338</f>
        <v>19875000</v>
      </c>
      <c r="E338" s="2295">
        <f>+F338+G338+H338</f>
        <v>0</v>
      </c>
      <c r="F338" s="2296">
        <v>0</v>
      </c>
      <c r="G338" s="2295">
        <v>0</v>
      </c>
      <c r="H338" s="2295">
        <v>0</v>
      </c>
      <c r="I338" s="2295">
        <v>0</v>
      </c>
      <c r="J338" s="2295">
        <v>0</v>
      </c>
      <c r="K338" s="2295"/>
      <c r="L338" s="2295">
        <v>0</v>
      </c>
      <c r="M338" s="2215">
        <v>0</v>
      </c>
      <c r="N338" s="2297">
        <v>0</v>
      </c>
      <c r="O338" s="2297">
        <v>0</v>
      </c>
      <c r="P338" s="940">
        <v>0</v>
      </c>
      <c r="Q338" s="940">
        <v>5649157</v>
      </c>
      <c r="R338" s="940">
        <v>14225843</v>
      </c>
      <c r="S338" s="940"/>
      <c r="T338" s="940"/>
      <c r="U338" s="940"/>
      <c r="V338" s="940"/>
      <c r="W338" s="940"/>
      <c r="X338" s="3607"/>
      <c r="Y338" s="3610"/>
    </row>
    <row r="339" spans="1:27" ht="42.75" customHeight="1">
      <c r="A339" s="3600" t="s">
        <v>110</v>
      </c>
      <c r="B339" s="707" t="s">
        <v>534</v>
      </c>
      <c r="C339" s="73" t="s">
        <v>95</v>
      </c>
      <c r="D339" s="1993"/>
      <c r="E339" s="51"/>
      <c r="F339" s="51"/>
      <c r="G339" s="50"/>
      <c r="H339" s="50"/>
      <c r="I339" s="50"/>
      <c r="J339" s="50"/>
      <c r="K339" s="50"/>
      <c r="L339" s="50"/>
      <c r="M339" s="52"/>
      <c r="N339" s="52"/>
      <c r="O339" s="52"/>
      <c r="P339" s="52"/>
      <c r="Q339" s="52"/>
      <c r="R339" s="52"/>
      <c r="S339" s="52"/>
      <c r="T339" s="52"/>
      <c r="U339" s="52"/>
      <c r="V339" s="52"/>
      <c r="W339" s="52"/>
      <c r="X339" s="53"/>
      <c r="Y339" s="3597" t="s">
        <v>101</v>
      </c>
    </row>
    <row r="340" spans="1:27" ht="15.75" customHeight="1">
      <c r="A340" s="3601"/>
      <c r="B340" s="101" t="s">
        <v>21</v>
      </c>
      <c r="C340" s="924"/>
      <c r="D340" s="925">
        <f>+D341+D344</f>
        <v>27263322</v>
      </c>
      <c r="E340" s="925">
        <f t="shared" ref="E340" si="182">+E341+E344</f>
        <v>0</v>
      </c>
      <c r="F340" s="925">
        <f t="shared" ref="F340" si="183">+F341+F344</f>
        <v>0</v>
      </c>
      <c r="G340" s="925">
        <f t="shared" ref="G340" si="184">+G341+G344</f>
        <v>0</v>
      </c>
      <c r="H340" s="925">
        <f t="shared" ref="H340" si="185">+H341+H344</f>
        <v>0</v>
      </c>
      <c r="I340" s="925">
        <f t="shared" ref="I340" si="186">+I341+I344</f>
        <v>0</v>
      </c>
      <c r="J340" s="925">
        <f t="shared" ref="J340" si="187">+J341+J344</f>
        <v>0</v>
      </c>
      <c r="K340" s="925">
        <f t="shared" ref="K340" si="188">+K341+K344</f>
        <v>5494</v>
      </c>
      <c r="L340" s="925">
        <f t="shared" ref="L340" si="189">+L341+L344</f>
        <v>0</v>
      </c>
      <c r="M340" s="925">
        <f t="shared" ref="M340" si="190">+M341+M344</f>
        <v>813322</v>
      </c>
      <c r="N340" s="925">
        <f t="shared" ref="N340" si="191">+N341+N344</f>
        <v>807828</v>
      </c>
      <c r="O340" s="925">
        <f t="shared" ref="O340" si="192">+O341+O344</f>
        <v>0</v>
      </c>
      <c r="P340" s="925">
        <f t="shared" ref="P340" si="193">+P341+P344</f>
        <v>0</v>
      </c>
      <c r="Q340" s="925">
        <f t="shared" ref="Q340" si="194">+Q341+Q344</f>
        <v>6600000</v>
      </c>
      <c r="R340" s="925">
        <f t="shared" ref="R340" si="195">+R341+R344</f>
        <v>19850000</v>
      </c>
      <c r="S340" s="925"/>
      <c r="T340" s="925"/>
      <c r="U340" s="925"/>
      <c r="V340" s="925"/>
      <c r="W340" s="925"/>
      <c r="X340" s="857">
        <f>+X341+X344</f>
        <v>26450000</v>
      </c>
      <c r="Y340" s="3598"/>
      <c r="Z340" s="301" t="s">
        <v>405</v>
      </c>
    </row>
    <row r="341" spans="1:27" ht="13.5" customHeight="1">
      <c r="A341" s="3601"/>
      <c r="B341" s="294" t="s">
        <v>35</v>
      </c>
      <c r="C341" s="3603" t="s">
        <v>98</v>
      </c>
      <c r="D341" s="809">
        <f>+D342+D343</f>
        <v>4780822</v>
      </c>
      <c r="E341" s="809">
        <f t="shared" ref="E341:L341" si="196">+E342+E343</f>
        <v>0</v>
      </c>
      <c r="F341" s="809">
        <f t="shared" si="196"/>
        <v>0</v>
      </c>
      <c r="G341" s="809">
        <f t="shared" si="196"/>
        <v>0</v>
      </c>
      <c r="H341" s="809">
        <f t="shared" si="196"/>
        <v>0</v>
      </c>
      <c r="I341" s="809">
        <f t="shared" si="196"/>
        <v>0</v>
      </c>
      <c r="J341" s="809">
        <f t="shared" si="196"/>
        <v>0</v>
      </c>
      <c r="K341" s="809">
        <f t="shared" si="196"/>
        <v>5494</v>
      </c>
      <c r="L341" s="809">
        <f t="shared" si="196"/>
        <v>0</v>
      </c>
      <c r="M341" s="809">
        <f>+M342+M343</f>
        <v>813322</v>
      </c>
      <c r="N341" s="809">
        <f>+N342+N343</f>
        <v>807828</v>
      </c>
      <c r="O341" s="809">
        <f t="shared" ref="O341:P341" si="197">+O342</f>
        <v>0</v>
      </c>
      <c r="P341" s="809">
        <f t="shared" si="197"/>
        <v>0</v>
      </c>
      <c r="Q341" s="809">
        <f>+Q342+Q343</f>
        <v>990000</v>
      </c>
      <c r="R341" s="809">
        <f>+R342+R343</f>
        <v>2977500</v>
      </c>
      <c r="S341" s="809"/>
      <c r="T341" s="809"/>
      <c r="U341" s="809"/>
      <c r="V341" s="809"/>
      <c r="W341" s="809"/>
      <c r="X341" s="861">
        <f>+X342</f>
        <v>3967500</v>
      </c>
      <c r="Y341" s="3598"/>
      <c r="Z341" s="864"/>
    </row>
    <row r="342" spans="1:27" ht="13.5" customHeight="1">
      <c r="A342" s="3601"/>
      <c r="B342" s="1752" t="s">
        <v>23</v>
      </c>
      <c r="C342" s="3604"/>
      <c r="D342" s="2192">
        <f>M342+P342+Q342+R342+S342+T342+U342+V342+W342</f>
        <v>3972994</v>
      </c>
      <c r="E342" s="1710">
        <f>+F342+G342+H342</f>
        <v>0</v>
      </c>
      <c r="F342" s="1709">
        <v>0</v>
      </c>
      <c r="G342" s="1710">
        <v>0</v>
      </c>
      <c r="H342" s="1710">
        <v>0</v>
      </c>
      <c r="I342" s="1710">
        <v>0</v>
      </c>
      <c r="J342" s="1710">
        <v>0</v>
      </c>
      <c r="K342" s="1710">
        <v>5494</v>
      </c>
      <c r="L342" s="1710"/>
      <c r="M342" s="1755">
        <f>+F342+G342+H342+I342+J342+K342+L342+N342+O342</f>
        <v>5494</v>
      </c>
      <c r="N342" s="1710">
        <v>0</v>
      </c>
      <c r="O342" s="1710"/>
      <c r="P342" s="1709">
        <v>0</v>
      </c>
      <c r="Q342" s="1709">
        <v>990000</v>
      </c>
      <c r="R342" s="1709">
        <v>2977500</v>
      </c>
      <c r="S342" s="1709"/>
      <c r="T342" s="1709"/>
      <c r="U342" s="1709"/>
      <c r="V342" s="1709"/>
      <c r="W342" s="1709"/>
      <c r="X342" s="44">
        <f>SUM(Q342:W342)</f>
        <v>3967500</v>
      </c>
      <c r="Y342" s="3598"/>
    </row>
    <row r="343" spans="1:27" ht="13.5" customHeight="1">
      <c r="A343" s="3601"/>
      <c r="B343" s="2339" t="s">
        <v>26</v>
      </c>
      <c r="C343" s="3604"/>
      <c r="D343" s="2192">
        <f>M343+P343+Q343+R343+S343+T343+U343+V343+W343</f>
        <v>807828</v>
      </c>
      <c r="E343" s="2340"/>
      <c r="F343" s="2340"/>
      <c r="G343" s="2340"/>
      <c r="H343" s="2340"/>
      <c r="I343" s="2340"/>
      <c r="J343" s="2340"/>
      <c r="K343" s="2340"/>
      <c r="L343" s="306"/>
      <c r="M343" s="1755">
        <f>+F343+G343+H343+I343+J343+K343+L343+N343+O343</f>
        <v>807828</v>
      </c>
      <c r="N343" s="1710">
        <v>807828</v>
      </c>
      <c r="O343" s="2986">
        <v>0</v>
      </c>
      <c r="P343" s="2340">
        <v>0</v>
      </c>
      <c r="Q343" s="2340">
        <v>0</v>
      </c>
      <c r="R343" s="2340">
        <v>0</v>
      </c>
      <c r="S343" s="2340"/>
      <c r="T343" s="2340"/>
      <c r="U343" s="2340"/>
      <c r="V343" s="2340"/>
      <c r="W343" s="2340"/>
      <c r="X343" s="2285">
        <f>SUM(Q343:W343)</f>
        <v>0</v>
      </c>
      <c r="Y343" s="3598"/>
    </row>
    <row r="344" spans="1:27" ht="13.5" customHeight="1">
      <c r="A344" s="3601"/>
      <c r="B344" s="2291" t="s">
        <v>29</v>
      </c>
      <c r="C344" s="3604"/>
      <c r="D344" s="1284">
        <f>+D345</f>
        <v>22482500</v>
      </c>
      <c r="E344" s="1284">
        <f t="shared" ref="E344:R344" si="198">+E345</f>
        <v>0</v>
      </c>
      <c r="F344" s="1284">
        <f t="shared" si="198"/>
        <v>0</v>
      </c>
      <c r="G344" s="1284">
        <f t="shared" si="198"/>
        <v>0</v>
      </c>
      <c r="H344" s="1284">
        <f t="shared" si="198"/>
        <v>0</v>
      </c>
      <c r="I344" s="1284">
        <f t="shared" si="198"/>
        <v>0</v>
      </c>
      <c r="J344" s="1284">
        <f t="shared" si="198"/>
        <v>0</v>
      </c>
      <c r="K344" s="1284">
        <f t="shared" si="198"/>
        <v>0</v>
      </c>
      <c r="L344" s="1284">
        <f t="shared" si="198"/>
        <v>0</v>
      </c>
      <c r="M344" s="1284">
        <f t="shared" si="198"/>
        <v>0</v>
      </c>
      <c r="N344" s="1284">
        <f t="shared" si="198"/>
        <v>0</v>
      </c>
      <c r="O344" s="2292">
        <f t="shared" si="198"/>
        <v>0</v>
      </c>
      <c r="P344" s="1284">
        <f t="shared" si="198"/>
        <v>0</v>
      </c>
      <c r="Q344" s="1284">
        <f t="shared" si="198"/>
        <v>5610000</v>
      </c>
      <c r="R344" s="1284">
        <f t="shared" si="198"/>
        <v>16872500</v>
      </c>
      <c r="S344" s="1284"/>
      <c r="T344" s="1284"/>
      <c r="U344" s="1284"/>
      <c r="V344" s="1284"/>
      <c r="W344" s="1284"/>
      <c r="X344" s="1280">
        <f>+X345</f>
        <v>22482500</v>
      </c>
      <c r="Y344" s="3598"/>
    </row>
    <row r="345" spans="1:27" ht="13.5" customHeight="1">
      <c r="A345" s="3601"/>
      <c r="B345" s="1392" t="s">
        <v>32</v>
      </c>
      <c r="C345" s="3604"/>
      <c r="D345" s="2234">
        <f>+M345+P345+Q345+R345+S345+T345+U345+V345+W345</f>
        <v>22482500</v>
      </c>
      <c r="E345" s="1710">
        <f>+F345+G345+H345</f>
        <v>0</v>
      </c>
      <c r="F345" s="1709"/>
      <c r="G345" s="1709"/>
      <c r="H345" s="1710"/>
      <c r="I345" s="1710"/>
      <c r="J345" s="1710"/>
      <c r="K345" s="1710"/>
      <c r="L345" s="1710"/>
      <c r="M345" s="2273">
        <v>0</v>
      </c>
      <c r="N345" s="1710"/>
      <c r="O345" s="1731"/>
      <c r="P345" s="1709">
        <v>0</v>
      </c>
      <c r="Q345" s="1709">
        <v>5610000</v>
      </c>
      <c r="R345" s="1709">
        <v>16872500</v>
      </c>
      <c r="S345" s="1709"/>
      <c r="T345" s="1709"/>
      <c r="U345" s="1709"/>
      <c r="V345" s="1709"/>
      <c r="W345" s="1709"/>
      <c r="X345" s="2285">
        <f>SUM(Q345:W345)</f>
        <v>22482500</v>
      </c>
      <c r="Y345" s="3599"/>
    </row>
    <row r="346" spans="1:27" ht="15" customHeight="1">
      <c r="A346" s="3601"/>
      <c r="B346" s="1049" t="s">
        <v>33</v>
      </c>
      <c r="C346" s="1270"/>
      <c r="D346" s="1690">
        <f>+D349+D347</f>
        <v>23290328</v>
      </c>
      <c r="E346" s="1690">
        <f t="shared" ref="E346:R346" si="199">+E349+E347</f>
        <v>0</v>
      </c>
      <c r="F346" s="1690">
        <f t="shared" si="199"/>
        <v>0</v>
      </c>
      <c r="G346" s="1690">
        <f t="shared" si="199"/>
        <v>0</v>
      </c>
      <c r="H346" s="1690">
        <f t="shared" si="199"/>
        <v>0</v>
      </c>
      <c r="I346" s="1690">
        <f t="shared" si="199"/>
        <v>0</v>
      </c>
      <c r="J346" s="1690">
        <f t="shared" si="199"/>
        <v>0</v>
      </c>
      <c r="K346" s="1690">
        <f t="shared" si="199"/>
        <v>0</v>
      </c>
      <c r="L346" s="1690">
        <f t="shared" si="199"/>
        <v>0</v>
      </c>
      <c r="M346" s="1690">
        <f t="shared" si="199"/>
        <v>807828</v>
      </c>
      <c r="N346" s="1690">
        <f t="shared" si="199"/>
        <v>807828</v>
      </c>
      <c r="O346" s="1690">
        <f t="shared" si="199"/>
        <v>0</v>
      </c>
      <c r="P346" s="1690">
        <f t="shared" si="199"/>
        <v>0</v>
      </c>
      <c r="Q346" s="1690">
        <f t="shared" si="199"/>
        <v>5610000</v>
      </c>
      <c r="R346" s="1690">
        <f t="shared" si="199"/>
        <v>16872500</v>
      </c>
      <c r="S346" s="1690"/>
      <c r="T346" s="1690"/>
      <c r="U346" s="1690"/>
      <c r="V346" s="1690"/>
      <c r="W346" s="1690"/>
      <c r="X346" s="3605" t="s">
        <v>34</v>
      </c>
      <c r="Y346" s="3608" t="s">
        <v>118</v>
      </c>
      <c r="Z346" s="864"/>
      <c r="AA346" s="864">
        <v>-1230552</v>
      </c>
    </row>
    <row r="347" spans="1:27" ht="12" customHeight="1">
      <c r="A347" s="3601"/>
      <c r="B347" s="2293" t="s">
        <v>35</v>
      </c>
      <c r="C347" s="3611" t="s">
        <v>276</v>
      </c>
      <c r="D347" s="1284">
        <f>+D348</f>
        <v>807828</v>
      </c>
      <c r="E347" s="1284">
        <f t="shared" ref="E347:R347" si="200">+E348</f>
        <v>0</v>
      </c>
      <c r="F347" s="1284">
        <f t="shared" si="200"/>
        <v>0</v>
      </c>
      <c r="G347" s="1284">
        <f t="shared" si="200"/>
        <v>0</v>
      </c>
      <c r="H347" s="1284">
        <f t="shared" si="200"/>
        <v>0</v>
      </c>
      <c r="I347" s="1284">
        <f t="shared" si="200"/>
        <v>0</v>
      </c>
      <c r="J347" s="1284">
        <f t="shared" si="200"/>
        <v>0</v>
      </c>
      <c r="K347" s="1284">
        <f t="shared" si="200"/>
        <v>0</v>
      </c>
      <c r="L347" s="1284">
        <f t="shared" si="200"/>
        <v>0</v>
      </c>
      <c r="M347" s="1284">
        <f>+M348</f>
        <v>807828</v>
      </c>
      <c r="N347" s="1284">
        <f t="shared" si="200"/>
        <v>807828</v>
      </c>
      <c r="O347" s="1284">
        <f t="shared" si="200"/>
        <v>0</v>
      </c>
      <c r="P347" s="1284">
        <f t="shared" si="200"/>
        <v>0</v>
      </c>
      <c r="Q347" s="1284">
        <f t="shared" si="200"/>
        <v>0</v>
      </c>
      <c r="R347" s="1284">
        <f t="shared" si="200"/>
        <v>0</v>
      </c>
      <c r="S347" s="1284"/>
      <c r="T347" s="1284"/>
      <c r="U347" s="1284"/>
      <c r="V347" s="1284"/>
      <c r="W347" s="1284"/>
      <c r="X347" s="3606"/>
      <c r="Y347" s="3609"/>
    </row>
    <row r="348" spans="1:27" ht="12" customHeight="1">
      <c r="A348" s="3601"/>
      <c r="B348" s="2284" t="s">
        <v>26</v>
      </c>
      <c r="C348" s="3612"/>
      <c r="D348" s="2234">
        <f>+M348+P348+Q348+R348+S348+T348+U348+V348+W348</f>
        <v>807828</v>
      </c>
      <c r="E348" s="2266"/>
      <c r="F348" s="2266"/>
      <c r="G348" s="2266"/>
      <c r="H348" s="2266"/>
      <c r="I348" s="2266"/>
      <c r="J348" s="2266"/>
      <c r="K348" s="2266"/>
      <c r="L348" s="2266"/>
      <c r="M348" s="2273">
        <f>+N348+O348+E348+F348+G348+H348+I348+J348+K348+L348</f>
        <v>807828</v>
      </c>
      <c r="N348" s="2266">
        <v>807828</v>
      </c>
      <c r="O348" s="2266"/>
      <c r="P348" s="2266">
        <v>0</v>
      </c>
      <c r="Q348" s="2266"/>
      <c r="R348" s="2266"/>
      <c r="S348" s="2266"/>
      <c r="T348" s="2266"/>
      <c r="U348" s="2266"/>
      <c r="V348" s="2266"/>
      <c r="W348" s="2266"/>
      <c r="X348" s="3606"/>
      <c r="Y348" s="3609"/>
    </row>
    <row r="349" spans="1:27" s="353" customFormat="1" ht="13.5" customHeight="1">
      <c r="A349" s="3601"/>
      <c r="B349" s="1350" t="s">
        <v>29</v>
      </c>
      <c r="C349" s="3612"/>
      <c r="D349" s="2120">
        <f>+D350</f>
        <v>22482500</v>
      </c>
      <c r="E349" s="2120">
        <f t="shared" ref="E349:R349" si="201">+E350</f>
        <v>0</v>
      </c>
      <c r="F349" s="2120">
        <f t="shared" si="201"/>
        <v>0</v>
      </c>
      <c r="G349" s="2120">
        <f t="shared" si="201"/>
        <v>0</v>
      </c>
      <c r="H349" s="2120">
        <f t="shared" si="201"/>
        <v>0</v>
      </c>
      <c r="I349" s="2120">
        <f t="shared" si="201"/>
        <v>0</v>
      </c>
      <c r="J349" s="2120">
        <f t="shared" si="201"/>
        <v>0</v>
      </c>
      <c r="K349" s="2120">
        <f t="shared" si="201"/>
        <v>0</v>
      </c>
      <c r="L349" s="2120">
        <f t="shared" si="201"/>
        <v>0</v>
      </c>
      <c r="M349" s="1284">
        <f>+M350</f>
        <v>0</v>
      </c>
      <c r="N349" s="1441">
        <f t="shared" si="201"/>
        <v>0</v>
      </c>
      <c r="O349" s="1441">
        <f t="shared" si="201"/>
        <v>0</v>
      </c>
      <c r="P349" s="2120">
        <f t="shared" si="201"/>
        <v>0</v>
      </c>
      <c r="Q349" s="2120">
        <f t="shared" si="201"/>
        <v>5610000</v>
      </c>
      <c r="R349" s="2120">
        <f t="shared" si="201"/>
        <v>16872500</v>
      </c>
      <c r="S349" s="2120"/>
      <c r="T349" s="2120"/>
      <c r="U349" s="2120"/>
      <c r="V349" s="2120"/>
      <c r="W349" s="2120"/>
      <c r="X349" s="3606"/>
      <c r="Y349" s="3609"/>
    </row>
    <row r="350" spans="1:27" s="353" customFormat="1" ht="13.5" thickBot="1">
      <c r="A350" s="3602"/>
      <c r="B350" s="2294" t="s">
        <v>32</v>
      </c>
      <c r="C350" s="3613"/>
      <c r="D350" s="2215">
        <f>+M350+P350+Q350+R350+S350+T350+U350+V350+W350</f>
        <v>22482500</v>
      </c>
      <c r="E350" s="2295">
        <f>+F350+G350+H350</f>
        <v>0</v>
      </c>
      <c r="F350" s="2296"/>
      <c r="G350" s="2295"/>
      <c r="H350" s="2295"/>
      <c r="I350" s="2295"/>
      <c r="J350" s="2295"/>
      <c r="K350" s="2295"/>
      <c r="L350" s="2295"/>
      <c r="M350" s="2215">
        <v>0</v>
      </c>
      <c r="N350" s="2297">
        <v>0</v>
      </c>
      <c r="O350" s="2297">
        <v>0</v>
      </c>
      <c r="P350" s="940">
        <v>0</v>
      </c>
      <c r="Q350" s="940">
        <v>5610000</v>
      </c>
      <c r="R350" s="940">
        <v>16872500</v>
      </c>
      <c r="S350" s="940"/>
      <c r="T350" s="940"/>
      <c r="U350" s="940"/>
      <c r="V350" s="940"/>
      <c r="W350" s="940"/>
      <c r="X350" s="3607"/>
      <c r="Y350" s="3610"/>
    </row>
    <row r="351" spans="1:27" ht="42.75" customHeight="1">
      <c r="A351" s="3600" t="s">
        <v>111</v>
      </c>
      <c r="B351" s="707" t="s">
        <v>535</v>
      </c>
      <c r="C351" s="73" t="s">
        <v>95</v>
      </c>
      <c r="D351" s="1993"/>
      <c r="E351" s="51"/>
      <c r="F351" s="51"/>
      <c r="G351" s="50"/>
      <c r="H351" s="50"/>
      <c r="I351" s="50"/>
      <c r="J351" s="50"/>
      <c r="K351" s="50"/>
      <c r="L351" s="50"/>
      <c r="M351" s="52"/>
      <c r="N351" s="52"/>
      <c r="O351" s="52"/>
      <c r="P351" s="52"/>
      <c r="Q351" s="52"/>
      <c r="R351" s="52"/>
      <c r="S351" s="52"/>
      <c r="T351" s="52"/>
      <c r="U351" s="52"/>
      <c r="V351" s="52"/>
      <c r="W351" s="52"/>
      <c r="X351" s="53"/>
      <c r="Y351" s="3597" t="s">
        <v>101</v>
      </c>
    </row>
    <row r="352" spans="1:27" ht="13.5" customHeight="1">
      <c r="A352" s="3601"/>
      <c r="B352" s="1049" t="s">
        <v>21</v>
      </c>
      <c r="C352" s="2342"/>
      <c r="D352" s="2274">
        <f>+D353+D356</f>
        <v>11300000</v>
      </c>
      <c r="E352" s="2274">
        <f t="shared" ref="E352:R352" si="202">+E353+E356</f>
        <v>0</v>
      </c>
      <c r="F352" s="2274">
        <f t="shared" si="202"/>
        <v>0</v>
      </c>
      <c r="G352" s="2274">
        <f t="shared" si="202"/>
        <v>0</v>
      </c>
      <c r="H352" s="2274">
        <f t="shared" si="202"/>
        <v>0</v>
      </c>
      <c r="I352" s="2274">
        <f t="shared" si="202"/>
        <v>0</v>
      </c>
      <c r="J352" s="2274">
        <f t="shared" si="202"/>
        <v>0</v>
      </c>
      <c r="K352" s="2274">
        <f t="shared" si="202"/>
        <v>0</v>
      </c>
      <c r="L352" s="2274">
        <f t="shared" si="202"/>
        <v>0</v>
      </c>
      <c r="M352" s="2274">
        <f t="shared" si="202"/>
        <v>0</v>
      </c>
      <c r="N352" s="2274">
        <f t="shared" si="202"/>
        <v>0</v>
      </c>
      <c r="O352" s="2274">
        <f t="shared" si="202"/>
        <v>0</v>
      </c>
      <c r="P352" s="2274">
        <f t="shared" si="202"/>
        <v>0</v>
      </c>
      <c r="Q352" s="2274">
        <f t="shared" si="202"/>
        <v>2900000</v>
      </c>
      <c r="R352" s="2274">
        <f t="shared" si="202"/>
        <v>8400000</v>
      </c>
      <c r="S352" s="2274"/>
      <c r="T352" s="2274"/>
      <c r="U352" s="2274"/>
      <c r="V352" s="2274"/>
      <c r="W352" s="2274"/>
      <c r="X352" s="2258">
        <f>+X353+X356</f>
        <v>11300000</v>
      </c>
      <c r="Y352" s="3598"/>
      <c r="Z352" s="301" t="s">
        <v>405</v>
      </c>
    </row>
    <row r="353" spans="1:27" ht="13.5" customHeight="1">
      <c r="A353" s="3601"/>
      <c r="B353" s="1338" t="s">
        <v>35</v>
      </c>
      <c r="C353" s="3603" t="s">
        <v>98</v>
      </c>
      <c r="D353" s="1695">
        <f>+D354+D355</f>
        <v>1780000</v>
      </c>
      <c r="E353" s="1695">
        <f t="shared" ref="E353:L353" si="203">+E354+E355</f>
        <v>0</v>
      </c>
      <c r="F353" s="1695">
        <f t="shared" si="203"/>
        <v>0</v>
      </c>
      <c r="G353" s="1695">
        <f t="shared" si="203"/>
        <v>0</v>
      </c>
      <c r="H353" s="1695">
        <f t="shared" si="203"/>
        <v>0</v>
      </c>
      <c r="I353" s="1695">
        <f t="shared" si="203"/>
        <v>0</v>
      </c>
      <c r="J353" s="1695">
        <f t="shared" si="203"/>
        <v>0</v>
      </c>
      <c r="K353" s="1695">
        <f t="shared" si="203"/>
        <v>0</v>
      </c>
      <c r="L353" s="1695">
        <f t="shared" si="203"/>
        <v>0</v>
      </c>
      <c r="M353" s="1695">
        <f>+M354+M355</f>
        <v>0</v>
      </c>
      <c r="N353" s="1695">
        <f>+N354+N355</f>
        <v>0</v>
      </c>
      <c r="O353" s="1695">
        <f t="shared" ref="O353:P353" si="204">+O354</f>
        <v>0</v>
      </c>
      <c r="P353" s="1695">
        <f t="shared" si="204"/>
        <v>0</v>
      </c>
      <c r="Q353" s="1695">
        <f>+Q354+Q355</f>
        <v>520000</v>
      </c>
      <c r="R353" s="1695">
        <f>+R354+R355</f>
        <v>1260000</v>
      </c>
      <c r="S353" s="1695"/>
      <c r="T353" s="1695"/>
      <c r="U353" s="1695"/>
      <c r="V353" s="1695"/>
      <c r="W353" s="1695"/>
      <c r="X353" s="1813">
        <f>+X354</f>
        <v>1780000</v>
      </c>
      <c r="Y353" s="3598"/>
      <c r="Z353" s="864"/>
    </row>
    <row r="354" spans="1:27" ht="13.5" customHeight="1">
      <c r="A354" s="3601"/>
      <c r="B354" s="1752" t="s">
        <v>23</v>
      </c>
      <c r="C354" s="3604"/>
      <c r="D354" s="2192">
        <f>M354+P354+Q354+R354+S354+T354+U354+V354+W354</f>
        <v>1780000</v>
      </c>
      <c r="E354" s="1710">
        <f>+F354+G354+H354</f>
        <v>0</v>
      </c>
      <c r="F354" s="1709">
        <v>0</v>
      </c>
      <c r="G354" s="1710">
        <v>0</v>
      </c>
      <c r="H354" s="1710">
        <v>0</v>
      </c>
      <c r="I354" s="1710">
        <v>0</v>
      </c>
      <c r="J354" s="1710">
        <v>0</v>
      </c>
      <c r="K354" s="1710">
        <v>0</v>
      </c>
      <c r="L354" s="1710"/>
      <c r="M354" s="1755">
        <f>+F354+G354+H354+I354+J354+K354+L354+N354+O354</f>
        <v>0</v>
      </c>
      <c r="N354" s="1710">
        <v>0</v>
      </c>
      <c r="O354" s="1710"/>
      <c r="P354" s="1709"/>
      <c r="Q354" s="1709">
        <v>520000</v>
      </c>
      <c r="R354" s="1709">
        <v>1260000</v>
      </c>
      <c r="S354" s="1709"/>
      <c r="T354" s="1709"/>
      <c r="U354" s="1709"/>
      <c r="V354" s="1709"/>
      <c r="W354" s="1709"/>
      <c r="X354" s="2285">
        <f>SUM(Q354:W354)</f>
        <v>1780000</v>
      </c>
      <c r="Y354" s="3598"/>
    </row>
    <row r="355" spans="1:27" ht="13.5" hidden="1" customHeight="1">
      <c r="A355" s="3601"/>
      <c r="B355" s="2339" t="s">
        <v>26</v>
      </c>
      <c r="C355" s="3604"/>
      <c r="D355" s="2192">
        <f>M355+P355+Q355+R355+S355+T355+U355+V355+W355</f>
        <v>0</v>
      </c>
      <c r="E355" s="2340"/>
      <c r="F355" s="2340"/>
      <c r="G355" s="2340"/>
      <c r="H355" s="2340"/>
      <c r="I355" s="2340"/>
      <c r="J355" s="2340"/>
      <c r="K355" s="2340"/>
      <c r="L355" s="306"/>
      <c r="M355" s="1755">
        <f>+F355+G355+H355+I355+J355+K355+L355+N355+O355</f>
        <v>0</v>
      </c>
      <c r="N355" s="1710">
        <v>0</v>
      </c>
      <c r="O355" s="2986">
        <v>0</v>
      </c>
      <c r="P355" s="2340"/>
      <c r="Q355" s="2340">
        <v>0</v>
      </c>
      <c r="R355" s="2340">
        <v>0</v>
      </c>
      <c r="S355" s="2340"/>
      <c r="T355" s="2340"/>
      <c r="U355" s="2340"/>
      <c r="V355" s="2340"/>
      <c r="W355" s="2340"/>
      <c r="X355" s="2285">
        <f>SUM(Q355:W355)</f>
        <v>0</v>
      </c>
      <c r="Y355" s="3598"/>
    </row>
    <row r="356" spans="1:27" ht="13.5" customHeight="1">
      <c r="A356" s="3601"/>
      <c r="B356" s="2291" t="s">
        <v>29</v>
      </c>
      <c r="C356" s="3604"/>
      <c r="D356" s="1284">
        <f>+D357</f>
        <v>9520000</v>
      </c>
      <c r="E356" s="1284">
        <f t="shared" ref="E356:R356" si="205">+E357</f>
        <v>0</v>
      </c>
      <c r="F356" s="1284">
        <f t="shared" si="205"/>
        <v>0</v>
      </c>
      <c r="G356" s="1284">
        <f t="shared" si="205"/>
        <v>0</v>
      </c>
      <c r="H356" s="1284">
        <f t="shared" si="205"/>
        <v>0</v>
      </c>
      <c r="I356" s="1284">
        <f t="shared" si="205"/>
        <v>0</v>
      </c>
      <c r="J356" s="1284">
        <f t="shared" si="205"/>
        <v>0</v>
      </c>
      <c r="K356" s="1284">
        <f t="shared" si="205"/>
        <v>0</v>
      </c>
      <c r="L356" s="1284">
        <f t="shared" si="205"/>
        <v>0</v>
      </c>
      <c r="M356" s="1284">
        <f t="shared" si="205"/>
        <v>0</v>
      </c>
      <c r="N356" s="1284">
        <f t="shared" si="205"/>
        <v>0</v>
      </c>
      <c r="O356" s="2292">
        <f t="shared" si="205"/>
        <v>0</v>
      </c>
      <c r="P356" s="1284">
        <f t="shared" si="205"/>
        <v>0</v>
      </c>
      <c r="Q356" s="1284">
        <f t="shared" si="205"/>
        <v>2380000</v>
      </c>
      <c r="R356" s="1284">
        <f t="shared" si="205"/>
        <v>7140000</v>
      </c>
      <c r="S356" s="1284"/>
      <c r="T356" s="1284"/>
      <c r="U356" s="1284"/>
      <c r="V356" s="1284"/>
      <c r="W356" s="1284"/>
      <c r="X356" s="1280">
        <f>+X357</f>
        <v>9520000</v>
      </c>
      <c r="Y356" s="3598"/>
    </row>
    <row r="357" spans="1:27" ht="13.5" customHeight="1">
      <c r="A357" s="3601"/>
      <c r="B357" s="1392" t="s">
        <v>32</v>
      </c>
      <c r="C357" s="3717"/>
      <c r="D357" s="2234">
        <f>+M357+P357+Q357+R357+S357+T357+U357+V357+W357</f>
        <v>9520000</v>
      </c>
      <c r="E357" s="1710">
        <f>+F357+G357+H357</f>
        <v>0</v>
      </c>
      <c r="F357" s="1709"/>
      <c r="G357" s="1709"/>
      <c r="H357" s="1710"/>
      <c r="I357" s="1710"/>
      <c r="J357" s="1710"/>
      <c r="K357" s="1710"/>
      <c r="L357" s="1710"/>
      <c r="M357" s="2273">
        <v>0</v>
      </c>
      <c r="N357" s="1710"/>
      <c r="O357" s="1731"/>
      <c r="P357" s="1709">
        <v>0</v>
      </c>
      <c r="Q357" s="1709">
        <v>2380000</v>
      </c>
      <c r="R357" s="1709">
        <v>7140000</v>
      </c>
      <c r="S357" s="1709"/>
      <c r="T357" s="1709"/>
      <c r="U357" s="1709"/>
      <c r="V357" s="1709"/>
      <c r="W357" s="1709"/>
      <c r="X357" s="2285">
        <f>SUM(Q357:W357)</f>
        <v>9520000</v>
      </c>
      <c r="Y357" s="3599"/>
    </row>
    <row r="358" spans="1:27" ht="18" customHeight="1">
      <c r="A358" s="3601"/>
      <c r="B358" s="1049" t="s">
        <v>33</v>
      </c>
      <c r="C358" s="1270"/>
      <c r="D358" s="1690">
        <f>+D361+D359</f>
        <v>9520000</v>
      </c>
      <c r="E358" s="1690">
        <f t="shared" ref="E358:R358" si="206">+E361+E359</f>
        <v>0</v>
      </c>
      <c r="F358" s="1690">
        <f t="shared" si="206"/>
        <v>0</v>
      </c>
      <c r="G358" s="1690">
        <f t="shared" si="206"/>
        <v>0</v>
      </c>
      <c r="H358" s="1690">
        <f t="shared" si="206"/>
        <v>0</v>
      </c>
      <c r="I358" s="1690">
        <f t="shared" si="206"/>
        <v>0</v>
      </c>
      <c r="J358" s="1690">
        <f t="shared" si="206"/>
        <v>0</v>
      </c>
      <c r="K358" s="1690">
        <f t="shared" si="206"/>
        <v>0</v>
      </c>
      <c r="L358" s="1690">
        <f t="shared" si="206"/>
        <v>0</v>
      </c>
      <c r="M358" s="1690">
        <f t="shared" si="206"/>
        <v>0</v>
      </c>
      <c r="N358" s="1690">
        <f t="shared" si="206"/>
        <v>0</v>
      </c>
      <c r="O358" s="1690">
        <f t="shared" si="206"/>
        <v>0</v>
      </c>
      <c r="P358" s="1690">
        <f t="shared" si="206"/>
        <v>0</v>
      </c>
      <c r="Q358" s="1690">
        <f t="shared" si="206"/>
        <v>2380000</v>
      </c>
      <c r="R358" s="1690">
        <f t="shared" si="206"/>
        <v>7140000</v>
      </c>
      <c r="S358" s="1690"/>
      <c r="T358" s="1690"/>
      <c r="U358" s="1690"/>
      <c r="V358" s="1690"/>
      <c r="W358" s="1690"/>
      <c r="X358" s="3605" t="s">
        <v>34</v>
      </c>
      <c r="Y358" s="3608" t="s">
        <v>118</v>
      </c>
      <c r="Z358" s="864"/>
      <c r="AA358" s="864">
        <v>-1230552</v>
      </c>
    </row>
    <row r="359" spans="1:27" ht="12" hidden="1" customHeight="1">
      <c r="A359" s="3601"/>
      <c r="B359" s="2293" t="s">
        <v>35</v>
      </c>
      <c r="C359" s="3611" t="s">
        <v>276</v>
      </c>
      <c r="D359" s="1284">
        <f>+D360</f>
        <v>0</v>
      </c>
      <c r="E359" s="1284">
        <f t="shared" ref="E359:R359" si="207">+E360</f>
        <v>0</v>
      </c>
      <c r="F359" s="1284">
        <f t="shared" si="207"/>
        <v>0</v>
      </c>
      <c r="G359" s="1284">
        <f t="shared" si="207"/>
        <v>0</v>
      </c>
      <c r="H359" s="1284">
        <f t="shared" si="207"/>
        <v>0</v>
      </c>
      <c r="I359" s="1284">
        <f t="shared" si="207"/>
        <v>0</v>
      </c>
      <c r="J359" s="1284">
        <f t="shared" si="207"/>
        <v>0</v>
      </c>
      <c r="K359" s="1284">
        <f t="shared" si="207"/>
        <v>0</v>
      </c>
      <c r="L359" s="1284">
        <f t="shared" si="207"/>
        <v>0</v>
      </c>
      <c r="M359" s="1284">
        <f>+M360</f>
        <v>0</v>
      </c>
      <c r="N359" s="1284">
        <f t="shared" si="207"/>
        <v>0</v>
      </c>
      <c r="O359" s="1284">
        <f t="shared" si="207"/>
        <v>0</v>
      </c>
      <c r="P359" s="1284">
        <f t="shared" si="207"/>
        <v>0</v>
      </c>
      <c r="Q359" s="1284">
        <f t="shared" si="207"/>
        <v>0</v>
      </c>
      <c r="R359" s="1284">
        <f t="shared" si="207"/>
        <v>0</v>
      </c>
      <c r="S359" s="1284"/>
      <c r="T359" s="1284"/>
      <c r="U359" s="1284"/>
      <c r="V359" s="1284"/>
      <c r="W359" s="1284"/>
      <c r="X359" s="3606"/>
      <c r="Y359" s="3609"/>
    </row>
    <row r="360" spans="1:27" ht="12" hidden="1" customHeight="1">
      <c r="A360" s="3601"/>
      <c r="B360" s="2284" t="s">
        <v>26</v>
      </c>
      <c r="C360" s="3612"/>
      <c r="D360" s="2234">
        <f>+M360+P360+Q360+R360+S360+T360+U360+V360+W360</f>
        <v>0</v>
      </c>
      <c r="E360" s="2266"/>
      <c r="F360" s="2266"/>
      <c r="G360" s="2266"/>
      <c r="H360" s="2266"/>
      <c r="I360" s="2266"/>
      <c r="J360" s="2266"/>
      <c r="K360" s="2266"/>
      <c r="L360" s="2266"/>
      <c r="M360" s="2273">
        <f>+N360+O360+E360+F360+G360+H360+I360+J360+K360+L360</f>
        <v>0</v>
      </c>
      <c r="N360" s="2266">
        <v>0</v>
      </c>
      <c r="O360" s="2266"/>
      <c r="P360" s="2266"/>
      <c r="Q360" s="2266"/>
      <c r="R360" s="2266"/>
      <c r="S360" s="2266"/>
      <c r="T360" s="2266"/>
      <c r="U360" s="2266"/>
      <c r="V360" s="2266"/>
      <c r="W360" s="2266"/>
      <c r="X360" s="3606"/>
      <c r="Y360" s="3609"/>
    </row>
    <row r="361" spans="1:27" s="353" customFormat="1" ht="13.5" customHeight="1">
      <c r="A361" s="3601"/>
      <c r="B361" s="1350" t="s">
        <v>29</v>
      </c>
      <c r="C361" s="3612"/>
      <c r="D361" s="2120">
        <f>+D362</f>
        <v>9520000</v>
      </c>
      <c r="E361" s="2120">
        <f t="shared" ref="E361:R361" si="208">+E362</f>
        <v>0</v>
      </c>
      <c r="F361" s="2120">
        <f t="shared" si="208"/>
        <v>0</v>
      </c>
      <c r="G361" s="2120">
        <f t="shared" si="208"/>
        <v>0</v>
      </c>
      <c r="H361" s="2120">
        <f t="shared" si="208"/>
        <v>0</v>
      </c>
      <c r="I361" s="2120">
        <f t="shared" si="208"/>
        <v>0</v>
      </c>
      <c r="J361" s="2120">
        <f t="shared" si="208"/>
        <v>0</v>
      </c>
      <c r="K361" s="2120">
        <f t="shared" si="208"/>
        <v>0</v>
      </c>
      <c r="L361" s="2120">
        <f t="shared" si="208"/>
        <v>0</v>
      </c>
      <c r="M361" s="1284">
        <f>+M362</f>
        <v>0</v>
      </c>
      <c r="N361" s="1441">
        <f t="shared" si="208"/>
        <v>0</v>
      </c>
      <c r="O361" s="1441">
        <f t="shared" si="208"/>
        <v>0</v>
      </c>
      <c r="P361" s="2120">
        <f t="shared" si="208"/>
        <v>0</v>
      </c>
      <c r="Q361" s="2120">
        <f t="shared" si="208"/>
        <v>2380000</v>
      </c>
      <c r="R361" s="2120">
        <f t="shared" si="208"/>
        <v>7140000</v>
      </c>
      <c r="S361" s="2120"/>
      <c r="T361" s="2120"/>
      <c r="U361" s="2120"/>
      <c r="V361" s="2120"/>
      <c r="W361" s="2120"/>
      <c r="X361" s="3606"/>
      <c r="Y361" s="3609"/>
    </row>
    <row r="362" spans="1:27" s="353" customFormat="1" ht="13.5" thickBot="1">
      <c r="A362" s="3602"/>
      <c r="B362" s="2294" t="s">
        <v>32</v>
      </c>
      <c r="C362" s="3613"/>
      <c r="D362" s="2215">
        <f>+M362+P362+Q362+R362+S362+T362+U362+V362+W362</f>
        <v>9520000</v>
      </c>
      <c r="E362" s="2295">
        <f>+F362+G362+H362</f>
        <v>0</v>
      </c>
      <c r="F362" s="2296"/>
      <c r="G362" s="2295"/>
      <c r="H362" s="2295"/>
      <c r="I362" s="2295"/>
      <c r="J362" s="2295"/>
      <c r="K362" s="2295"/>
      <c r="L362" s="2295"/>
      <c r="M362" s="2215">
        <v>0</v>
      </c>
      <c r="N362" s="2297">
        <v>0</v>
      </c>
      <c r="O362" s="2297">
        <v>0</v>
      </c>
      <c r="P362" s="940">
        <v>0</v>
      </c>
      <c r="Q362" s="940">
        <v>2380000</v>
      </c>
      <c r="R362" s="940">
        <v>7140000</v>
      </c>
      <c r="S362" s="940"/>
      <c r="T362" s="940"/>
      <c r="U362" s="940"/>
      <c r="V362" s="940"/>
      <c r="W362" s="940"/>
      <c r="X362" s="3607"/>
      <c r="Y362" s="3610"/>
    </row>
    <row r="363" spans="1:27" ht="31.5" customHeight="1">
      <c r="A363" s="3600" t="s">
        <v>112</v>
      </c>
      <c r="B363" s="707" t="s">
        <v>536</v>
      </c>
      <c r="C363" s="73" t="s">
        <v>95</v>
      </c>
      <c r="D363" s="1993"/>
      <c r="E363" s="51"/>
      <c r="F363" s="51"/>
      <c r="G363" s="50"/>
      <c r="H363" s="50"/>
      <c r="I363" s="50"/>
      <c r="J363" s="50"/>
      <c r="K363" s="50"/>
      <c r="L363" s="50"/>
      <c r="M363" s="52"/>
      <c r="N363" s="52"/>
      <c r="O363" s="52"/>
      <c r="P363" s="52"/>
      <c r="Q363" s="52"/>
      <c r="R363" s="52"/>
      <c r="S363" s="52"/>
      <c r="T363" s="52"/>
      <c r="U363" s="52"/>
      <c r="V363" s="52"/>
      <c r="W363" s="52"/>
      <c r="X363" s="53"/>
      <c r="Y363" s="3597" t="s">
        <v>101</v>
      </c>
    </row>
    <row r="364" spans="1:27" ht="13.5" customHeight="1">
      <c r="A364" s="3601"/>
      <c r="B364" s="1049" t="s">
        <v>21</v>
      </c>
      <c r="C364" s="2342"/>
      <c r="D364" s="2274">
        <f>+D365+D368</f>
        <v>36640000</v>
      </c>
      <c r="E364" s="2274">
        <f t="shared" ref="E364:R364" si="209">+E365+E368</f>
        <v>0</v>
      </c>
      <c r="F364" s="2274">
        <f t="shared" si="209"/>
        <v>0</v>
      </c>
      <c r="G364" s="2274">
        <f t="shared" si="209"/>
        <v>0</v>
      </c>
      <c r="H364" s="2274">
        <f t="shared" si="209"/>
        <v>0</v>
      </c>
      <c r="I364" s="2274">
        <f t="shared" si="209"/>
        <v>0</v>
      </c>
      <c r="J364" s="2274">
        <f t="shared" si="209"/>
        <v>0</v>
      </c>
      <c r="K364" s="2274">
        <f t="shared" si="209"/>
        <v>0</v>
      </c>
      <c r="L364" s="2274">
        <f t="shared" si="209"/>
        <v>0</v>
      </c>
      <c r="M364" s="2274">
        <f t="shared" si="209"/>
        <v>0</v>
      </c>
      <c r="N364" s="2274">
        <f t="shared" si="209"/>
        <v>0</v>
      </c>
      <c r="O364" s="2274">
        <f t="shared" si="209"/>
        <v>0</v>
      </c>
      <c r="P364" s="2274">
        <f t="shared" si="209"/>
        <v>0</v>
      </c>
      <c r="Q364" s="2274">
        <f t="shared" si="209"/>
        <v>5496000</v>
      </c>
      <c r="R364" s="2274">
        <f t="shared" si="209"/>
        <v>31144000</v>
      </c>
      <c r="S364" s="2274"/>
      <c r="T364" s="2274"/>
      <c r="U364" s="2274"/>
      <c r="V364" s="2274"/>
      <c r="W364" s="2274"/>
      <c r="X364" s="2258">
        <f>+X365+X368</f>
        <v>36640000</v>
      </c>
      <c r="Y364" s="3598"/>
      <c r="Z364" s="301" t="s">
        <v>405</v>
      </c>
    </row>
    <row r="365" spans="1:27" ht="13.5" customHeight="1">
      <c r="A365" s="3601"/>
      <c r="B365" s="1338" t="s">
        <v>35</v>
      </c>
      <c r="C365" s="3603" t="s">
        <v>98</v>
      </c>
      <c r="D365" s="1695">
        <f>+D366+D367</f>
        <v>5496000</v>
      </c>
      <c r="E365" s="1695">
        <f t="shared" ref="E365:L365" si="210">+E366+E367</f>
        <v>0</v>
      </c>
      <c r="F365" s="1695">
        <f t="shared" si="210"/>
        <v>0</v>
      </c>
      <c r="G365" s="1695">
        <f t="shared" si="210"/>
        <v>0</v>
      </c>
      <c r="H365" s="1695">
        <f t="shared" si="210"/>
        <v>0</v>
      </c>
      <c r="I365" s="1695">
        <f t="shared" si="210"/>
        <v>0</v>
      </c>
      <c r="J365" s="1695">
        <f t="shared" si="210"/>
        <v>0</v>
      </c>
      <c r="K365" s="1695">
        <f t="shared" si="210"/>
        <v>0</v>
      </c>
      <c r="L365" s="1695">
        <f t="shared" si="210"/>
        <v>0</v>
      </c>
      <c r="M365" s="1695">
        <f>+M366+M367</f>
        <v>0</v>
      </c>
      <c r="N365" s="1695">
        <f>+N366+N367</f>
        <v>0</v>
      </c>
      <c r="O365" s="1695">
        <f t="shared" ref="O365:P365" si="211">+O366</f>
        <v>0</v>
      </c>
      <c r="P365" s="1695">
        <f t="shared" si="211"/>
        <v>0</v>
      </c>
      <c r="Q365" s="1695">
        <f>+Q366+Q367</f>
        <v>824400</v>
      </c>
      <c r="R365" s="1695">
        <f>+R366+R367</f>
        <v>4671600</v>
      </c>
      <c r="S365" s="1695"/>
      <c r="T365" s="1695"/>
      <c r="U365" s="1695"/>
      <c r="V365" s="1695"/>
      <c r="W365" s="1695"/>
      <c r="X365" s="1813">
        <f>+X366</f>
        <v>5496000</v>
      </c>
      <c r="Y365" s="3598"/>
      <c r="Z365" s="864"/>
    </row>
    <row r="366" spans="1:27" ht="13.5" customHeight="1">
      <c r="A366" s="3601"/>
      <c r="B366" s="1752" t="s">
        <v>23</v>
      </c>
      <c r="C366" s="3604"/>
      <c r="D366" s="2192">
        <f>M366+P366+Q366+R366+S366+T366+U366+V366+W366</f>
        <v>5496000</v>
      </c>
      <c r="E366" s="1710">
        <f>+F366+G366+H366</f>
        <v>0</v>
      </c>
      <c r="F366" s="1709">
        <v>0</v>
      </c>
      <c r="G366" s="1710">
        <v>0</v>
      </c>
      <c r="H366" s="1710">
        <v>0</v>
      </c>
      <c r="I366" s="1710">
        <v>0</v>
      </c>
      <c r="J366" s="1710">
        <v>0</v>
      </c>
      <c r="K366" s="1710">
        <v>0</v>
      </c>
      <c r="L366" s="1710"/>
      <c r="M366" s="1755">
        <f>+F366+G366+H366+I366+J366+K366+L366+N366+O366</f>
        <v>0</v>
      </c>
      <c r="N366" s="1710">
        <v>0</v>
      </c>
      <c r="O366" s="1710"/>
      <c r="P366" s="1709"/>
      <c r="Q366" s="1709">
        <v>824400</v>
      </c>
      <c r="R366" s="1709">
        <v>4671600</v>
      </c>
      <c r="S366" s="1709"/>
      <c r="T366" s="1709"/>
      <c r="U366" s="1709"/>
      <c r="V366" s="1709"/>
      <c r="W366" s="1709"/>
      <c r="X366" s="2285">
        <f>SUM(Q366:W366)</f>
        <v>5496000</v>
      </c>
      <c r="Y366" s="3598"/>
    </row>
    <row r="367" spans="1:27" ht="13.5" hidden="1" customHeight="1">
      <c r="A367" s="3601"/>
      <c r="B367" s="2339" t="s">
        <v>26</v>
      </c>
      <c r="C367" s="3604"/>
      <c r="D367" s="2192">
        <f>M367+P367+Q367+R367+S367+T367+U367+V367+W367</f>
        <v>0</v>
      </c>
      <c r="E367" s="2340"/>
      <c r="F367" s="2340"/>
      <c r="G367" s="2340"/>
      <c r="H367" s="2340"/>
      <c r="I367" s="2340"/>
      <c r="J367" s="2340"/>
      <c r="K367" s="2340"/>
      <c r="L367" s="306"/>
      <c r="M367" s="1755">
        <f>+F367+G367+H367+I367+J367+K367+L367+N367+O367</f>
        <v>0</v>
      </c>
      <c r="N367" s="1710">
        <v>0</v>
      </c>
      <c r="O367" s="2986">
        <v>0</v>
      </c>
      <c r="P367" s="2340"/>
      <c r="Q367" s="2340">
        <v>0</v>
      </c>
      <c r="R367" s="2340">
        <v>0</v>
      </c>
      <c r="S367" s="2340"/>
      <c r="T367" s="2340"/>
      <c r="U367" s="2340"/>
      <c r="V367" s="2340"/>
      <c r="W367" s="2340"/>
      <c r="X367" s="2285">
        <f>SUM(Q367:W367)</f>
        <v>0</v>
      </c>
      <c r="Y367" s="3598"/>
    </row>
    <row r="368" spans="1:27" ht="13.5" customHeight="1">
      <c r="A368" s="3601"/>
      <c r="B368" s="2291" t="s">
        <v>29</v>
      </c>
      <c r="C368" s="3604"/>
      <c r="D368" s="1284">
        <f>+D369</f>
        <v>31144000</v>
      </c>
      <c r="E368" s="1284">
        <f t="shared" ref="E368:R368" si="212">+E369</f>
        <v>0</v>
      </c>
      <c r="F368" s="1284">
        <f t="shared" si="212"/>
        <v>0</v>
      </c>
      <c r="G368" s="1284">
        <f t="shared" si="212"/>
        <v>0</v>
      </c>
      <c r="H368" s="1284">
        <f t="shared" si="212"/>
        <v>0</v>
      </c>
      <c r="I368" s="1284">
        <f t="shared" si="212"/>
        <v>0</v>
      </c>
      <c r="J368" s="1284">
        <f t="shared" si="212"/>
        <v>0</v>
      </c>
      <c r="K368" s="1284">
        <f t="shared" si="212"/>
        <v>0</v>
      </c>
      <c r="L368" s="1284">
        <f t="shared" si="212"/>
        <v>0</v>
      </c>
      <c r="M368" s="1284">
        <f t="shared" si="212"/>
        <v>0</v>
      </c>
      <c r="N368" s="1284">
        <f t="shared" si="212"/>
        <v>0</v>
      </c>
      <c r="O368" s="2292">
        <f t="shared" si="212"/>
        <v>0</v>
      </c>
      <c r="P368" s="1284">
        <f t="shared" si="212"/>
        <v>0</v>
      </c>
      <c r="Q368" s="1284">
        <f t="shared" si="212"/>
        <v>4671600</v>
      </c>
      <c r="R368" s="1284">
        <f t="shared" si="212"/>
        <v>26472400</v>
      </c>
      <c r="S368" s="1284"/>
      <c r="T368" s="1284"/>
      <c r="U368" s="1284"/>
      <c r="V368" s="1284"/>
      <c r="W368" s="1284"/>
      <c r="X368" s="1280">
        <f>+X369</f>
        <v>31144000</v>
      </c>
      <c r="Y368" s="3598"/>
    </row>
    <row r="369" spans="1:27" ht="13.5" customHeight="1">
      <c r="A369" s="3601"/>
      <c r="B369" s="1392" t="s">
        <v>32</v>
      </c>
      <c r="C369" s="3604"/>
      <c r="D369" s="2234">
        <f>+M369+P369+Q369+R369+S369+T369+U369+V369+W369</f>
        <v>31144000</v>
      </c>
      <c r="E369" s="1710">
        <f>+F369+G369+H369</f>
        <v>0</v>
      </c>
      <c r="F369" s="1709"/>
      <c r="G369" s="1709"/>
      <c r="H369" s="1710"/>
      <c r="I369" s="1710"/>
      <c r="J369" s="1710"/>
      <c r="K369" s="1710"/>
      <c r="L369" s="1710"/>
      <c r="M369" s="2273">
        <v>0</v>
      </c>
      <c r="N369" s="1710"/>
      <c r="O369" s="1731"/>
      <c r="P369" s="1709">
        <v>0</v>
      </c>
      <c r="Q369" s="1709">
        <v>4671600</v>
      </c>
      <c r="R369" s="1709">
        <v>26472400</v>
      </c>
      <c r="S369" s="1709"/>
      <c r="T369" s="1709"/>
      <c r="U369" s="1709"/>
      <c r="V369" s="1709"/>
      <c r="W369" s="1709"/>
      <c r="X369" s="2285">
        <f>SUM(Q369:W369)</f>
        <v>31144000</v>
      </c>
      <c r="Y369" s="3599"/>
    </row>
    <row r="370" spans="1:27" ht="20.25" customHeight="1">
      <c r="A370" s="3601"/>
      <c r="B370" s="1049" t="s">
        <v>33</v>
      </c>
      <c r="C370" s="1270"/>
      <c r="D370" s="1690">
        <f>+D373+D371</f>
        <v>31144000</v>
      </c>
      <c r="E370" s="1690">
        <f t="shared" ref="E370:R370" si="213">+E373+E371</f>
        <v>0</v>
      </c>
      <c r="F370" s="1690">
        <f t="shared" si="213"/>
        <v>0</v>
      </c>
      <c r="G370" s="1690">
        <f t="shared" si="213"/>
        <v>0</v>
      </c>
      <c r="H370" s="1690">
        <f t="shared" si="213"/>
        <v>0</v>
      </c>
      <c r="I370" s="1690">
        <f t="shared" si="213"/>
        <v>0</v>
      </c>
      <c r="J370" s="1690">
        <f t="shared" si="213"/>
        <v>0</v>
      </c>
      <c r="K370" s="1690">
        <f t="shared" si="213"/>
        <v>0</v>
      </c>
      <c r="L370" s="1690">
        <f t="shared" si="213"/>
        <v>0</v>
      </c>
      <c r="M370" s="1690">
        <f t="shared" si="213"/>
        <v>0</v>
      </c>
      <c r="N370" s="1690">
        <f t="shared" si="213"/>
        <v>0</v>
      </c>
      <c r="O370" s="1690">
        <f t="shared" si="213"/>
        <v>0</v>
      </c>
      <c r="P370" s="1690">
        <f t="shared" si="213"/>
        <v>0</v>
      </c>
      <c r="Q370" s="1690">
        <f t="shared" si="213"/>
        <v>4671600</v>
      </c>
      <c r="R370" s="1690">
        <f t="shared" si="213"/>
        <v>26472400</v>
      </c>
      <c r="S370" s="1690"/>
      <c r="T370" s="1690"/>
      <c r="U370" s="1690"/>
      <c r="V370" s="1690"/>
      <c r="W370" s="1690"/>
      <c r="X370" s="3605" t="s">
        <v>34</v>
      </c>
      <c r="Y370" s="3608" t="s">
        <v>118</v>
      </c>
      <c r="Z370" s="864"/>
      <c r="AA370" s="864">
        <v>-1230552</v>
      </c>
    </row>
    <row r="371" spans="1:27" ht="12" hidden="1" customHeight="1">
      <c r="A371" s="3601"/>
      <c r="B371" s="2293" t="s">
        <v>35</v>
      </c>
      <c r="C371" s="3611" t="s">
        <v>276</v>
      </c>
      <c r="D371" s="1284">
        <f>+D372</f>
        <v>0</v>
      </c>
      <c r="E371" s="1284">
        <f t="shared" ref="E371:R371" si="214">+E372</f>
        <v>0</v>
      </c>
      <c r="F371" s="1284">
        <f t="shared" si="214"/>
        <v>0</v>
      </c>
      <c r="G371" s="1284">
        <f t="shared" si="214"/>
        <v>0</v>
      </c>
      <c r="H371" s="1284">
        <f t="shared" si="214"/>
        <v>0</v>
      </c>
      <c r="I371" s="1284">
        <f t="shared" si="214"/>
        <v>0</v>
      </c>
      <c r="J371" s="1284">
        <f t="shared" si="214"/>
        <v>0</v>
      </c>
      <c r="K371" s="1284">
        <f t="shared" si="214"/>
        <v>0</v>
      </c>
      <c r="L371" s="1284">
        <f t="shared" si="214"/>
        <v>0</v>
      </c>
      <c r="M371" s="1284">
        <f>+M372</f>
        <v>0</v>
      </c>
      <c r="N371" s="1284">
        <f t="shared" si="214"/>
        <v>0</v>
      </c>
      <c r="O371" s="1284">
        <f t="shared" si="214"/>
        <v>0</v>
      </c>
      <c r="P371" s="1284">
        <f t="shared" si="214"/>
        <v>0</v>
      </c>
      <c r="Q371" s="1284">
        <f t="shared" si="214"/>
        <v>0</v>
      </c>
      <c r="R371" s="1284">
        <f t="shared" si="214"/>
        <v>0</v>
      </c>
      <c r="S371" s="1284"/>
      <c r="T371" s="1284"/>
      <c r="U371" s="1284"/>
      <c r="V371" s="1284"/>
      <c r="W371" s="1284"/>
      <c r="X371" s="3606"/>
      <c r="Y371" s="3609"/>
    </row>
    <row r="372" spans="1:27" ht="12" hidden="1" customHeight="1">
      <c r="A372" s="3601"/>
      <c r="B372" s="2284" t="s">
        <v>26</v>
      </c>
      <c r="C372" s="3612"/>
      <c r="D372" s="2234">
        <f>+M372+P372+Q372+R372+S372+T372+U372+V372+W372</f>
        <v>0</v>
      </c>
      <c r="E372" s="2266"/>
      <c r="F372" s="2266"/>
      <c r="G372" s="2266"/>
      <c r="H372" s="2266"/>
      <c r="I372" s="2266"/>
      <c r="J372" s="2266"/>
      <c r="K372" s="2266"/>
      <c r="L372" s="2266"/>
      <c r="M372" s="2273">
        <f>+N372+O372+E372+F372+G372+H372+I372+J372+K372+L372</f>
        <v>0</v>
      </c>
      <c r="N372" s="2266">
        <v>0</v>
      </c>
      <c r="O372" s="2266"/>
      <c r="P372" s="2266"/>
      <c r="Q372" s="2266"/>
      <c r="R372" s="2266"/>
      <c r="S372" s="2266"/>
      <c r="T372" s="2266"/>
      <c r="U372" s="2266"/>
      <c r="V372" s="2266"/>
      <c r="W372" s="2266"/>
      <c r="X372" s="3606"/>
      <c r="Y372" s="3609"/>
    </row>
    <row r="373" spans="1:27" s="353" customFormat="1" ht="13.5" customHeight="1">
      <c r="A373" s="3601"/>
      <c r="B373" s="1350" t="s">
        <v>29</v>
      </c>
      <c r="C373" s="3612"/>
      <c r="D373" s="2120">
        <f>+D374</f>
        <v>31144000</v>
      </c>
      <c r="E373" s="2120">
        <f t="shared" ref="E373:R373" si="215">+E374</f>
        <v>0</v>
      </c>
      <c r="F373" s="2120">
        <f t="shared" si="215"/>
        <v>0</v>
      </c>
      <c r="G373" s="2120">
        <f t="shared" si="215"/>
        <v>0</v>
      </c>
      <c r="H373" s="2120">
        <f t="shared" si="215"/>
        <v>0</v>
      </c>
      <c r="I373" s="2120">
        <f t="shared" si="215"/>
        <v>0</v>
      </c>
      <c r="J373" s="2120">
        <f t="shared" si="215"/>
        <v>0</v>
      </c>
      <c r="K373" s="2120">
        <f t="shared" si="215"/>
        <v>0</v>
      </c>
      <c r="L373" s="2120">
        <f t="shared" si="215"/>
        <v>0</v>
      </c>
      <c r="M373" s="1284">
        <f>+M374</f>
        <v>0</v>
      </c>
      <c r="N373" s="1441">
        <f t="shared" si="215"/>
        <v>0</v>
      </c>
      <c r="O373" s="1441">
        <f t="shared" si="215"/>
        <v>0</v>
      </c>
      <c r="P373" s="2120">
        <f t="shared" si="215"/>
        <v>0</v>
      </c>
      <c r="Q373" s="2120">
        <f t="shared" si="215"/>
        <v>4671600</v>
      </c>
      <c r="R373" s="2120">
        <f t="shared" si="215"/>
        <v>26472400</v>
      </c>
      <c r="S373" s="2120"/>
      <c r="T373" s="2120"/>
      <c r="U373" s="2120"/>
      <c r="V373" s="2120"/>
      <c r="W373" s="2120"/>
      <c r="X373" s="3606"/>
      <c r="Y373" s="3609"/>
    </row>
    <row r="374" spans="1:27" s="353" customFormat="1" ht="13.5" thickBot="1">
      <c r="A374" s="3602"/>
      <c r="B374" s="2294" t="s">
        <v>32</v>
      </c>
      <c r="C374" s="3613"/>
      <c r="D374" s="2215">
        <f>+M374+P374+Q374+R374+S374+T374+U374+V374+W374</f>
        <v>31144000</v>
      </c>
      <c r="E374" s="2295">
        <f>+F374+G374+H374</f>
        <v>0</v>
      </c>
      <c r="F374" s="2296"/>
      <c r="G374" s="2295"/>
      <c r="H374" s="2295"/>
      <c r="I374" s="2295"/>
      <c r="J374" s="2295"/>
      <c r="K374" s="2295"/>
      <c r="L374" s="2295"/>
      <c r="M374" s="2215">
        <v>0</v>
      </c>
      <c r="N374" s="2297">
        <v>0</v>
      </c>
      <c r="O374" s="2297">
        <v>0</v>
      </c>
      <c r="P374" s="940">
        <v>0</v>
      </c>
      <c r="Q374" s="940">
        <v>4671600</v>
      </c>
      <c r="R374" s="940">
        <v>26472400</v>
      </c>
      <c r="S374" s="940"/>
      <c r="T374" s="940"/>
      <c r="U374" s="940"/>
      <c r="V374" s="940"/>
      <c r="W374" s="940"/>
      <c r="X374" s="3607"/>
      <c r="Y374" s="3610"/>
    </row>
    <row r="375" spans="1:27" ht="23.25" customHeight="1">
      <c r="A375" s="3600" t="s">
        <v>115</v>
      </c>
      <c r="B375" s="382" t="s">
        <v>383</v>
      </c>
      <c r="C375" s="73" t="s">
        <v>95</v>
      </c>
      <c r="D375" s="1993"/>
      <c r="E375" s="50"/>
      <c r="F375" s="51"/>
      <c r="G375" s="50"/>
      <c r="H375" s="50"/>
      <c r="I375" s="50"/>
      <c r="J375" s="50"/>
      <c r="K375" s="50"/>
      <c r="L375" s="50"/>
      <c r="M375" s="52"/>
      <c r="N375" s="52"/>
      <c r="O375" s="52"/>
      <c r="P375" s="52"/>
      <c r="Q375" s="52"/>
      <c r="R375" s="52"/>
      <c r="S375" s="52"/>
      <c r="T375" s="52"/>
      <c r="U375" s="52"/>
      <c r="V375" s="52"/>
      <c r="W375" s="52"/>
      <c r="X375" s="53"/>
      <c r="Y375" s="3597" t="s">
        <v>101</v>
      </c>
      <c r="Z375" s="301" t="s">
        <v>405</v>
      </c>
    </row>
    <row r="376" spans="1:27" ht="12" customHeight="1">
      <c r="A376" s="3601"/>
      <c r="B376" s="665" t="s">
        <v>21</v>
      </c>
      <c r="C376" s="836"/>
      <c r="D376" s="847">
        <f t="shared" ref="D376:P376" si="216">+D377+D380</f>
        <v>10555421</v>
      </c>
      <c r="E376" s="848">
        <f t="shared" si="216"/>
        <v>0</v>
      </c>
      <c r="F376" s="848">
        <f t="shared" si="216"/>
        <v>0</v>
      </c>
      <c r="G376" s="848">
        <f t="shared" si="216"/>
        <v>0</v>
      </c>
      <c r="H376" s="848">
        <f t="shared" si="216"/>
        <v>0</v>
      </c>
      <c r="I376" s="848">
        <f t="shared" si="216"/>
        <v>0</v>
      </c>
      <c r="J376" s="848">
        <f t="shared" si="216"/>
        <v>0</v>
      </c>
      <c r="K376" s="848">
        <f t="shared" si="216"/>
        <v>0</v>
      </c>
      <c r="L376" s="848">
        <f t="shared" si="216"/>
        <v>0</v>
      </c>
      <c r="M376" s="849">
        <f>+M377+M380</f>
        <v>0</v>
      </c>
      <c r="N376" s="849">
        <f t="shared" si="216"/>
        <v>0</v>
      </c>
      <c r="O376" s="849">
        <f t="shared" si="216"/>
        <v>0</v>
      </c>
      <c r="P376" s="848">
        <f t="shared" si="216"/>
        <v>1592</v>
      </c>
      <c r="Q376" s="848">
        <f>+Q377+Q380</f>
        <v>4358408</v>
      </c>
      <c r="R376" s="848">
        <f>+R377+R380</f>
        <v>6195421</v>
      </c>
      <c r="S376" s="848"/>
      <c r="T376" s="848"/>
      <c r="U376" s="848"/>
      <c r="V376" s="848"/>
      <c r="W376" s="848"/>
      <c r="X376" s="838">
        <f>X377+X380</f>
        <v>10553829</v>
      </c>
      <c r="Y376" s="3598"/>
      <c r="Z376" s="864"/>
    </row>
    <row r="377" spans="1:27" ht="13.5" customHeight="1">
      <c r="A377" s="3601"/>
      <c r="B377" s="855" t="s">
        <v>35</v>
      </c>
      <c r="C377" s="3627" t="s">
        <v>98</v>
      </c>
      <c r="D377" s="850">
        <f>+D378+D379</f>
        <v>9224831</v>
      </c>
      <c r="E377" s="850">
        <f t="shared" ref="E377:J377" si="217">+E378+E379</f>
        <v>0</v>
      </c>
      <c r="F377" s="850">
        <f t="shared" si="217"/>
        <v>0</v>
      </c>
      <c r="G377" s="850">
        <f t="shared" si="217"/>
        <v>0</v>
      </c>
      <c r="H377" s="850">
        <f t="shared" si="217"/>
        <v>0</v>
      </c>
      <c r="I377" s="850">
        <f t="shared" si="217"/>
        <v>0</v>
      </c>
      <c r="J377" s="850">
        <f t="shared" si="217"/>
        <v>0</v>
      </c>
      <c r="K377" s="850">
        <f t="shared" ref="K377:R377" si="218">+K378</f>
        <v>0</v>
      </c>
      <c r="L377" s="807">
        <f t="shared" si="218"/>
        <v>0</v>
      </c>
      <c r="M377" s="808">
        <f t="shared" si="218"/>
        <v>0</v>
      </c>
      <c r="N377" s="808">
        <f t="shared" si="218"/>
        <v>0</v>
      </c>
      <c r="O377" s="2193">
        <f t="shared" si="218"/>
        <v>0</v>
      </c>
      <c r="P377" s="850">
        <f t="shared" si="218"/>
        <v>239</v>
      </c>
      <c r="Q377" s="850">
        <f t="shared" si="218"/>
        <v>3029171</v>
      </c>
      <c r="R377" s="807">
        <f t="shared" si="218"/>
        <v>6195421</v>
      </c>
      <c r="S377" s="850"/>
      <c r="T377" s="850"/>
      <c r="U377" s="846"/>
      <c r="V377" s="846"/>
      <c r="W377" s="846"/>
      <c r="X377" s="840">
        <f>X378</f>
        <v>9224592</v>
      </c>
      <c r="Y377" s="3598"/>
      <c r="Z377" s="864"/>
    </row>
    <row r="378" spans="1:27" ht="12" customHeight="1">
      <c r="A378" s="3601"/>
      <c r="B378" s="2094" t="s">
        <v>23</v>
      </c>
      <c r="C378" s="3625"/>
      <c r="D378" s="2192">
        <f>M378+P378+Q378+R378+S378+T378+U378+V378+W378</f>
        <v>9224831</v>
      </c>
      <c r="E378" s="810"/>
      <c r="F378" s="841">
        <v>0</v>
      </c>
      <c r="G378" s="810"/>
      <c r="H378" s="810"/>
      <c r="I378" s="810"/>
      <c r="J378" s="810"/>
      <c r="K378" s="810"/>
      <c r="L378" s="810"/>
      <c r="M378" s="2097">
        <f>+E378+I378+J378+K378+L378+N378+O378</f>
        <v>0</v>
      </c>
      <c r="N378" s="851">
        <f>161080-161080</f>
        <v>0</v>
      </c>
      <c r="O378" s="851">
        <v>0</v>
      </c>
      <c r="P378" s="841">
        <f>2385310-385400-1650081-349590</f>
        <v>239</v>
      </c>
      <c r="Q378" s="841">
        <f>3200000-1940000+1520081+249090</f>
        <v>3029171</v>
      </c>
      <c r="R378" s="841">
        <f>4984499+500000+710922</f>
        <v>6195421</v>
      </c>
      <c r="S378" s="841"/>
      <c r="T378" s="841"/>
      <c r="U378" s="841"/>
      <c r="V378" s="841"/>
      <c r="W378" s="841"/>
      <c r="X378" s="44">
        <f>SUM(Q378:W378)</f>
        <v>9224592</v>
      </c>
      <c r="Y378" s="3598"/>
    </row>
    <row r="379" spans="1:27" hidden="1">
      <c r="A379" s="3601"/>
      <c r="B379" s="118" t="s">
        <v>26</v>
      </c>
      <c r="C379" s="3625"/>
      <c r="D379" s="852">
        <f>+E379+I379+J379+K379+L379</f>
        <v>0</v>
      </c>
      <c r="E379" s="810">
        <v>0</v>
      </c>
      <c r="F379" s="812"/>
      <c r="G379" s="812"/>
      <c r="H379" s="814"/>
      <c r="I379" s="814"/>
      <c r="J379" s="814"/>
      <c r="K379" s="812">
        <v>0</v>
      </c>
      <c r="L379" s="812">
        <v>0</v>
      </c>
      <c r="M379" s="853">
        <v>0</v>
      </c>
      <c r="N379" s="853">
        <v>0</v>
      </c>
      <c r="O379" s="853">
        <v>0</v>
      </c>
      <c r="P379" s="812">
        <v>0</v>
      </c>
      <c r="Q379" s="812"/>
      <c r="R379" s="812"/>
      <c r="S379" s="812"/>
      <c r="T379" s="812"/>
      <c r="U379" s="268"/>
      <c r="V379" s="268"/>
      <c r="W379" s="268"/>
      <c r="X379" s="85"/>
      <c r="Y379" s="3598"/>
    </row>
    <row r="380" spans="1:27" ht="13.5" customHeight="1">
      <c r="A380" s="3601"/>
      <c r="B380" s="664" t="s">
        <v>29</v>
      </c>
      <c r="C380" s="3625"/>
      <c r="D380" s="843">
        <f>+D381</f>
        <v>1330590</v>
      </c>
      <c r="E380" s="844">
        <f t="shared" ref="E380:R380" si="219">+E381</f>
        <v>0</v>
      </c>
      <c r="F380" s="844">
        <f t="shared" si="219"/>
        <v>0</v>
      </c>
      <c r="G380" s="844">
        <f t="shared" si="219"/>
        <v>0</v>
      </c>
      <c r="H380" s="844">
        <f t="shared" si="219"/>
        <v>0</v>
      </c>
      <c r="I380" s="844">
        <f t="shared" si="219"/>
        <v>0</v>
      </c>
      <c r="J380" s="844">
        <f t="shared" si="219"/>
        <v>0</v>
      </c>
      <c r="K380" s="844">
        <f t="shared" si="219"/>
        <v>0</v>
      </c>
      <c r="L380" s="844">
        <f t="shared" si="219"/>
        <v>0</v>
      </c>
      <c r="M380" s="854">
        <f t="shared" si="219"/>
        <v>0</v>
      </c>
      <c r="N380" s="854">
        <f t="shared" si="219"/>
        <v>0</v>
      </c>
      <c r="O380" s="854">
        <f t="shared" si="219"/>
        <v>0</v>
      </c>
      <c r="P380" s="844">
        <f t="shared" si="219"/>
        <v>1353</v>
      </c>
      <c r="Q380" s="850">
        <f t="shared" si="219"/>
        <v>1329237</v>
      </c>
      <c r="R380" s="854">
        <f t="shared" si="219"/>
        <v>0</v>
      </c>
      <c r="S380" s="844"/>
      <c r="T380" s="844"/>
      <c r="U380" s="843"/>
      <c r="V380" s="843"/>
      <c r="W380" s="843"/>
      <c r="X380" s="840">
        <f>X381</f>
        <v>1329237</v>
      </c>
      <c r="Y380" s="3598"/>
    </row>
    <row r="381" spans="1:27">
      <c r="A381" s="3601"/>
      <c r="B381" s="811" t="s">
        <v>32</v>
      </c>
      <c r="C381" s="3628"/>
      <c r="D381" s="2192">
        <f>M381+P381+Q381+R381+S381+T381+U381+V381+W381</f>
        <v>1330590</v>
      </c>
      <c r="E381" s="810">
        <f>+F381+G381+H381</f>
        <v>0</v>
      </c>
      <c r="F381" s="841">
        <v>0</v>
      </c>
      <c r="G381" s="810"/>
      <c r="H381" s="810"/>
      <c r="I381" s="810"/>
      <c r="J381" s="810"/>
      <c r="K381" s="810"/>
      <c r="L381" s="810">
        <v>0</v>
      </c>
      <c r="M381" s="2097">
        <f>+E381+I381+J381+K381+L381+N381+O381</f>
        <v>0</v>
      </c>
      <c r="N381" s="851">
        <v>0</v>
      </c>
      <c r="O381" s="851">
        <v>0</v>
      </c>
      <c r="P381" s="841">
        <f>1900090-1617722-281015</f>
        <v>1353</v>
      </c>
      <c r="Q381" s="841">
        <f>1617722-288485</f>
        <v>1329237</v>
      </c>
      <c r="R381" s="851">
        <v>0</v>
      </c>
      <c r="S381" s="841"/>
      <c r="T381" s="841"/>
      <c r="U381" s="841"/>
      <c r="V381" s="841"/>
      <c r="W381" s="841"/>
      <c r="X381" s="44">
        <f>SUM(Q381:W381)</f>
        <v>1329237</v>
      </c>
      <c r="Y381" s="3599"/>
    </row>
    <row r="382" spans="1:27" ht="12" customHeight="1">
      <c r="A382" s="3637"/>
      <c r="B382" s="665" t="s">
        <v>33</v>
      </c>
      <c r="C382" s="116"/>
      <c r="D382" s="134">
        <f>+D385+D383</f>
        <v>1330590</v>
      </c>
      <c r="E382" s="134">
        <f t="shared" ref="E382:J382" si="220">+E385+E383</f>
        <v>0</v>
      </c>
      <c r="F382" s="134">
        <f t="shared" si="220"/>
        <v>0</v>
      </c>
      <c r="G382" s="134">
        <f t="shared" si="220"/>
        <v>0</v>
      </c>
      <c r="H382" s="134">
        <f t="shared" si="220"/>
        <v>0</v>
      </c>
      <c r="I382" s="134">
        <f t="shared" si="220"/>
        <v>0</v>
      </c>
      <c r="J382" s="134">
        <f t="shared" si="220"/>
        <v>0</v>
      </c>
      <c r="K382" s="134">
        <f t="shared" ref="K382:Q382" si="221">+K385+K383</f>
        <v>0</v>
      </c>
      <c r="L382" s="134">
        <f t="shared" si="221"/>
        <v>0</v>
      </c>
      <c r="M382" s="2098">
        <f t="shared" si="221"/>
        <v>0</v>
      </c>
      <c r="N382" s="2098">
        <f t="shared" si="221"/>
        <v>0</v>
      </c>
      <c r="O382" s="2098">
        <f t="shared" si="221"/>
        <v>0</v>
      </c>
      <c r="P382" s="2098">
        <f t="shared" si="221"/>
        <v>0</v>
      </c>
      <c r="Q382" s="134">
        <f t="shared" si="221"/>
        <v>1330590</v>
      </c>
      <c r="R382" s="134"/>
      <c r="S382" s="134"/>
      <c r="T382" s="134"/>
      <c r="U382" s="134"/>
      <c r="V382" s="134"/>
      <c r="W382" s="134"/>
      <c r="X382" s="3780" t="s">
        <v>34</v>
      </c>
      <c r="Y382" s="3629" t="s">
        <v>118</v>
      </c>
    </row>
    <row r="383" spans="1:27" ht="13.5" hidden="1" customHeight="1">
      <c r="A383" s="3637"/>
      <c r="B383" s="855" t="s">
        <v>35</v>
      </c>
      <c r="C383" s="3627" t="s">
        <v>276</v>
      </c>
      <c r="D383" s="65">
        <f>+D384</f>
        <v>0</v>
      </c>
      <c r="E383" s="65">
        <f t="shared" ref="E383:P383" si="222">+E384</f>
        <v>0</v>
      </c>
      <c r="F383" s="65">
        <f t="shared" si="222"/>
        <v>0</v>
      </c>
      <c r="G383" s="65">
        <f t="shared" si="222"/>
        <v>0</v>
      </c>
      <c r="H383" s="65">
        <f t="shared" si="222"/>
        <v>0</v>
      </c>
      <c r="I383" s="65">
        <f t="shared" si="222"/>
        <v>0</v>
      </c>
      <c r="J383" s="65">
        <f t="shared" si="222"/>
        <v>0</v>
      </c>
      <c r="K383" s="65">
        <f t="shared" si="222"/>
        <v>0</v>
      </c>
      <c r="L383" s="65">
        <f t="shared" si="222"/>
        <v>0</v>
      </c>
      <c r="M383" s="357">
        <f t="shared" si="222"/>
        <v>0</v>
      </c>
      <c r="N383" s="357">
        <f t="shared" si="222"/>
        <v>0</v>
      </c>
      <c r="O383" s="357">
        <f t="shared" si="222"/>
        <v>0</v>
      </c>
      <c r="P383" s="357">
        <f t="shared" si="222"/>
        <v>0</v>
      </c>
      <c r="Q383" s="65"/>
      <c r="R383" s="65"/>
      <c r="S383" s="65"/>
      <c r="T383" s="65"/>
      <c r="U383" s="65"/>
      <c r="V383" s="65"/>
      <c r="W383" s="65"/>
      <c r="X383" s="3781"/>
      <c r="Y383" s="3630"/>
    </row>
    <row r="384" spans="1:27" ht="12.75" hidden="1" customHeight="1">
      <c r="A384" s="3637"/>
      <c r="B384" s="118" t="s">
        <v>26</v>
      </c>
      <c r="C384" s="3612"/>
      <c r="D384" s="852">
        <f>+E384+I384+J384+K384+L384+N384+O384</f>
        <v>0</v>
      </c>
      <c r="E384" s="845">
        <f>+F384+G384+H384</f>
        <v>0</v>
      </c>
      <c r="F384" s="845">
        <v>0</v>
      </c>
      <c r="G384" s="845">
        <v>0</v>
      </c>
      <c r="H384" s="845">
        <v>0</v>
      </c>
      <c r="I384" s="845"/>
      <c r="J384" s="845"/>
      <c r="K384" s="845">
        <v>0</v>
      </c>
      <c r="L384" s="845">
        <v>0</v>
      </c>
      <c r="M384" s="856">
        <v>0</v>
      </c>
      <c r="N384" s="856">
        <v>0</v>
      </c>
      <c r="O384" s="856">
        <v>0</v>
      </c>
      <c r="P384" s="856">
        <v>0</v>
      </c>
      <c r="Q384" s="845"/>
      <c r="R384" s="845"/>
      <c r="S384" s="845"/>
      <c r="T384" s="845"/>
      <c r="U384" s="845"/>
      <c r="V384" s="845"/>
      <c r="W384" s="845"/>
      <c r="X384" s="3781"/>
      <c r="Y384" s="3630"/>
    </row>
    <row r="385" spans="1:28" ht="12" customHeight="1">
      <c r="A385" s="3637"/>
      <c r="B385" s="664" t="s">
        <v>29</v>
      </c>
      <c r="C385" s="3612"/>
      <c r="D385" s="843">
        <f t="shared" ref="D385:Q385" si="223">+D386</f>
        <v>1330590</v>
      </c>
      <c r="E385" s="844">
        <f t="shared" si="223"/>
        <v>0</v>
      </c>
      <c r="F385" s="844">
        <f t="shared" si="223"/>
        <v>0</v>
      </c>
      <c r="G385" s="844">
        <f t="shared" si="223"/>
        <v>0</v>
      </c>
      <c r="H385" s="844">
        <f t="shared" si="223"/>
        <v>0</v>
      </c>
      <c r="I385" s="844">
        <f t="shared" si="223"/>
        <v>0</v>
      </c>
      <c r="J385" s="844">
        <f t="shared" si="223"/>
        <v>0</v>
      </c>
      <c r="K385" s="844">
        <f t="shared" si="223"/>
        <v>0</v>
      </c>
      <c r="L385" s="844">
        <f t="shared" si="223"/>
        <v>0</v>
      </c>
      <c r="M385" s="854">
        <f t="shared" si="223"/>
        <v>0</v>
      </c>
      <c r="N385" s="854">
        <f t="shared" si="223"/>
        <v>0</v>
      </c>
      <c r="O385" s="854">
        <f t="shared" si="223"/>
        <v>0</v>
      </c>
      <c r="P385" s="854">
        <f t="shared" si="223"/>
        <v>0</v>
      </c>
      <c r="Q385" s="844">
        <f t="shared" si="223"/>
        <v>1330590</v>
      </c>
      <c r="R385" s="844"/>
      <c r="S385" s="844"/>
      <c r="T385" s="844"/>
      <c r="U385" s="844"/>
      <c r="V385" s="844"/>
      <c r="W385" s="844"/>
      <c r="X385" s="3781"/>
      <c r="Y385" s="3630"/>
    </row>
    <row r="386" spans="1:28" ht="13.5" customHeight="1" thickBot="1">
      <c r="A386" s="3638"/>
      <c r="B386" s="88" t="s">
        <v>32</v>
      </c>
      <c r="C386" s="3613"/>
      <c r="D386" s="2192">
        <f>M386+P386+Q386+R386+S386+T386+U386+V386+W386</f>
        <v>1330590</v>
      </c>
      <c r="E386" s="89">
        <f>+F386+G386+H386</f>
        <v>0</v>
      </c>
      <c r="F386" s="90">
        <v>0</v>
      </c>
      <c r="G386" s="89">
        <v>0</v>
      </c>
      <c r="H386" s="89">
        <v>0</v>
      </c>
      <c r="I386" s="89">
        <f>2300000-2300000</f>
        <v>0</v>
      </c>
      <c r="J386" s="89"/>
      <c r="K386" s="89"/>
      <c r="L386" s="89"/>
      <c r="M386" s="2097">
        <f>+E386+I386+J386+K386+L386+N386+O386</f>
        <v>0</v>
      </c>
      <c r="N386" s="710">
        <v>0</v>
      </c>
      <c r="O386" s="710">
        <v>0</v>
      </c>
      <c r="P386" s="710">
        <v>0</v>
      </c>
      <c r="Q386" s="72">
        <f>1900090-569500</f>
        <v>1330590</v>
      </c>
      <c r="R386" s="72"/>
      <c r="S386" s="72"/>
      <c r="T386" s="89"/>
      <c r="U386" s="89"/>
      <c r="V386" s="89"/>
      <c r="W386" s="89"/>
      <c r="X386" s="3782"/>
      <c r="Y386" s="3631"/>
    </row>
    <row r="387" spans="1:28" ht="27.75" hidden="1" customHeight="1">
      <c r="A387" s="3600"/>
      <c r="B387" s="91"/>
      <c r="C387" s="73" t="s">
        <v>95</v>
      </c>
      <c r="D387" s="74"/>
      <c r="E387" s="926"/>
      <c r="F387" s="74"/>
      <c r="G387" s="130"/>
      <c r="H387" s="130"/>
      <c r="I387" s="129"/>
      <c r="J387" s="129"/>
      <c r="K387" s="129"/>
      <c r="L387" s="129"/>
      <c r="M387" s="52"/>
      <c r="N387" s="52"/>
      <c r="O387" s="52"/>
      <c r="P387" s="52"/>
      <c r="Q387" s="52"/>
      <c r="R387" s="52"/>
      <c r="S387" s="52"/>
      <c r="T387" s="52"/>
      <c r="U387" s="52"/>
      <c r="V387" s="52"/>
      <c r="W387" s="52"/>
      <c r="X387" s="53"/>
      <c r="Y387" s="3632" t="s">
        <v>118</v>
      </c>
      <c r="Z387" s="3652" t="s">
        <v>404</v>
      </c>
      <c r="AA387" s="3653"/>
      <c r="AB387" s="3653"/>
    </row>
    <row r="388" spans="1:28" ht="15" hidden="1" customHeight="1">
      <c r="A388" s="3601"/>
      <c r="B388" s="665" t="s">
        <v>21</v>
      </c>
      <c r="C388" s="26"/>
      <c r="D388" s="652">
        <f>+D389+D392</f>
        <v>0</v>
      </c>
      <c r="E388" s="652">
        <f>+E389+E392</f>
        <v>0</v>
      </c>
      <c r="F388" s="652">
        <f t="shared" ref="F388:O388" si="224">+F389+F392</f>
        <v>0</v>
      </c>
      <c r="G388" s="652">
        <f t="shared" si="224"/>
        <v>0</v>
      </c>
      <c r="H388" s="652">
        <f t="shared" si="224"/>
        <v>0</v>
      </c>
      <c r="I388" s="652">
        <f t="shared" si="224"/>
        <v>0</v>
      </c>
      <c r="J388" s="652">
        <f t="shared" si="224"/>
        <v>0</v>
      </c>
      <c r="K388" s="652">
        <f t="shared" si="224"/>
        <v>0</v>
      </c>
      <c r="L388" s="652">
        <f t="shared" si="224"/>
        <v>0</v>
      </c>
      <c r="M388" s="652">
        <f>+M389+M392</f>
        <v>0</v>
      </c>
      <c r="N388" s="652">
        <f t="shared" si="224"/>
        <v>0</v>
      </c>
      <c r="O388" s="2194">
        <f t="shared" si="224"/>
        <v>0</v>
      </c>
      <c r="P388" s="652">
        <f>+P389+P392</f>
        <v>0</v>
      </c>
      <c r="Q388" s="652"/>
      <c r="R388" s="652"/>
      <c r="S388" s="652"/>
      <c r="T388" s="652"/>
      <c r="U388" s="652"/>
      <c r="V388" s="652"/>
      <c r="W388" s="652"/>
      <c r="X388" s="630">
        <f>X389+X392</f>
        <v>0</v>
      </c>
      <c r="Y388" s="3609"/>
      <c r="Z388" s="864"/>
    </row>
    <row r="389" spans="1:28" ht="13.5" hidden="1" customHeight="1">
      <c r="A389" s="3601"/>
      <c r="B389" s="855" t="s">
        <v>35</v>
      </c>
      <c r="C389" s="3627" t="s">
        <v>114</v>
      </c>
      <c r="D389" s="98">
        <f>+D390+D391</f>
        <v>0</v>
      </c>
      <c r="E389" s="98">
        <f t="shared" ref="E389:P389" si="225">+E390+E391</f>
        <v>0</v>
      </c>
      <c r="F389" s="98">
        <f t="shared" si="225"/>
        <v>0</v>
      </c>
      <c r="G389" s="98">
        <f t="shared" si="225"/>
        <v>0</v>
      </c>
      <c r="H389" s="98">
        <f t="shared" si="225"/>
        <v>0</v>
      </c>
      <c r="I389" s="98">
        <f t="shared" si="225"/>
        <v>0</v>
      </c>
      <c r="J389" s="98">
        <f t="shared" si="225"/>
        <v>0</v>
      </c>
      <c r="K389" s="98">
        <f t="shared" si="225"/>
        <v>0</v>
      </c>
      <c r="L389" s="98">
        <f t="shared" si="225"/>
        <v>0</v>
      </c>
      <c r="M389" s="98">
        <f t="shared" si="225"/>
        <v>0</v>
      </c>
      <c r="N389" s="98">
        <f t="shared" si="225"/>
        <v>0</v>
      </c>
      <c r="O389" s="927">
        <f t="shared" si="225"/>
        <v>0</v>
      </c>
      <c r="P389" s="98">
        <f t="shared" si="225"/>
        <v>0</v>
      </c>
      <c r="Q389" s="98"/>
      <c r="R389" s="98"/>
      <c r="S389" s="98"/>
      <c r="T389" s="98"/>
      <c r="U389" s="98"/>
      <c r="V389" s="98"/>
      <c r="W389" s="98"/>
      <c r="X389" s="654">
        <f>+X390+X391</f>
        <v>0</v>
      </c>
      <c r="Y389" s="3609"/>
      <c r="Z389" s="864"/>
    </row>
    <row r="390" spans="1:28" ht="11.25" hidden="1" customHeight="1">
      <c r="A390" s="3601"/>
      <c r="B390" s="2093" t="s">
        <v>23</v>
      </c>
      <c r="C390" s="3625"/>
      <c r="D390" s="884">
        <f>M390+O390+P390+Q390+R390+S390+T390+U390+V390+W390</f>
        <v>0</v>
      </c>
      <c r="E390" s="633">
        <f>+F390+G390+H390</f>
        <v>0</v>
      </c>
      <c r="F390" s="655">
        <v>0</v>
      </c>
      <c r="G390" s="633">
        <v>0</v>
      </c>
      <c r="H390" s="633">
        <v>0</v>
      </c>
      <c r="I390" s="635">
        <f>184163-184163</f>
        <v>0</v>
      </c>
      <c r="J390" s="635"/>
      <c r="K390" s="635"/>
      <c r="L390" s="635"/>
      <c r="M390" s="2099">
        <f>+E390+I390+J390+K390+L390+N390</f>
        <v>0</v>
      </c>
      <c r="N390" s="635">
        <f>750000-750000</f>
        <v>0</v>
      </c>
      <c r="O390" s="2195">
        <v>0</v>
      </c>
      <c r="P390" s="928">
        <v>0</v>
      </c>
      <c r="Q390" s="928"/>
      <c r="R390" s="928"/>
      <c r="S390" s="928"/>
      <c r="T390" s="928"/>
      <c r="U390" s="928"/>
      <c r="V390" s="928"/>
      <c r="W390" s="928"/>
      <c r="X390" s="929">
        <f>SUM(P390:T390)</f>
        <v>0</v>
      </c>
      <c r="Y390" s="3609"/>
    </row>
    <row r="391" spans="1:28" ht="11.25" hidden="1" customHeight="1">
      <c r="A391" s="3601"/>
      <c r="B391" s="1182" t="s">
        <v>122</v>
      </c>
      <c r="C391" s="3625"/>
      <c r="D391" s="884">
        <f>M391+O391+P391+Q391+R391+S391+T391+U391+V391+W391</f>
        <v>0</v>
      </c>
      <c r="E391" s="655"/>
      <c r="F391" s="655"/>
      <c r="G391" s="655"/>
      <c r="H391" s="655"/>
      <c r="I391" s="656"/>
      <c r="J391" s="656"/>
      <c r="K391" s="656"/>
      <c r="L391" s="656"/>
      <c r="M391" s="2100">
        <f>+E391+I391+J391+K391+L391+N391</f>
        <v>0</v>
      </c>
      <c r="N391" s="656"/>
      <c r="O391" s="930">
        <v>0</v>
      </c>
      <c r="P391" s="655">
        <f>4715250-4715250</f>
        <v>0</v>
      </c>
      <c r="Q391" s="655"/>
      <c r="R391" s="655"/>
      <c r="S391" s="655"/>
      <c r="T391" s="655"/>
      <c r="U391" s="655"/>
      <c r="V391" s="655"/>
      <c r="W391" s="655"/>
      <c r="X391" s="657">
        <f>SUM(P391:T391)</f>
        <v>0</v>
      </c>
      <c r="Y391" s="3609"/>
    </row>
    <row r="392" spans="1:28" hidden="1">
      <c r="A392" s="3601"/>
      <c r="B392" s="885" t="s">
        <v>29</v>
      </c>
      <c r="C392" s="3625"/>
      <c r="D392" s="658">
        <f>+D393</f>
        <v>0</v>
      </c>
      <c r="E392" s="658">
        <f t="shared" ref="E392:P392" si="226">+E393</f>
        <v>0</v>
      </c>
      <c r="F392" s="658">
        <f t="shared" si="226"/>
        <v>0</v>
      </c>
      <c r="G392" s="658">
        <f t="shared" si="226"/>
        <v>0</v>
      </c>
      <c r="H392" s="658">
        <f t="shared" si="226"/>
        <v>0</v>
      </c>
      <c r="I392" s="658">
        <f t="shared" si="226"/>
        <v>0</v>
      </c>
      <c r="J392" s="658">
        <f t="shared" si="226"/>
        <v>0</v>
      </c>
      <c r="K392" s="658">
        <f t="shared" si="226"/>
        <v>0</v>
      </c>
      <c r="L392" s="658">
        <f t="shared" si="226"/>
        <v>0</v>
      </c>
      <c r="M392" s="658">
        <f t="shared" si="226"/>
        <v>0</v>
      </c>
      <c r="N392" s="658">
        <f t="shared" si="226"/>
        <v>0</v>
      </c>
      <c r="O392" s="918">
        <f t="shared" si="226"/>
        <v>0</v>
      </c>
      <c r="P392" s="658">
        <f t="shared" si="226"/>
        <v>0</v>
      </c>
      <c r="Q392" s="658"/>
      <c r="R392" s="658"/>
      <c r="S392" s="658"/>
      <c r="T392" s="658"/>
      <c r="U392" s="658"/>
      <c r="V392" s="658"/>
      <c r="W392" s="658"/>
      <c r="X392" s="654">
        <f>X393</f>
        <v>0</v>
      </c>
      <c r="Y392" s="3609"/>
    </row>
    <row r="393" spans="1:28" hidden="1">
      <c r="A393" s="3601"/>
      <c r="B393" s="931" t="s">
        <v>32</v>
      </c>
      <c r="C393" s="3625"/>
      <c r="D393" s="2192">
        <f>M393+P393+Q393+R393+S393+T393+U393+V393+W393</f>
        <v>0</v>
      </c>
      <c r="E393" s="633">
        <f>+F393+G393+H393</f>
        <v>0</v>
      </c>
      <c r="F393" s="655">
        <v>0</v>
      </c>
      <c r="G393" s="633">
        <v>0</v>
      </c>
      <c r="H393" s="633">
        <v>0</v>
      </c>
      <c r="I393" s="635">
        <f>225757-225757</f>
        <v>0</v>
      </c>
      <c r="J393" s="635"/>
      <c r="K393" s="635"/>
      <c r="L393" s="633"/>
      <c r="M393" s="2192">
        <f>+E393+I393+J393+K393+L393+N393+O393</f>
        <v>0</v>
      </c>
      <c r="N393" s="633"/>
      <c r="O393" s="2196">
        <v>0</v>
      </c>
      <c r="P393" s="655"/>
      <c r="Q393" s="655"/>
      <c r="R393" s="655"/>
      <c r="S393" s="655"/>
      <c r="T393" s="655"/>
      <c r="U393" s="655"/>
      <c r="V393" s="655"/>
      <c r="W393" s="655"/>
      <c r="X393" s="44">
        <f>SUM(Q393:W393)</f>
        <v>0</v>
      </c>
      <c r="Y393" s="3609"/>
    </row>
    <row r="394" spans="1:28" ht="15.75" hidden="1" customHeight="1">
      <c r="A394" s="3637"/>
      <c r="B394" s="25" t="s">
        <v>33</v>
      </c>
      <c r="C394" s="26"/>
      <c r="D394" s="704">
        <f>+D397+D395</f>
        <v>0</v>
      </c>
      <c r="E394" s="704">
        <f t="shared" ref="E394:P394" si="227">+E397+E395</f>
        <v>0</v>
      </c>
      <c r="F394" s="704">
        <f t="shared" si="227"/>
        <v>0</v>
      </c>
      <c r="G394" s="704">
        <f t="shared" si="227"/>
        <v>0</v>
      </c>
      <c r="H394" s="704">
        <f t="shared" si="227"/>
        <v>0</v>
      </c>
      <c r="I394" s="704">
        <f t="shared" si="227"/>
        <v>0</v>
      </c>
      <c r="J394" s="704">
        <f t="shared" si="227"/>
        <v>0</v>
      </c>
      <c r="K394" s="704">
        <f t="shared" si="227"/>
        <v>0</v>
      </c>
      <c r="L394" s="704">
        <f t="shared" si="227"/>
        <v>0</v>
      </c>
      <c r="M394" s="932">
        <f t="shared" si="227"/>
        <v>0</v>
      </c>
      <c r="N394" s="932">
        <f t="shared" si="227"/>
        <v>0</v>
      </c>
      <c r="O394" s="932">
        <f t="shared" si="227"/>
        <v>0</v>
      </c>
      <c r="P394" s="704">
        <f t="shared" si="227"/>
        <v>0</v>
      </c>
      <c r="Q394" s="704"/>
      <c r="R394" s="704"/>
      <c r="S394" s="704"/>
      <c r="T394" s="704"/>
      <c r="U394" s="704"/>
      <c r="V394" s="704"/>
      <c r="W394" s="704"/>
      <c r="X394" s="3633" t="s">
        <v>34</v>
      </c>
      <c r="Y394" s="3609"/>
    </row>
    <row r="395" spans="1:28" ht="12.75" hidden="1" customHeight="1">
      <c r="A395" s="3637"/>
      <c r="B395" s="855" t="s">
        <v>35</v>
      </c>
      <c r="C395" s="3627" t="s">
        <v>401</v>
      </c>
      <c r="D395" s="2101">
        <f>D396</f>
        <v>0</v>
      </c>
      <c r="E395" s="2101">
        <f t="shared" ref="E395:P395" si="228">E396</f>
        <v>0</v>
      </c>
      <c r="F395" s="2101">
        <f t="shared" si="228"/>
        <v>0</v>
      </c>
      <c r="G395" s="2101">
        <f t="shared" si="228"/>
        <v>0</v>
      </c>
      <c r="H395" s="2101">
        <f t="shared" si="228"/>
        <v>0</v>
      </c>
      <c r="I395" s="2101">
        <f t="shared" si="228"/>
        <v>0</v>
      </c>
      <c r="J395" s="2101">
        <f t="shared" si="228"/>
        <v>0</v>
      </c>
      <c r="K395" s="2101">
        <f t="shared" si="228"/>
        <v>0</v>
      </c>
      <c r="L395" s="2101">
        <f t="shared" si="228"/>
        <v>0</v>
      </c>
      <c r="M395" s="2102">
        <f t="shared" si="228"/>
        <v>0</v>
      </c>
      <c r="N395" s="2102">
        <f t="shared" si="228"/>
        <v>0</v>
      </c>
      <c r="O395" s="2102">
        <f t="shared" si="228"/>
        <v>0</v>
      </c>
      <c r="P395" s="2101">
        <f t="shared" si="228"/>
        <v>0</v>
      </c>
      <c r="Q395" s="2101"/>
      <c r="R395" s="2101"/>
      <c r="S395" s="2101"/>
      <c r="T395" s="2101"/>
      <c r="U395" s="2101"/>
      <c r="V395" s="2101"/>
      <c r="W395" s="2101"/>
      <c r="X395" s="3606"/>
      <c r="Y395" s="3609"/>
    </row>
    <row r="396" spans="1:28" ht="12.75" hidden="1" customHeight="1">
      <c r="A396" s="3637"/>
      <c r="B396" s="1182" t="s">
        <v>122</v>
      </c>
      <c r="C396" s="3612"/>
      <c r="D396" s="884">
        <f>M396+O396+P396+Q396+R396+S396+T396+U396+V396+W396</f>
        <v>0</v>
      </c>
      <c r="E396" s="2101"/>
      <c r="F396" s="2101"/>
      <c r="G396" s="2101"/>
      <c r="H396" s="2101"/>
      <c r="I396" s="2101"/>
      <c r="J396" s="2101"/>
      <c r="K396" s="2101"/>
      <c r="L396" s="2101"/>
      <c r="M396" s="2100">
        <f>+E396+I396+J396+K396+L396+N396</f>
        <v>0</v>
      </c>
      <c r="N396" s="2103">
        <f>4715250-4715250</f>
        <v>0</v>
      </c>
      <c r="O396" s="2102">
        <v>0</v>
      </c>
      <c r="P396" s="2101">
        <v>0</v>
      </c>
      <c r="Q396" s="2101"/>
      <c r="R396" s="2101"/>
      <c r="S396" s="2101"/>
      <c r="T396" s="2101"/>
      <c r="U396" s="2101"/>
      <c r="V396" s="2101"/>
      <c r="W396" s="2101"/>
      <c r="X396" s="3606"/>
      <c r="Y396" s="3609"/>
    </row>
    <row r="397" spans="1:28" s="353" customFormat="1" ht="16.5" hidden="1" customHeight="1">
      <c r="A397" s="3637"/>
      <c r="B397" s="885" t="s">
        <v>29</v>
      </c>
      <c r="C397" s="3612"/>
      <c r="D397" s="933">
        <f>+D398</f>
        <v>0</v>
      </c>
      <c r="E397" s="934">
        <f t="shared" ref="E397:P397" si="229">+E398</f>
        <v>0</v>
      </c>
      <c r="F397" s="934">
        <f t="shared" si="229"/>
        <v>0</v>
      </c>
      <c r="G397" s="934">
        <f t="shared" si="229"/>
        <v>0</v>
      </c>
      <c r="H397" s="934">
        <f t="shared" si="229"/>
        <v>0</v>
      </c>
      <c r="I397" s="934">
        <f t="shared" si="229"/>
        <v>0</v>
      </c>
      <c r="J397" s="934">
        <f t="shared" si="229"/>
        <v>0</v>
      </c>
      <c r="K397" s="934">
        <f t="shared" si="229"/>
        <v>0</v>
      </c>
      <c r="L397" s="933">
        <f t="shared" si="229"/>
        <v>0</v>
      </c>
      <c r="M397" s="935">
        <f t="shared" si="229"/>
        <v>0</v>
      </c>
      <c r="N397" s="935">
        <f t="shared" si="229"/>
        <v>0</v>
      </c>
      <c r="O397" s="935">
        <f t="shared" si="229"/>
        <v>0</v>
      </c>
      <c r="P397" s="934">
        <f t="shared" si="229"/>
        <v>0</v>
      </c>
      <c r="Q397" s="934"/>
      <c r="R397" s="934"/>
      <c r="S397" s="934"/>
      <c r="T397" s="934"/>
      <c r="U397" s="934"/>
      <c r="V397" s="934"/>
      <c r="W397" s="934"/>
      <c r="X397" s="3606"/>
      <c r="Y397" s="3609"/>
    </row>
    <row r="398" spans="1:28" s="353" customFormat="1" ht="17.25" hidden="1" customHeight="1" thickBot="1">
      <c r="A398" s="3638"/>
      <c r="B398" s="524" t="s">
        <v>32</v>
      </c>
      <c r="C398" s="3613"/>
      <c r="D398" s="2192">
        <f>M398+P398+Q398+R398+S398+T398+U398+V398+W398</f>
        <v>0</v>
      </c>
      <c r="E398" s="936">
        <f>+F398+G398+H398</f>
        <v>0</v>
      </c>
      <c r="F398" s="937">
        <v>0</v>
      </c>
      <c r="G398" s="936">
        <v>0</v>
      </c>
      <c r="H398" s="936">
        <v>0</v>
      </c>
      <c r="I398" s="936">
        <v>0</v>
      </c>
      <c r="J398" s="936">
        <v>0</v>
      </c>
      <c r="K398" s="936">
        <v>0</v>
      </c>
      <c r="L398" s="938"/>
      <c r="M398" s="2097">
        <f>+E398+I398+J398+K398+L398+N398+O398</f>
        <v>0</v>
      </c>
      <c r="N398" s="939">
        <v>0</v>
      </c>
      <c r="O398" s="939">
        <f>953694-953694</f>
        <v>0</v>
      </c>
      <c r="P398" s="940"/>
      <c r="Q398" s="940"/>
      <c r="R398" s="940"/>
      <c r="S398" s="940"/>
      <c r="T398" s="940"/>
      <c r="U398" s="940"/>
      <c r="V398" s="940"/>
      <c r="W398" s="940"/>
      <c r="X398" s="3607"/>
      <c r="Y398" s="3610"/>
    </row>
    <row r="399" spans="1:28" ht="29.25" customHeight="1">
      <c r="A399" s="3600" t="s">
        <v>374</v>
      </c>
      <c r="B399" s="91" t="s">
        <v>575</v>
      </c>
      <c r="C399" s="73" t="s">
        <v>95</v>
      </c>
      <c r="D399" s="1993"/>
      <c r="E399" s="50"/>
      <c r="F399" s="51"/>
      <c r="G399" s="50"/>
      <c r="H399" s="50"/>
      <c r="I399" s="50"/>
      <c r="J399" s="50"/>
      <c r="K399" s="50"/>
      <c r="L399" s="50"/>
      <c r="M399" s="711"/>
      <c r="N399" s="711"/>
      <c r="O399" s="711"/>
      <c r="P399" s="711"/>
      <c r="Q399" s="711"/>
      <c r="R399" s="711"/>
      <c r="S399" s="711"/>
      <c r="T399" s="711"/>
      <c r="U399" s="52"/>
      <c r="V399" s="52"/>
      <c r="W399" s="52"/>
      <c r="X399" s="53"/>
      <c r="Y399" s="3632" t="s">
        <v>118</v>
      </c>
      <c r="Z399" s="301" t="s">
        <v>405</v>
      </c>
    </row>
    <row r="400" spans="1:28" ht="13.5" customHeight="1">
      <c r="A400" s="3601"/>
      <c r="B400" s="1331" t="s">
        <v>21</v>
      </c>
      <c r="C400" s="1881"/>
      <c r="D400" s="1690">
        <f t="shared" ref="D400:O400" si="230">+D401+D404</f>
        <v>36000000</v>
      </c>
      <c r="E400" s="1691">
        <f t="shared" si="230"/>
        <v>0</v>
      </c>
      <c r="F400" s="1691">
        <f t="shared" si="230"/>
        <v>0</v>
      </c>
      <c r="G400" s="1691">
        <f t="shared" si="230"/>
        <v>0</v>
      </c>
      <c r="H400" s="1691">
        <f t="shared" si="230"/>
        <v>0</v>
      </c>
      <c r="I400" s="1691">
        <f t="shared" si="230"/>
        <v>0</v>
      </c>
      <c r="J400" s="1691">
        <f t="shared" si="230"/>
        <v>0</v>
      </c>
      <c r="K400" s="1691">
        <f t="shared" si="230"/>
        <v>0</v>
      </c>
      <c r="L400" s="1691">
        <f t="shared" si="230"/>
        <v>0</v>
      </c>
      <c r="M400" s="1722">
        <f>+M401+M404</f>
        <v>0</v>
      </c>
      <c r="N400" s="1722">
        <f t="shared" si="230"/>
        <v>0</v>
      </c>
      <c r="O400" s="1722">
        <f t="shared" si="230"/>
        <v>0</v>
      </c>
      <c r="P400" s="1722">
        <f>+P401+P404</f>
        <v>0</v>
      </c>
      <c r="Q400" s="1691">
        <f>+Q401+Q404</f>
        <v>36000000</v>
      </c>
      <c r="R400" s="1691"/>
      <c r="S400" s="1691"/>
      <c r="T400" s="1691"/>
      <c r="U400" s="1691"/>
      <c r="V400" s="1691"/>
      <c r="W400" s="1691"/>
      <c r="X400" s="2261">
        <f>X401+X404</f>
        <v>36000000</v>
      </c>
      <c r="Y400" s="3609"/>
      <c r="Z400" s="864"/>
    </row>
    <row r="401" spans="1:27" ht="14.25" customHeight="1">
      <c r="A401" s="3601"/>
      <c r="B401" s="2987" t="s">
        <v>35</v>
      </c>
      <c r="C401" s="3611" t="s">
        <v>114</v>
      </c>
      <c r="D401" s="2120">
        <f t="shared" ref="D401:P401" si="231">+D402+D403</f>
        <v>5400000</v>
      </c>
      <c r="E401" s="2120">
        <f t="shared" si="231"/>
        <v>0</v>
      </c>
      <c r="F401" s="2120">
        <f t="shared" si="231"/>
        <v>0</v>
      </c>
      <c r="G401" s="2120">
        <f t="shared" si="231"/>
        <v>0</v>
      </c>
      <c r="H401" s="2120">
        <f t="shared" si="231"/>
        <v>0</v>
      </c>
      <c r="I401" s="2120">
        <f t="shared" si="231"/>
        <v>0</v>
      </c>
      <c r="J401" s="2120">
        <f t="shared" si="231"/>
        <v>0</v>
      </c>
      <c r="K401" s="2120">
        <f t="shared" si="231"/>
        <v>0</v>
      </c>
      <c r="L401" s="2120">
        <f t="shared" si="231"/>
        <v>0</v>
      </c>
      <c r="M401" s="1441">
        <f t="shared" si="231"/>
        <v>0</v>
      </c>
      <c r="N401" s="1441">
        <f t="shared" si="231"/>
        <v>0</v>
      </c>
      <c r="O401" s="1441">
        <f t="shared" si="231"/>
        <v>0</v>
      </c>
      <c r="P401" s="1441">
        <f t="shared" si="231"/>
        <v>0</v>
      </c>
      <c r="Q401" s="2120">
        <f>+Q402+Q403</f>
        <v>5400000</v>
      </c>
      <c r="R401" s="2120"/>
      <c r="S401" s="2120"/>
      <c r="T401" s="2120"/>
      <c r="U401" s="2120"/>
      <c r="V401" s="2120"/>
      <c r="W401" s="2120"/>
      <c r="X401" s="1280">
        <f>+X402+X403</f>
        <v>5400000</v>
      </c>
      <c r="Y401" s="3609"/>
      <c r="Z401" s="864"/>
    </row>
    <row r="402" spans="1:27" ht="12.75" hidden="1" customHeight="1">
      <c r="A402" s="3601"/>
      <c r="B402" s="2988" t="s">
        <v>23</v>
      </c>
      <c r="C402" s="3625"/>
      <c r="D402" s="2234">
        <f>SUM(M402:W402)</f>
        <v>0</v>
      </c>
      <c r="E402" s="1710">
        <f>+F402+G402+H402</f>
        <v>0</v>
      </c>
      <c r="F402" s="1709">
        <v>0</v>
      </c>
      <c r="G402" s="1710"/>
      <c r="H402" s="1710"/>
      <c r="I402" s="1710"/>
      <c r="J402" s="1710"/>
      <c r="K402" s="1710"/>
      <c r="L402" s="1710">
        <f>420000-420000</f>
        <v>0</v>
      </c>
      <c r="M402" s="1387"/>
      <c r="N402" s="2989"/>
      <c r="O402" s="1387">
        <v>0</v>
      </c>
      <c r="P402" s="1387">
        <v>0</v>
      </c>
      <c r="Q402" s="1710"/>
      <c r="R402" s="1710"/>
      <c r="S402" s="1710"/>
      <c r="T402" s="1710"/>
      <c r="U402" s="1710"/>
      <c r="V402" s="1710"/>
      <c r="W402" s="1710"/>
      <c r="X402" s="2990"/>
      <c r="Y402" s="3609"/>
    </row>
    <row r="403" spans="1:27" ht="11.25" customHeight="1">
      <c r="A403" s="3601"/>
      <c r="B403" s="1182" t="s">
        <v>122</v>
      </c>
      <c r="C403" s="3625"/>
      <c r="D403" s="2192">
        <f>M403+P403+Q403+R403+S403+T403+U403+V403+W403</f>
        <v>5400000</v>
      </c>
      <c r="E403" s="1713"/>
      <c r="F403" s="1283"/>
      <c r="G403" s="1713"/>
      <c r="H403" s="1713"/>
      <c r="I403" s="1713"/>
      <c r="J403" s="1713"/>
      <c r="K403" s="1713"/>
      <c r="L403" s="1713"/>
      <c r="M403" s="1387">
        <f>+E403+I403+J403+K403+L403+N403+O403</f>
        <v>0</v>
      </c>
      <c r="N403" s="2991"/>
      <c r="O403" s="1387">
        <v>0</v>
      </c>
      <c r="P403" s="1387">
        <v>0</v>
      </c>
      <c r="Q403" s="1713">
        <v>5400000</v>
      </c>
      <c r="R403" s="1710"/>
      <c r="S403" s="1710"/>
      <c r="T403" s="1713"/>
      <c r="U403" s="1710"/>
      <c r="V403" s="1710"/>
      <c r="W403" s="1710"/>
      <c r="X403" s="2285">
        <f>SUM(Q403:W403)</f>
        <v>5400000</v>
      </c>
      <c r="Y403" s="3609"/>
    </row>
    <row r="404" spans="1:27" ht="11.25" customHeight="1">
      <c r="A404" s="3601"/>
      <c r="B404" s="2992" t="s">
        <v>29</v>
      </c>
      <c r="C404" s="3625"/>
      <c r="D404" s="1284">
        <f t="shared" ref="D404:Q404" si="232">+D405</f>
        <v>30600000</v>
      </c>
      <c r="E404" s="2268">
        <f t="shared" si="232"/>
        <v>0</v>
      </c>
      <c r="F404" s="2268">
        <f t="shared" si="232"/>
        <v>0</v>
      </c>
      <c r="G404" s="2268">
        <f t="shared" si="232"/>
        <v>0</v>
      </c>
      <c r="H404" s="2268">
        <f t="shared" si="232"/>
        <v>0</v>
      </c>
      <c r="I404" s="2268">
        <f t="shared" si="232"/>
        <v>0</v>
      </c>
      <c r="J404" s="2268">
        <f t="shared" si="232"/>
        <v>0</v>
      </c>
      <c r="K404" s="2268">
        <f t="shared" si="232"/>
        <v>0</v>
      </c>
      <c r="L404" s="2268">
        <f t="shared" si="232"/>
        <v>0</v>
      </c>
      <c r="M404" s="2303">
        <f t="shared" si="232"/>
        <v>0</v>
      </c>
      <c r="N404" s="2303">
        <f t="shared" si="232"/>
        <v>0</v>
      </c>
      <c r="O404" s="2303">
        <f t="shared" si="232"/>
        <v>0</v>
      </c>
      <c r="P404" s="2303">
        <f t="shared" si="232"/>
        <v>0</v>
      </c>
      <c r="Q404" s="2268">
        <f t="shared" si="232"/>
        <v>30600000</v>
      </c>
      <c r="R404" s="2268"/>
      <c r="S404" s="2268"/>
      <c r="T404" s="2268"/>
      <c r="U404" s="2268"/>
      <c r="V404" s="2268"/>
      <c r="W404" s="2268"/>
      <c r="X404" s="1280">
        <f>X405</f>
        <v>30600000</v>
      </c>
      <c r="Y404" s="3609"/>
    </row>
    <row r="405" spans="1:27" ht="13.5" customHeight="1">
      <c r="A405" s="3601"/>
      <c r="B405" s="2993" t="s">
        <v>32</v>
      </c>
      <c r="C405" s="3628"/>
      <c r="D405" s="2192">
        <f>M405+P405+Q405+R405+S405+T405+U405+V405+W405</f>
        <v>30600000</v>
      </c>
      <c r="E405" s="1710">
        <f>+F405+G405+H405</f>
        <v>0</v>
      </c>
      <c r="F405" s="1709">
        <v>0</v>
      </c>
      <c r="G405" s="1710"/>
      <c r="H405" s="1710"/>
      <c r="I405" s="1710"/>
      <c r="J405" s="1710"/>
      <c r="K405" s="1710"/>
      <c r="L405" s="1710">
        <v>0</v>
      </c>
      <c r="M405" s="1387">
        <f>+E405+I405+J405+K405+L405+N405+O405</f>
        <v>0</v>
      </c>
      <c r="N405" s="1731">
        <v>0</v>
      </c>
      <c r="O405" s="1731">
        <v>0</v>
      </c>
      <c r="P405" s="1731">
        <v>0</v>
      </c>
      <c r="Q405" s="1710">
        <v>30600000</v>
      </c>
      <c r="R405" s="1710"/>
      <c r="S405" s="1709"/>
      <c r="T405" s="1710"/>
      <c r="U405" s="1709"/>
      <c r="V405" s="1709"/>
      <c r="W405" s="1709"/>
      <c r="X405" s="2285">
        <f>SUM(Q405:W405)</f>
        <v>30600000</v>
      </c>
      <c r="Y405" s="3609"/>
    </row>
    <row r="406" spans="1:27" ht="13.5" customHeight="1">
      <c r="A406" s="3637"/>
      <c r="B406" s="2994" t="s">
        <v>33</v>
      </c>
      <c r="C406" s="116"/>
      <c r="D406" s="134">
        <f>+D409+D407</f>
        <v>36000000</v>
      </c>
      <c r="E406" s="134">
        <f t="shared" ref="E406:Q406" si="233">+E409+E407</f>
        <v>0</v>
      </c>
      <c r="F406" s="134">
        <f t="shared" si="233"/>
        <v>0</v>
      </c>
      <c r="G406" s="134">
        <f t="shared" si="233"/>
        <v>0</v>
      </c>
      <c r="H406" s="134">
        <f t="shared" si="233"/>
        <v>0</v>
      </c>
      <c r="I406" s="134">
        <f t="shared" si="233"/>
        <v>0</v>
      </c>
      <c r="J406" s="134">
        <f t="shared" si="233"/>
        <v>0</v>
      </c>
      <c r="K406" s="134">
        <f t="shared" si="233"/>
        <v>0</v>
      </c>
      <c r="L406" s="134">
        <f t="shared" si="233"/>
        <v>0</v>
      </c>
      <c r="M406" s="2098">
        <f t="shared" si="233"/>
        <v>0</v>
      </c>
      <c r="N406" s="2098">
        <f t="shared" si="233"/>
        <v>0</v>
      </c>
      <c r="O406" s="2098">
        <f t="shared" si="233"/>
        <v>0</v>
      </c>
      <c r="P406" s="134">
        <f t="shared" ref="P406" si="234">+P409+P407</f>
        <v>5400000</v>
      </c>
      <c r="Q406" s="134">
        <f t="shared" si="233"/>
        <v>30600000</v>
      </c>
      <c r="R406" s="134"/>
      <c r="S406" s="134"/>
      <c r="T406" s="134"/>
      <c r="U406" s="134"/>
      <c r="V406" s="134"/>
      <c r="W406" s="134"/>
      <c r="X406" s="3634" t="s">
        <v>34</v>
      </c>
      <c r="Y406" s="3609"/>
    </row>
    <row r="407" spans="1:27" ht="13.5" customHeight="1">
      <c r="A407" s="3637"/>
      <c r="B407" s="2293" t="s">
        <v>35</v>
      </c>
      <c r="C407" s="3611" t="s">
        <v>401</v>
      </c>
      <c r="D407" s="1990">
        <f>D408</f>
        <v>5400000</v>
      </c>
      <c r="E407" s="1990">
        <f t="shared" ref="E407:O407" si="235">E408</f>
        <v>0</v>
      </c>
      <c r="F407" s="1990">
        <f t="shared" si="235"/>
        <v>0</v>
      </c>
      <c r="G407" s="1990">
        <f t="shared" si="235"/>
        <v>0</v>
      </c>
      <c r="H407" s="1990">
        <f t="shared" si="235"/>
        <v>0</v>
      </c>
      <c r="I407" s="1990">
        <f t="shared" si="235"/>
        <v>0</v>
      </c>
      <c r="J407" s="1990">
        <f t="shared" si="235"/>
        <v>0</v>
      </c>
      <c r="K407" s="1990">
        <f t="shared" si="235"/>
        <v>0</v>
      </c>
      <c r="L407" s="1990">
        <f t="shared" si="235"/>
        <v>0</v>
      </c>
      <c r="M407" s="2995">
        <f t="shared" si="235"/>
        <v>0</v>
      </c>
      <c r="N407" s="2995">
        <f t="shared" si="235"/>
        <v>0</v>
      </c>
      <c r="O407" s="2995">
        <f t="shared" si="235"/>
        <v>0</v>
      </c>
      <c r="P407" s="1990">
        <f t="shared" ref="P407:Q407" si="236">P408</f>
        <v>5400000</v>
      </c>
      <c r="Q407" s="1990">
        <f t="shared" si="236"/>
        <v>0</v>
      </c>
      <c r="R407" s="1990"/>
      <c r="S407" s="1990"/>
      <c r="T407" s="1990"/>
      <c r="U407" s="1990"/>
      <c r="V407" s="1990"/>
      <c r="W407" s="1990"/>
      <c r="X407" s="3635"/>
      <c r="Y407" s="3609"/>
    </row>
    <row r="408" spans="1:27" ht="13.5" customHeight="1">
      <c r="A408" s="3637"/>
      <c r="B408" s="1182" t="s">
        <v>122</v>
      </c>
      <c r="C408" s="3612"/>
      <c r="D408" s="2192">
        <f>M408+P408+Q408+R408+S408+T408+U408+V408+W408</f>
        <v>5400000</v>
      </c>
      <c r="E408" s="1990"/>
      <c r="F408" s="1990"/>
      <c r="G408" s="1990"/>
      <c r="H408" s="1990"/>
      <c r="I408" s="1990"/>
      <c r="J408" s="1990"/>
      <c r="K408" s="1990"/>
      <c r="L408" s="1990"/>
      <c r="M408" s="1387">
        <f>+E408+I408+J408+K408+L408+N408+O408</f>
        <v>0</v>
      </c>
      <c r="N408" s="2995"/>
      <c r="O408" s="2995">
        <v>0</v>
      </c>
      <c r="P408" s="2996">
        <v>5400000</v>
      </c>
      <c r="Q408" s="2996">
        <v>0</v>
      </c>
      <c r="R408" s="1990"/>
      <c r="S408" s="2996"/>
      <c r="T408" s="2996"/>
      <c r="U408" s="1990"/>
      <c r="V408" s="1990"/>
      <c r="W408" s="1990"/>
      <c r="X408" s="3635"/>
      <c r="Y408" s="3609"/>
    </row>
    <row r="409" spans="1:27" ht="12" customHeight="1">
      <c r="A409" s="3637"/>
      <c r="B409" s="1388" t="s">
        <v>29</v>
      </c>
      <c r="C409" s="3612"/>
      <c r="D409" s="1284">
        <f>+D410</f>
        <v>30600000</v>
      </c>
      <c r="E409" s="2268">
        <f t="shared" ref="E409:Q409" si="237">+E410</f>
        <v>0</v>
      </c>
      <c r="F409" s="2268">
        <f t="shared" si="237"/>
        <v>0</v>
      </c>
      <c r="G409" s="2268">
        <f t="shared" si="237"/>
        <v>0</v>
      </c>
      <c r="H409" s="2268">
        <f t="shared" si="237"/>
        <v>0</v>
      </c>
      <c r="I409" s="2268">
        <f t="shared" si="237"/>
        <v>0</v>
      </c>
      <c r="J409" s="2268">
        <f t="shared" si="237"/>
        <v>0</v>
      </c>
      <c r="K409" s="2268">
        <f t="shared" si="237"/>
        <v>0</v>
      </c>
      <c r="L409" s="2268">
        <f t="shared" si="237"/>
        <v>0</v>
      </c>
      <c r="M409" s="2303">
        <f t="shared" si="237"/>
        <v>0</v>
      </c>
      <c r="N409" s="2303">
        <f t="shared" si="237"/>
        <v>0</v>
      </c>
      <c r="O409" s="2303">
        <f t="shared" si="237"/>
        <v>0</v>
      </c>
      <c r="P409" s="2303">
        <f t="shared" si="237"/>
        <v>0</v>
      </c>
      <c r="Q409" s="2268">
        <f t="shared" si="237"/>
        <v>30600000</v>
      </c>
      <c r="R409" s="2268"/>
      <c r="S409" s="2268"/>
      <c r="T409" s="2268"/>
      <c r="U409" s="2268"/>
      <c r="V409" s="2268"/>
      <c r="W409" s="2268"/>
      <c r="X409" s="3635"/>
      <c r="Y409" s="3609"/>
    </row>
    <row r="410" spans="1:27" ht="13.5" customHeight="1" thickBot="1">
      <c r="A410" s="3638"/>
      <c r="B410" s="2294" t="s">
        <v>32</v>
      </c>
      <c r="C410" s="3613"/>
      <c r="D410" s="2214">
        <f>M410+P410+Q410+R410+S410+T410+U410+V410+W410</f>
        <v>30600000</v>
      </c>
      <c r="E410" s="963">
        <f>+F410+G410+H410</f>
        <v>0</v>
      </c>
      <c r="F410" s="1088">
        <v>0</v>
      </c>
      <c r="G410" s="963">
        <v>0</v>
      </c>
      <c r="H410" s="963">
        <v>0</v>
      </c>
      <c r="I410" s="963">
        <f>5500000-5500000</f>
        <v>0</v>
      </c>
      <c r="J410" s="963"/>
      <c r="K410" s="963"/>
      <c r="L410" s="963">
        <f>862500-862500</f>
        <v>0</v>
      </c>
      <c r="M410" s="1404">
        <f>+E410+I410+J410+K410+L410+N410+O410</f>
        <v>0</v>
      </c>
      <c r="N410" s="710"/>
      <c r="O410" s="710">
        <v>0</v>
      </c>
      <c r="P410" s="710">
        <v>0</v>
      </c>
      <c r="Q410" s="72">
        <v>30600000</v>
      </c>
      <c r="R410" s="72"/>
      <c r="S410" s="72"/>
      <c r="T410" s="72"/>
      <c r="U410" s="72"/>
      <c r="V410" s="72"/>
      <c r="W410" s="72"/>
      <c r="X410" s="3636"/>
      <c r="Y410" s="3610"/>
    </row>
    <row r="411" spans="1:27" ht="29.25" customHeight="1">
      <c r="A411" s="3600" t="s">
        <v>120</v>
      </c>
      <c r="B411" s="91" t="s">
        <v>537</v>
      </c>
      <c r="C411" s="73" t="s">
        <v>95</v>
      </c>
      <c r="D411" s="2997"/>
      <c r="E411" s="121"/>
      <c r="F411" s="122"/>
      <c r="G411" s="121"/>
      <c r="H411" s="121"/>
      <c r="I411" s="121"/>
      <c r="J411" s="121"/>
      <c r="K411" s="121"/>
      <c r="L411" s="121"/>
      <c r="M411" s="121"/>
      <c r="N411" s="121"/>
      <c r="O411" s="121"/>
      <c r="P411" s="123"/>
      <c r="Q411" s="123"/>
      <c r="R411" s="123"/>
      <c r="S411" s="123"/>
      <c r="T411" s="123"/>
      <c r="U411" s="123"/>
      <c r="V411" s="123"/>
      <c r="W411" s="123"/>
      <c r="X411" s="53"/>
      <c r="Y411" s="3632" t="s">
        <v>118</v>
      </c>
      <c r="Z411" s="301" t="s">
        <v>405</v>
      </c>
    </row>
    <row r="412" spans="1:27" ht="13.5" customHeight="1">
      <c r="A412" s="3601"/>
      <c r="B412" s="2998" t="s">
        <v>21</v>
      </c>
      <c r="C412" s="26"/>
      <c r="D412" s="2999">
        <f t="shared" ref="D412:O412" si="238">+D413+D417</f>
        <v>203900000</v>
      </c>
      <c r="E412" s="3000">
        <f t="shared" si="238"/>
        <v>0</v>
      </c>
      <c r="F412" s="3000">
        <f t="shared" si="238"/>
        <v>0</v>
      </c>
      <c r="G412" s="3000">
        <f t="shared" si="238"/>
        <v>0</v>
      </c>
      <c r="H412" s="3000">
        <f t="shared" si="238"/>
        <v>0</v>
      </c>
      <c r="I412" s="3000">
        <f t="shared" si="238"/>
        <v>0</v>
      </c>
      <c r="J412" s="3000">
        <f t="shared" si="238"/>
        <v>0</v>
      </c>
      <c r="K412" s="3000">
        <f t="shared" si="238"/>
        <v>0</v>
      </c>
      <c r="L412" s="3001">
        <f t="shared" si="238"/>
        <v>0</v>
      </c>
      <c r="M412" s="3002">
        <f>+M413+M417</f>
        <v>0</v>
      </c>
      <c r="N412" s="3002">
        <f t="shared" si="238"/>
        <v>0</v>
      </c>
      <c r="O412" s="3002">
        <f t="shared" si="238"/>
        <v>0</v>
      </c>
      <c r="P412" s="3003">
        <f>+P413+P417</f>
        <v>0</v>
      </c>
      <c r="Q412" s="3000">
        <f>+Q413+Q417</f>
        <v>89800000</v>
      </c>
      <c r="R412" s="3000">
        <f>+R413+R417</f>
        <v>100260000</v>
      </c>
      <c r="S412" s="3003">
        <f>+S413+S417</f>
        <v>0</v>
      </c>
      <c r="T412" s="3000">
        <f>+T413+T417</f>
        <v>13840000</v>
      </c>
      <c r="U412" s="3000"/>
      <c r="V412" s="3000"/>
      <c r="W412" s="3000"/>
      <c r="X412" s="1073">
        <f>+X413+X417</f>
        <v>203900000</v>
      </c>
      <c r="Y412" s="3609"/>
      <c r="AA412" s="864"/>
    </row>
    <row r="413" spans="1:27" ht="13.5" customHeight="1">
      <c r="A413" s="3601"/>
      <c r="B413" s="3004" t="s">
        <v>35</v>
      </c>
      <c r="C413" s="3611" t="s">
        <v>114</v>
      </c>
      <c r="D413" s="3005">
        <f>+D414+D416+D415</f>
        <v>30585000</v>
      </c>
      <c r="E413" s="3005">
        <f t="shared" ref="E413:R413" si="239">+E414+E416+E415</f>
        <v>0</v>
      </c>
      <c r="F413" s="3005">
        <f t="shared" si="239"/>
        <v>0</v>
      </c>
      <c r="G413" s="3005">
        <f t="shared" si="239"/>
        <v>0</v>
      </c>
      <c r="H413" s="3005">
        <f t="shared" si="239"/>
        <v>0</v>
      </c>
      <c r="I413" s="3005">
        <f t="shared" si="239"/>
        <v>0</v>
      </c>
      <c r="J413" s="3005">
        <f t="shared" si="239"/>
        <v>0</v>
      </c>
      <c r="K413" s="3005">
        <f t="shared" si="239"/>
        <v>0</v>
      </c>
      <c r="L413" s="3005">
        <f t="shared" si="239"/>
        <v>0</v>
      </c>
      <c r="M413" s="3006">
        <f t="shared" si="239"/>
        <v>0</v>
      </c>
      <c r="N413" s="3006">
        <f t="shared" si="239"/>
        <v>0</v>
      </c>
      <c r="O413" s="3006">
        <f t="shared" si="239"/>
        <v>0</v>
      </c>
      <c r="P413" s="3006">
        <f t="shared" si="239"/>
        <v>0</v>
      </c>
      <c r="Q413" s="3005">
        <f t="shared" si="239"/>
        <v>13470000</v>
      </c>
      <c r="R413" s="3005">
        <f t="shared" si="239"/>
        <v>15039000</v>
      </c>
      <c r="S413" s="3006">
        <f>+S414+S416+S415</f>
        <v>0</v>
      </c>
      <c r="T413" s="3005">
        <f>+T414+T416+T415</f>
        <v>2076000</v>
      </c>
      <c r="U413" s="3005"/>
      <c r="V413" s="3005"/>
      <c r="W413" s="3005"/>
      <c r="X413" s="1178">
        <f>+X414+X416+X415</f>
        <v>30585000</v>
      </c>
      <c r="Y413" s="3609"/>
      <c r="AA413" s="864"/>
    </row>
    <row r="414" spans="1:27" ht="12.75" hidden="1" customHeight="1">
      <c r="A414" s="3601"/>
      <c r="B414" s="1981" t="s">
        <v>23</v>
      </c>
      <c r="C414" s="3625"/>
      <c r="D414" s="3007">
        <f>SUM(M414:T414)</f>
        <v>0</v>
      </c>
      <c r="E414" s="1075">
        <f>+F414+G414+H414</f>
        <v>0</v>
      </c>
      <c r="F414" s="1058">
        <v>0</v>
      </c>
      <c r="G414" s="3008">
        <v>0</v>
      </c>
      <c r="H414" s="3008"/>
      <c r="I414" s="3008"/>
      <c r="J414" s="3008"/>
      <c r="K414" s="1075"/>
      <c r="L414" s="3008"/>
      <c r="M414" s="3009">
        <f>+E414+I414+J414+K414+L414</f>
        <v>0</v>
      </c>
      <c r="N414" s="3010"/>
      <c r="O414" s="3011">
        <v>0</v>
      </c>
      <c r="P414" s="3011">
        <v>0</v>
      </c>
      <c r="Q414" s="1058">
        <f>4253144-4253144</f>
        <v>0</v>
      </c>
      <c r="R414" s="3012">
        <f>8680715-8680715</f>
        <v>0</v>
      </c>
      <c r="S414" s="3011">
        <v>0</v>
      </c>
      <c r="T414" s="3012"/>
      <c r="U414" s="1058"/>
      <c r="V414" s="1058"/>
      <c r="W414" s="1058"/>
      <c r="X414" s="1179">
        <f>SUM(P414:T414)</f>
        <v>0</v>
      </c>
      <c r="Y414" s="3609"/>
    </row>
    <row r="415" spans="1:27" ht="12.75" customHeight="1">
      <c r="A415" s="3601"/>
      <c r="B415" s="1182" t="s">
        <v>122</v>
      </c>
      <c r="C415" s="3625"/>
      <c r="D415" s="2192">
        <f>M415+P415+Q415+R415+S415+T415+U415+V415+W415</f>
        <v>30585000</v>
      </c>
      <c r="E415" s="1075"/>
      <c r="F415" s="1180"/>
      <c r="G415" s="3013"/>
      <c r="H415" s="3013"/>
      <c r="I415" s="3013"/>
      <c r="J415" s="3013"/>
      <c r="K415" s="1181"/>
      <c r="L415" s="3013"/>
      <c r="M415" s="2097">
        <f>+E415+I415+J415+K415+L415+N415+O415</f>
        <v>0</v>
      </c>
      <c r="N415" s="3014"/>
      <c r="O415" s="3015">
        <v>0</v>
      </c>
      <c r="P415" s="3015">
        <v>0</v>
      </c>
      <c r="Q415" s="1180">
        <f>15546856-2076856</f>
        <v>13470000</v>
      </c>
      <c r="R415" s="3016">
        <f>8419285+6619715</f>
        <v>15039000</v>
      </c>
      <c r="S415" s="3015">
        <v>0</v>
      </c>
      <c r="T415" s="3016">
        <v>2076000</v>
      </c>
      <c r="U415" s="1180"/>
      <c r="V415" s="1180"/>
      <c r="W415" s="1180"/>
      <c r="X415" s="44">
        <f>SUM(Q415:W415)</f>
        <v>30585000</v>
      </c>
      <c r="Y415" s="3609"/>
    </row>
    <row r="416" spans="1:27" ht="13.5" hidden="1" customHeight="1">
      <c r="A416" s="3601"/>
      <c r="B416" s="118" t="s">
        <v>26</v>
      </c>
      <c r="C416" s="3625"/>
      <c r="D416" s="3007">
        <f>SUM(M416:T416)</f>
        <v>0</v>
      </c>
      <c r="E416" s="1075">
        <f>+F416+G416+H416</f>
        <v>0</v>
      </c>
      <c r="F416" s="1181">
        <v>0</v>
      </c>
      <c r="G416" s="1181">
        <v>0</v>
      </c>
      <c r="H416" s="3013"/>
      <c r="I416" s="3013"/>
      <c r="J416" s="3013">
        <v>0</v>
      </c>
      <c r="K416" s="1181">
        <v>0</v>
      </c>
      <c r="L416" s="1181">
        <v>0</v>
      </c>
      <c r="M416" s="3009"/>
      <c r="N416" s="3015">
        <v>0</v>
      </c>
      <c r="O416" s="3015">
        <v>0</v>
      </c>
      <c r="P416" s="3015">
        <v>0</v>
      </c>
      <c r="Q416" s="1180">
        <v>0</v>
      </c>
      <c r="R416" s="1180">
        <v>0</v>
      </c>
      <c r="S416" s="3015"/>
      <c r="T416" s="1180"/>
      <c r="U416" s="1180"/>
      <c r="V416" s="1180"/>
      <c r="W416" s="1180"/>
      <c r="X416" s="85"/>
      <c r="Y416" s="3609"/>
    </row>
    <row r="417" spans="1:27" ht="13.5" customHeight="1">
      <c r="A417" s="3601"/>
      <c r="B417" s="3017" t="s">
        <v>29</v>
      </c>
      <c r="C417" s="3625"/>
      <c r="D417" s="3018">
        <f>+D418</f>
        <v>173315000</v>
      </c>
      <c r="E417" s="3019">
        <f t="shared" ref="E417:X417" si="240">+E418</f>
        <v>0</v>
      </c>
      <c r="F417" s="3019">
        <f t="shared" si="240"/>
        <v>0</v>
      </c>
      <c r="G417" s="3019">
        <f t="shared" si="240"/>
        <v>0</v>
      </c>
      <c r="H417" s="3019">
        <f t="shared" si="240"/>
        <v>0</v>
      </c>
      <c r="I417" s="3019">
        <f t="shared" si="240"/>
        <v>0</v>
      </c>
      <c r="J417" s="3019">
        <f t="shared" si="240"/>
        <v>0</v>
      </c>
      <c r="K417" s="3019">
        <f t="shared" si="240"/>
        <v>0</v>
      </c>
      <c r="L417" s="3019">
        <f t="shared" si="240"/>
        <v>0</v>
      </c>
      <c r="M417" s="3020">
        <f t="shared" si="240"/>
        <v>0</v>
      </c>
      <c r="N417" s="3020">
        <f t="shared" si="240"/>
        <v>0</v>
      </c>
      <c r="O417" s="3020">
        <f t="shared" si="240"/>
        <v>0</v>
      </c>
      <c r="P417" s="3020">
        <f t="shared" si="240"/>
        <v>0</v>
      </c>
      <c r="Q417" s="3019">
        <f t="shared" si="240"/>
        <v>76330000</v>
      </c>
      <c r="R417" s="3019">
        <f t="shared" si="240"/>
        <v>85221000</v>
      </c>
      <c r="S417" s="3020">
        <f t="shared" si="240"/>
        <v>0</v>
      </c>
      <c r="T417" s="3019">
        <f t="shared" si="240"/>
        <v>11764000</v>
      </c>
      <c r="U417" s="3019"/>
      <c r="V417" s="3019"/>
      <c r="W417" s="3019"/>
      <c r="X417" s="1178">
        <f t="shared" si="240"/>
        <v>173315000</v>
      </c>
      <c r="Y417" s="3609"/>
    </row>
    <row r="418" spans="1:27" ht="13.5" customHeight="1">
      <c r="A418" s="3601"/>
      <c r="B418" s="1392" t="s">
        <v>32</v>
      </c>
      <c r="C418" s="3628"/>
      <c r="D418" s="2192">
        <f>M418+P418+Q418+R418+S418+T418+U418+V418+W418</f>
        <v>173315000</v>
      </c>
      <c r="E418" s="1181">
        <f>+F418+G418+H418</f>
        <v>0</v>
      </c>
      <c r="F418" s="1180">
        <v>0</v>
      </c>
      <c r="G418" s="3013">
        <v>0</v>
      </c>
      <c r="H418" s="3013"/>
      <c r="I418" s="3013"/>
      <c r="J418" s="3013"/>
      <c r="K418" s="3013">
        <v>0</v>
      </c>
      <c r="L418" s="1181">
        <v>0</v>
      </c>
      <c r="M418" s="2097">
        <f>+E418+I418+J418+K418+L418+N418+O418</f>
        <v>0</v>
      </c>
      <c r="N418" s="3015">
        <v>0</v>
      </c>
      <c r="O418" s="3015">
        <v>0</v>
      </c>
      <c r="P418" s="3015">
        <v>0</v>
      </c>
      <c r="Q418" s="1180">
        <f>112200000-35870000</f>
        <v>76330000</v>
      </c>
      <c r="R418" s="1180">
        <f>96900000-11679000</f>
        <v>85221000</v>
      </c>
      <c r="S418" s="3015">
        <v>0</v>
      </c>
      <c r="T418" s="1180">
        <v>11764000</v>
      </c>
      <c r="U418" s="1180"/>
      <c r="V418" s="1180"/>
      <c r="W418" s="1180"/>
      <c r="X418" s="44">
        <f>SUM(Q418:W418)</f>
        <v>173315000</v>
      </c>
      <c r="Y418" s="3609"/>
    </row>
    <row r="419" spans="1:27" ht="12.75" customHeight="1">
      <c r="A419" s="3637"/>
      <c r="B419" s="2998" t="s">
        <v>33</v>
      </c>
      <c r="C419" s="26"/>
      <c r="D419" s="1984">
        <f>+D420+D423</f>
        <v>203900000</v>
      </c>
      <c r="E419" s="1080">
        <f t="shared" ref="E419:L419" si="241">+E420+E423</f>
        <v>0</v>
      </c>
      <c r="F419" s="1080">
        <f t="shared" si="241"/>
        <v>0</v>
      </c>
      <c r="G419" s="1080">
        <f t="shared" si="241"/>
        <v>0</v>
      </c>
      <c r="H419" s="1080">
        <f t="shared" si="241"/>
        <v>0</v>
      </c>
      <c r="I419" s="1080">
        <f t="shared" si="241"/>
        <v>0</v>
      </c>
      <c r="J419" s="1080">
        <f t="shared" si="241"/>
        <v>0</v>
      </c>
      <c r="K419" s="1080">
        <f t="shared" si="241"/>
        <v>0</v>
      </c>
      <c r="L419" s="1080">
        <f t="shared" si="241"/>
        <v>0</v>
      </c>
      <c r="M419" s="1080">
        <f t="shared" ref="M419:T419" si="242">+M420+M423</f>
        <v>10727145</v>
      </c>
      <c r="N419" s="1080">
        <f t="shared" si="242"/>
        <v>4477145</v>
      </c>
      <c r="O419" s="1080">
        <f t="shared" si="242"/>
        <v>6250000</v>
      </c>
      <c r="P419" s="1080">
        <f t="shared" si="242"/>
        <v>3019285</v>
      </c>
      <c r="Q419" s="1080">
        <f t="shared" si="242"/>
        <v>84749285</v>
      </c>
      <c r="R419" s="1080">
        <f t="shared" si="242"/>
        <v>93640285</v>
      </c>
      <c r="S419" s="3021">
        <f t="shared" si="242"/>
        <v>0</v>
      </c>
      <c r="T419" s="1080">
        <f t="shared" si="242"/>
        <v>11764000</v>
      </c>
      <c r="U419" s="1080"/>
      <c r="V419" s="1080"/>
      <c r="W419" s="1080"/>
      <c r="X419" s="3022"/>
      <c r="Y419" s="3609"/>
    </row>
    <row r="420" spans="1:27">
      <c r="A420" s="3637"/>
      <c r="B420" s="3004" t="s">
        <v>35</v>
      </c>
      <c r="C420" s="3724" t="s">
        <v>401</v>
      </c>
      <c r="D420" s="65">
        <f>+D422+D421</f>
        <v>30585000</v>
      </c>
      <c r="E420" s="65">
        <f t="shared" ref="E420:Q420" si="243">+E422+E421</f>
        <v>0</v>
      </c>
      <c r="F420" s="65">
        <f t="shared" si="243"/>
        <v>0</v>
      </c>
      <c r="G420" s="65">
        <f t="shared" si="243"/>
        <v>0</v>
      </c>
      <c r="H420" s="65">
        <f t="shared" si="243"/>
        <v>0</v>
      </c>
      <c r="I420" s="65">
        <f t="shared" si="243"/>
        <v>0</v>
      </c>
      <c r="J420" s="65">
        <f t="shared" si="243"/>
        <v>0</v>
      </c>
      <c r="K420" s="65">
        <f t="shared" si="243"/>
        <v>0</v>
      </c>
      <c r="L420" s="65">
        <f t="shared" si="243"/>
        <v>0</v>
      </c>
      <c r="M420" s="65">
        <f t="shared" si="243"/>
        <v>10727145</v>
      </c>
      <c r="N420" s="65">
        <f t="shared" si="243"/>
        <v>4477145</v>
      </c>
      <c r="O420" s="65">
        <f t="shared" si="243"/>
        <v>6250000</v>
      </c>
      <c r="P420" s="65">
        <f t="shared" si="243"/>
        <v>3019285</v>
      </c>
      <c r="Q420" s="65">
        <f t="shared" si="243"/>
        <v>8419285</v>
      </c>
      <c r="R420" s="65">
        <f t="shared" ref="R420" si="244">+R422+R421</f>
        <v>8419285</v>
      </c>
      <c r="S420" s="357">
        <f>+S422+S421</f>
        <v>0</v>
      </c>
      <c r="T420" s="65">
        <f>+T422+T421</f>
        <v>0</v>
      </c>
      <c r="U420" s="65"/>
      <c r="V420" s="65"/>
      <c r="W420" s="65"/>
      <c r="X420" s="3199"/>
      <c r="Y420" s="3609"/>
    </row>
    <row r="421" spans="1:27" ht="13.5" customHeight="1">
      <c r="A421" s="3637"/>
      <c r="B421" s="1182" t="s">
        <v>122</v>
      </c>
      <c r="C421" s="3741"/>
      <c r="D421" s="2192">
        <f>M421+P421+Q421+R421+S421+T421+U421+V421+W421</f>
        <v>30585000</v>
      </c>
      <c r="E421" s="65"/>
      <c r="F421" s="65"/>
      <c r="G421" s="65"/>
      <c r="H421" s="65"/>
      <c r="I421" s="65"/>
      <c r="J421" s="65"/>
      <c r="K421" s="65"/>
      <c r="L421" s="65"/>
      <c r="M421" s="2192">
        <f>+E421+I421+J421+K421+L421+N421+O421</f>
        <v>10727145</v>
      </c>
      <c r="N421" s="3023">
        <f>4108286+368859</f>
        <v>4477145</v>
      </c>
      <c r="O421" s="3024">
        <f>6250000</f>
        <v>6250000</v>
      </c>
      <c r="P421" s="3023">
        <f>3019285</f>
        <v>3019285</v>
      </c>
      <c r="Q421" s="3023">
        <v>8419285</v>
      </c>
      <c r="R421" s="3023">
        <v>8419285</v>
      </c>
      <c r="S421" s="3025">
        <v>0</v>
      </c>
      <c r="T421" s="65">
        <v>0</v>
      </c>
      <c r="U421" s="65"/>
      <c r="V421" s="65"/>
      <c r="W421" s="65"/>
      <c r="X421" s="3199"/>
      <c r="Y421" s="3609"/>
    </row>
    <row r="422" spans="1:27" ht="12.75" hidden="1" customHeight="1">
      <c r="A422" s="3637"/>
      <c r="B422" s="118" t="s">
        <v>26</v>
      </c>
      <c r="C422" s="3725"/>
      <c r="D422" s="3007">
        <f>SUM(M422:T422)</f>
        <v>0</v>
      </c>
      <c r="E422" s="1075">
        <f>+F422+G422+H422</f>
        <v>0</v>
      </c>
      <c r="F422" s="3026">
        <v>0</v>
      </c>
      <c r="G422" s="3026">
        <v>0</v>
      </c>
      <c r="H422" s="3026">
        <v>0</v>
      </c>
      <c r="I422" s="3026"/>
      <c r="J422" s="3026">
        <v>0</v>
      </c>
      <c r="K422" s="3026">
        <v>0</v>
      </c>
      <c r="L422" s="3026">
        <v>0</v>
      </c>
      <c r="M422" s="3024">
        <f>+E422+I422+J422+K422+L422</f>
        <v>0</v>
      </c>
      <c r="N422" s="3026">
        <v>0</v>
      </c>
      <c r="O422" s="3027">
        <v>0</v>
      </c>
      <c r="P422" s="125">
        <v>0</v>
      </c>
      <c r="Q422" s="125"/>
      <c r="R422" s="125"/>
      <c r="S422" s="3028"/>
      <c r="T422" s="125"/>
      <c r="U422" s="125"/>
      <c r="V422" s="125"/>
      <c r="W422" s="125"/>
      <c r="X422" s="3199"/>
      <c r="Y422" s="3609"/>
    </row>
    <row r="423" spans="1:27">
      <c r="A423" s="3637"/>
      <c r="B423" s="3017" t="s">
        <v>29</v>
      </c>
      <c r="C423" s="3725"/>
      <c r="D423" s="3018">
        <f t="shared" ref="D423:T423" si="245">+D424</f>
        <v>173315000</v>
      </c>
      <c r="E423" s="3019">
        <f t="shared" si="245"/>
        <v>0</v>
      </c>
      <c r="F423" s="3019">
        <f t="shared" si="245"/>
        <v>0</v>
      </c>
      <c r="G423" s="3019">
        <f t="shared" si="245"/>
        <v>0</v>
      </c>
      <c r="H423" s="3019">
        <f t="shared" si="245"/>
        <v>0</v>
      </c>
      <c r="I423" s="3019">
        <f t="shared" si="245"/>
        <v>0</v>
      </c>
      <c r="J423" s="3019">
        <f t="shared" si="245"/>
        <v>0</v>
      </c>
      <c r="K423" s="3019">
        <f t="shared" si="245"/>
        <v>0</v>
      </c>
      <c r="L423" s="3019">
        <f t="shared" si="245"/>
        <v>0</v>
      </c>
      <c r="M423" s="3020">
        <f t="shared" si="245"/>
        <v>0</v>
      </c>
      <c r="N423" s="3020">
        <f t="shared" si="245"/>
        <v>0</v>
      </c>
      <c r="O423" s="3020">
        <f t="shared" si="245"/>
        <v>0</v>
      </c>
      <c r="P423" s="3020">
        <f t="shared" si="245"/>
        <v>0</v>
      </c>
      <c r="Q423" s="3019">
        <f t="shared" si="245"/>
        <v>76330000</v>
      </c>
      <c r="R423" s="3019">
        <f t="shared" si="245"/>
        <v>85221000</v>
      </c>
      <c r="S423" s="3020">
        <f t="shared" si="245"/>
        <v>0</v>
      </c>
      <c r="T423" s="3019">
        <f t="shared" si="245"/>
        <v>11764000</v>
      </c>
      <c r="U423" s="3019"/>
      <c r="V423" s="3019"/>
      <c r="W423" s="3019"/>
      <c r="X423" s="3199"/>
      <c r="Y423" s="3609"/>
    </row>
    <row r="424" spans="1:27" ht="13.5" customHeight="1" thickBot="1">
      <c r="A424" s="3638"/>
      <c r="B424" s="88" t="s">
        <v>32</v>
      </c>
      <c r="C424" s="3726"/>
      <c r="D424" s="2192">
        <f>M424+P424+Q424+R424+S424+T424+U424+V424+W424</f>
        <v>173315000</v>
      </c>
      <c r="E424" s="89">
        <f>+F424+G424+H424</f>
        <v>0</v>
      </c>
      <c r="F424" s="90">
        <v>0</v>
      </c>
      <c r="G424" s="89">
        <v>0</v>
      </c>
      <c r="H424" s="89">
        <v>0</v>
      </c>
      <c r="I424" s="89"/>
      <c r="J424" s="89"/>
      <c r="K424" s="89"/>
      <c r="L424" s="89">
        <v>0</v>
      </c>
      <c r="M424" s="2097">
        <f>+E424+I424+J424+K424+L424+N424+O424</f>
        <v>0</v>
      </c>
      <c r="N424" s="389">
        <v>0</v>
      </c>
      <c r="O424" s="389">
        <v>0</v>
      </c>
      <c r="P424" s="710">
        <v>0</v>
      </c>
      <c r="Q424" s="72">
        <f>112200000-35870000</f>
        <v>76330000</v>
      </c>
      <c r="R424" s="72">
        <f>96900000-11679000</f>
        <v>85221000</v>
      </c>
      <c r="S424" s="710">
        <v>0</v>
      </c>
      <c r="T424" s="72">
        <v>11764000</v>
      </c>
      <c r="U424" s="72"/>
      <c r="V424" s="72"/>
      <c r="W424" s="72"/>
      <c r="X424" s="3200"/>
      <c r="Y424" s="3610"/>
    </row>
    <row r="425" spans="1:27" ht="17.25" customHeight="1">
      <c r="A425" s="3734" t="s">
        <v>286</v>
      </c>
      <c r="B425" s="152" t="s">
        <v>300</v>
      </c>
      <c r="C425" s="2104"/>
      <c r="D425" s="153"/>
      <c r="E425" s="154"/>
      <c r="F425" s="154"/>
      <c r="G425" s="154"/>
      <c r="H425" s="154"/>
      <c r="I425" s="154"/>
      <c r="J425" s="155"/>
      <c r="K425" s="155"/>
      <c r="L425" s="155"/>
      <c r="M425" s="155"/>
      <c r="N425" s="155"/>
      <c r="O425" s="155"/>
      <c r="P425" s="155"/>
      <c r="Q425" s="155">
        <f>+Q426-Q432</f>
        <v>17983234</v>
      </c>
      <c r="R425" s="155"/>
      <c r="S425" s="155"/>
      <c r="T425" s="155"/>
      <c r="U425" s="411"/>
      <c r="V425" s="412"/>
      <c r="W425" s="412"/>
      <c r="X425" s="156"/>
      <c r="Y425" s="3758"/>
    </row>
    <row r="426" spans="1:27" s="2106" customFormat="1" ht="14.25" customHeight="1">
      <c r="A426" s="3735"/>
      <c r="B426" s="2344" t="s">
        <v>21</v>
      </c>
      <c r="C426" s="116"/>
      <c r="D426" s="157">
        <f>+D427+D430</f>
        <v>45046384</v>
      </c>
      <c r="E426" s="157">
        <f t="shared" ref="E426:N426" si="246">+E427+E430</f>
        <v>0</v>
      </c>
      <c r="F426" s="157">
        <f t="shared" si="246"/>
        <v>0</v>
      </c>
      <c r="G426" s="157">
        <f t="shared" si="246"/>
        <v>0</v>
      </c>
      <c r="H426" s="157">
        <f t="shared" si="246"/>
        <v>0</v>
      </c>
      <c r="I426" s="157">
        <f t="shared" si="246"/>
        <v>228400</v>
      </c>
      <c r="J426" s="157">
        <f t="shared" si="246"/>
        <v>3000</v>
      </c>
      <c r="K426" s="157">
        <f t="shared" si="246"/>
        <v>22878</v>
      </c>
      <c r="L426" s="157">
        <f t="shared" si="246"/>
        <v>137917</v>
      </c>
      <c r="M426" s="157">
        <f t="shared" si="246"/>
        <v>395660</v>
      </c>
      <c r="N426" s="157">
        <f t="shared" si="246"/>
        <v>3465</v>
      </c>
      <c r="O426" s="157">
        <f t="shared" ref="O426:X426" si="247">+O427+O430</f>
        <v>0</v>
      </c>
      <c r="P426" s="157">
        <f t="shared" si="247"/>
        <v>493368</v>
      </c>
      <c r="Q426" s="157">
        <f t="shared" si="247"/>
        <v>31797286</v>
      </c>
      <c r="R426" s="157">
        <f t="shared" si="247"/>
        <v>4638125</v>
      </c>
      <c r="S426" s="157">
        <f t="shared" si="247"/>
        <v>7721945</v>
      </c>
      <c r="T426" s="157">
        <f t="shared" si="247"/>
        <v>0</v>
      </c>
      <c r="U426" s="157">
        <f t="shared" si="247"/>
        <v>0</v>
      </c>
      <c r="V426" s="157">
        <f t="shared" si="247"/>
        <v>0</v>
      </c>
      <c r="W426" s="157">
        <f t="shared" si="247"/>
        <v>0</v>
      </c>
      <c r="X426" s="2258">
        <f t="shared" si="247"/>
        <v>44157356</v>
      </c>
      <c r="Y426" s="3759"/>
      <c r="Z426" s="864">
        <f>+O426+P426</f>
        <v>493368</v>
      </c>
      <c r="AA426" s="2105"/>
    </row>
    <row r="427" spans="1:27" s="2107" customFormat="1" ht="13.5" customHeight="1">
      <c r="A427" s="3735"/>
      <c r="B427" s="158" t="s">
        <v>22</v>
      </c>
      <c r="C427" s="159"/>
      <c r="D427" s="2351">
        <f>+D428+D429</f>
        <v>12145281</v>
      </c>
      <c r="E427" s="2351">
        <f t="shared" ref="E427:N427" si="248">+E428+E429</f>
        <v>0</v>
      </c>
      <c r="F427" s="2351">
        <f t="shared" si="248"/>
        <v>0</v>
      </c>
      <c r="G427" s="2351">
        <f t="shared" si="248"/>
        <v>0</v>
      </c>
      <c r="H427" s="2351">
        <f t="shared" si="248"/>
        <v>0</v>
      </c>
      <c r="I427" s="2351">
        <f t="shared" si="248"/>
        <v>228400</v>
      </c>
      <c r="J427" s="2351">
        <f t="shared" si="248"/>
        <v>3000</v>
      </c>
      <c r="K427" s="2351">
        <f t="shared" si="248"/>
        <v>22878</v>
      </c>
      <c r="L427" s="2351">
        <f t="shared" si="248"/>
        <v>137917</v>
      </c>
      <c r="M427" s="2351">
        <f t="shared" si="248"/>
        <v>395660</v>
      </c>
      <c r="N427" s="2351">
        <f t="shared" si="248"/>
        <v>3465</v>
      </c>
      <c r="O427" s="2351">
        <f t="shared" ref="O427:W427" si="249">+O428</f>
        <v>0</v>
      </c>
      <c r="P427" s="2351">
        <f t="shared" si="249"/>
        <v>156244</v>
      </c>
      <c r="Q427" s="2351">
        <f t="shared" si="249"/>
        <v>8660451</v>
      </c>
      <c r="R427" s="2351">
        <f t="shared" si="249"/>
        <v>1095082</v>
      </c>
      <c r="S427" s="2351">
        <f t="shared" si="249"/>
        <v>1837844</v>
      </c>
      <c r="T427" s="2351">
        <f t="shared" si="249"/>
        <v>0</v>
      </c>
      <c r="U427" s="2351">
        <f t="shared" si="249"/>
        <v>0</v>
      </c>
      <c r="V427" s="2351">
        <f t="shared" si="249"/>
        <v>0</v>
      </c>
      <c r="W427" s="2351">
        <f t="shared" si="249"/>
        <v>0</v>
      </c>
      <c r="X427" s="1280">
        <f>+X428</f>
        <v>11593377</v>
      </c>
      <c r="Y427" s="3759"/>
      <c r="AA427" s="2105"/>
    </row>
    <row r="428" spans="1:27" s="2106" customFormat="1" ht="11.25" customHeight="1">
      <c r="A428" s="3735"/>
      <c r="B428" s="46" t="s">
        <v>23</v>
      </c>
      <c r="C428" s="47"/>
      <c r="D428" s="2352">
        <f>+D440+D450+D507++D459+D471+D480+D489+D498</f>
        <v>12088278</v>
      </c>
      <c r="E428" s="2352">
        <f t="shared" ref="E428:W428" si="250">+E440+E450+E507++E459+E471+E480+E489+E498</f>
        <v>0</v>
      </c>
      <c r="F428" s="2352">
        <f t="shared" si="250"/>
        <v>0</v>
      </c>
      <c r="G428" s="2352">
        <f t="shared" si="250"/>
        <v>0</v>
      </c>
      <c r="H428" s="2352">
        <f t="shared" si="250"/>
        <v>0</v>
      </c>
      <c r="I428" s="2352">
        <f t="shared" si="250"/>
        <v>228400</v>
      </c>
      <c r="J428" s="2352">
        <f t="shared" si="250"/>
        <v>3000</v>
      </c>
      <c r="K428" s="2352">
        <f t="shared" si="250"/>
        <v>0</v>
      </c>
      <c r="L428" s="2352">
        <f t="shared" si="250"/>
        <v>103792</v>
      </c>
      <c r="M428" s="2352">
        <f t="shared" si="250"/>
        <v>338657</v>
      </c>
      <c r="N428" s="2352">
        <f t="shared" si="250"/>
        <v>3465</v>
      </c>
      <c r="O428" s="2352">
        <f t="shared" si="250"/>
        <v>0</v>
      </c>
      <c r="P428" s="2352">
        <f t="shared" si="250"/>
        <v>156244</v>
      </c>
      <c r="Q428" s="2352">
        <f t="shared" si="250"/>
        <v>8660451</v>
      </c>
      <c r="R428" s="2352">
        <f t="shared" si="250"/>
        <v>1095082</v>
      </c>
      <c r="S428" s="2352">
        <f t="shared" si="250"/>
        <v>1837844</v>
      </c>
      <c r="T428" s="2352">
        <f t="shared" si="250"/>
        <v>0</v>
      </c>
      <c r="U428" s="2352">
        <f t="shared" si="250"/>
        <v>0</v>
      </c>
      <c r="V428" s="2352">
        <f t="shared" si="250"/>
        <v>0</v>
      </c>
      <c r="W428" s="2352">
        <f t="shared" si="250"/>
        <v>0</v>
      </c>
      <c r="X428" s="2285">
        <f>SUM(Q428:W428)</f>
        <v>11593377</v>
      </c>
      <c r="Y428" s="3759"/>
      <c r="Z428" s="2105"/>
      <c r="AA428" s="2105"/>
    </row>
    <row r="429" spans="1:27" s="2106" customFormat="1" ht="11.25" customHeight="1">
      <c r="A429" s="3735"/>
      <c r="B429" s="46" t="s">
        <v>26</v>
      </c>
      <c r="C429" s="47"/>
      <c r="D429" s="2352">
        <f>+D460</f>
        <v>57003</v>
      </c>
      <c r="E429" s="2352">
        <f t="shared" ref="E429:W429" si="251">+E460</f>
        <v>0</v>
      </c>
      <c r="F429" s="2352">
        <f t="shared" si="251"/>
        <v>0</v>
      </c>
      <c r="G429" s="2352">
        <f t="shared" si="251"/>
        <v>0</v>
      </c>
      <c r="H429" s="2352">
        <f t="shared" si="251"/>
        <v>0</v>
      </c>
      <c r="I429" s="2352">
        <f t="shared" si="251"/>
        <v>0</v>
      </c>
      <c r="J429" s="2352">
        <f t="shared" si="251"/>
        <v>0</v>
      </c>
      <c r="K429" s="2352">
        <f t="shared" si="251"/>
        <v>22878</v>
      </c>
      <c r="L429" s="2352">
        <f t="shared" si="251"/>
        <v>34125</v>
      </c>
      <c r="M429" s="2352">
        <f t="shared" si="251"/>
        <v>57003</v>
      </c>
      <c r="N429" s="2352">
        <f t="shared" si="251"/>
        <v>0</v>
      </c>
      <c r="O429" s="2352">
        <f t="shared" si="251"/>
        <v>0</v>
      </c>
      <c r="P429" s="2352">
        <f t="shared" si="251"/>
        <v>0</v>
      </c>
      <c r="Q429" s="2352">
        <f t="shared" si="251"/>
        <v>0</v>
      </c>
      <c r="R429" s="2352">
        <f t="shared" si="251"/>
        <v>0</v>
      </c>
      <c r="S429" s="2352">
        <f t="shared" si="251"/>
        <v>0</v>
      </c>
      <c r="T429" s="2352">
        <f t="shared" si="251"/>
        <v>0</v>
      </c>
      <c r="U429" s="2352">
        <f t="shared" si="251"/>
        <v>0</v>
      </c>
      <c r="V429" s="2352">
        <f t="shared" si="251"/>
        <v>0</v>
      </c>
      <c r="W429" s="2352">
        <f t="shared" si="251"/>
        <v>0</v>
      </c>
      <c r="X429" s="2285">
        <f>SUM(Q429:W429)</f>
        <v>0</v>
      </c>
      <c r="Y429" s="3759"/>
      <c r="Z429" s="2105"/>
      <c r="AA429" s="2105"/>
    </row>
    <row r="430" spans="1:27" s="2107" customFormat="1" ht="13.5" customHeight="1">
      <c r="A430" s="3735"/>
      <c r="B430" s="2353" t="s">
        <v>116</v>
      </c>
      <c r="C430" s="2354"/>
      <c r="D430" s="2355">
        <f>+D431</f>
        <v>32901103</v>
      </c>
      <c r="E430" s="2355">
        <f t="shared" ref="E430:W430" si="252">+E431</f>
        <v>0</v>
      </c>
      <c r="F430" s="2355">
        <f t="shared" si="252"/>
        <v>0</v>
      </c>
      <c r="G430" s="2355">
        <f t="shared" si="252"/>
        <v>0</v>
      </c>
      <c r="H430" s="2355">
        <f t="shared" si="252"/>
        <v>0</v>
      </c>
      <c r="I430" s="2355">
        <f t="shared" si="252"/>
        <v>0</v>
      </c>
      <c r="J430" s="2355">
        <f t="shared" si="252"/>
        <v>0</v>
      </c>
      <c r="K430" s="2355">
        <f t="shared" si="252"/>
        <v>0</v>
      </c>
      <c r="L430" s="2355">
        <f t="shared" si="252"/>
        <v>0</v>
      </c>
      <c r="M430" s="2355">
        <f t="shared" si="252"/>
        <v>0</v>
      </c>
      <c r="N430" s="2355">
        <f t="shared" si="252"/>
        <v>0</v>
      </c>
      <c r="O430" s="2355">
        <f t="shared" si="252"/>
        <v>0</v>
      </c>
      <c r="P430" s="2355">
        <f t="shared" si="252"/>
        <v>337124</v>
      </c>
      <c r="Q430" s="2355">
        <f t="shared" si="252"/>
        <v>23136835</v>
      </c>
      <c r="R430" s="2355">
        <f t="shared" si="252"/>
        <v>3543043</v>
      </c>
      <c r="S430" s="2355">
        <f t="shared" si="252"/>
        <v>5884101</v>
      </c>
      <c r="T430" s="2355">
        <f t="shared" si="252"/>
        <v>0</v>
      </c>
      <c r="U430" s="2355">
        <f t="shared" si="252"/>
        <v>0</v>
      </c>
      <c r="V430" s="2355">
        <f t="shared" si="252"/>
        <v>0</v>
      </c>
      <c r="W430" s="2355">
        <f t="shared" si="252"/>
        <v>0</v>
      </c>
      <c r="X430" s="1280">
        <f>+X431</f>
        <v>32563979</v>
      </c>
      <c r="Y430" s="3759"/>
      <c r="AA430" s="2105"/>
    </row>
    <row r="431" spans="1:27" s="2106" customFormat="1" ht="12.75" customHeight="1">
      <c r="A431" s="3735"/>
      <c r="B431" s="46" t="s">
        <v>31</v>
      </c>
      <c r="C431" s="47"/>
      <c r="D431" s="2352">
        <f>+D442+D452+D512+D462+D473+D482+D491+D500</f>
        <v>32901103</v>
      </c>
      <c r="E431" s="2352">
        <f t="shared" ref="E431:W431" si="253">+E442+E452+E512+E462+E473+E482+E491+E500</f>
        <v>0</v>
      </c>
      <c r="F431" s="2352">
        <f t="shared" si="253"/>
        <v>0</v>
      </c>
      <c r="G431" s="2352">
        <f t="shared" si="253"/>
        <v>0</v>
      </c>
      <c r="H431" s="2352">
        <f t="shared" si="253"/>
        <v>0</v>
      </c>
      <c r="I431" s="2352">
        <f t="shared" si="253"/>
        <v>0</v>
      </c>
      <c r="J431" s="2352">
        <f t="shared" si="253"/>
        <v>0</v>
      </c>
      <c r="K431" s="2352">
        <f t="shared" si="253"/>
        <v>0</v>
      </c>
      <c r="L431" s="2352">
        <f t="shared" si="253"/>
        <v>0</v>
      </c>
      <c r="M431" s="2352">
        <f t="shared" si="253"/>
        <v>0</v>
      </c>
      <c r="N431" s="2352">
        <f t="shared" si="253"/>
        <v>0</v>
      </c>
      <c r="O431" s="2352">
        <f t="shared" si="253"/>
        <v>0</v>
      </c>
      <c r="P431" s="2352">
        <f t="shared" si="253"/>
        <v>337124</v>
      </c>
      <c r="Q431" s="2352">
        <f t="shared" si="253"/>
        <v>23136835</v>
      </c>
      <c r="R431" s="2352">
        <f t="shared" si="253"/>
        <v>3543043</v>
      </c>
      <c r="S431" s="2352">
        <f t="shared" si="253"/>
        <v>5884101</v>
      </c>
      <c r="T431" s="2352">
        <f t="shared" si="253"/>
        <v>0</v>
      </c>
      <c r="U431" s="2352">
        <f t="shared" si="253"/>
        <v>0</v>
      </c>
      <c r="V431" s="2352">
        <f t="shared" si="253"/>
        <v>0</v>
      </c>
      <c r="W431" s="2352">
        <f t="shared" si="253"/>
        <v>0</v>
      </c>
      <c r="X431" s="2285">
        <f>SUM(Q431:W431)</f>
        <v>32563979</v>
      </c>
      <c r="Y431" s="3759"/>
      <c r="Z431" s="2105"/>
      <c r="AA431" s="2105"/>
    </row>
    <row r="432" spans="1:27" s="2106" customFormat="1" ht="12" customHeight="1">
      <c r="A432" s="3736"/>
      <c r="B432" s="1320" t="s">
        <v>33</v>
      </c>
      <c r="C432" s="1881"/>
      <c r="D432" s="2283">
        <f>+D435+D433</f>
        <v>32958106</v>
      </c>
      <c r="E432" s="2283">
        <f t="shared" ref="E432:W432" si="254">+E435+E433</f>
        <v>0</v>
      </c>
      <c r="F432" s="2283">
        <f t="shared" si="254"/>
        <v>0</v>
      </c>
      <c r="G432" s="2283">
        <f t="shared" si="254"/>
        <v>0</v>
      </c>
      <c r="H432" s="2283">
        <f t="shared" si="254"/>
        <v>0</v>
      </c>
      <c r="I432" s="2283">
        <f t="shared" si="254"/>
        <v>0</v>
      </c>
      <c r="J432" s="2283">
        <f t="shared" si="254"/>
        <v>0</v>
      </c>
      <c r="K432" s="2283">
        <f t="shared" si="254"/>
        <v>22878</v>
      </c>
      <c r="L432" s="2283">
        <f t="shared" si="254"/>
        <v>34125</v>
      </c>
      <c r="M432" s="2283">
        <f t="shared" si="254"/>
        <v>57003</v>
      </c>
      <c r="N432" s="2283">
        <f t="shared" si="254"/>
        <v>0</v>
      </c>
      <c r="O432" s="2283">
        <f t="shared" si="254"/>
        <v>0</v>
      </c>
      <c r="P432" s="2283">
        <f t="shared" si="254"/>
        <v>0</v>
      </c>
      <c r="Q432" s="2283">
        <f t="shared" si="254"/>
        <v>13814052</v>
      </c>
      <c r="R432" s="2283">
        <f t="shared" si="254"/>
        <v>9621303</v>
      </c>
      <c r="S432" s="2283">
        <f t="shared" si="254"/>
        <v>6449496</v>
      </c>
      <c r="T432" s="2283">
        <f t="shared" si="254"/>
        <v>3016252</v>
      </c>
      <c r="U432" s="2283">
        <f t="shared" si="254"/>
        <v>0</v>
      </c>
      <c r="V432" s="2283">
        <f t="shared" si="254"/>
        <v>0</v>
      </c>
      <c r="W432" s="2283">
        <f t="shared" si="254"/>
        <v>0</v>
      </c>
      <c r="X432" s="3605" t="s">
        <v>34</v>
      </c>
      <c r="Y432" s="161"/>
      <c r="Z432" s="2105"/>
    </row>
    <row r="433" spans="1:26" s="2106" customFormat="1" ht="12" customHeight="1">
      <c r="A433" s="3736"/>
      <c r="B433" s="158" t="s">
        <v>35</v>
      </c>
      <c r="C433" s="159"/>
      <c r="D433" s="2351">
        <f>+D434</f>
        <v>57003</v>
      </c>
      <c r="E433" s="2351">
        <f t="shared" ref="E433:M433" si="255">+E434</f>
        <v>0</v>
      </c>
      <c r="F433" s="2351">
        <f t="shared" si="255"/>
        <v>0</v>
      </c>
      <c r="G433" s="2351">
        <f t="shared" si="255"/>
        <v>0</v>
      </c>
      <c r="H433" s="2351">
        <f t="shared" si="255"/>
        <v>0</v>
      </c>
      <c r="I433" s="2351">
        <f t="shared" si="255"/>
        <v>0</v>
      </c>
      <c r="J433" s="2351">
        <f t="shared" si="255"/>
        <v>0</v>
      </c>
      <c r="K433" s="2351">
        <f t="shared" si="255"/>
        <v>22878</v>
      </c>
      <c r="L433" s="2351">
        <f t="shared" si="255"/>
        <v>34125</v>
      </c>
      <c r="M433" s="2351">
        <f t="shared" si="255"/>
        <v>57003</v>
      </c>
      <c r="N433" s="2351"/>
      <c r="O433" s="2351"/>
      <c r="P433" s="2351"/>
      <c r="Q433" s="2351"/>
      <c r="R433" s="2351"/>
      <c r="S433" s="2351"/>
      <c r="T433" s="2351"/>
      <c r="U433" s="2351"/>
      <c r="V433" s="2351"/>
      <c r="W433" s="2351"/>
      <c r="X433" s="3606"/>
      <c r="Y433" s="161"/>
      <c r="Z433" s="2105"/>
    </row>
    <row r="434" spans="1:26" s="2106" customFormat="1" ht="12" customHeight="1">
      <c r="A434" s="3736"/>
      <c r="B434" s="46" t="s">
        <v>26</v>
      </c>
      <c r="C434" s="47"/>
      <c r="D434" s="2352">
        <f>+D465</f>
        <v>57003</v>
      </c>
      <c r="E434" s="2352">
        <f t="shared" ref="E434:W434" si="256">+E465</f>
        <v>0</v>
      </c>
      <c r="F434" s="2352">
        <f t="shared" si="256"/>
        <v>0</v>
      </c>
      <c r="G434" s="2352">
        <f t="shared" si="256"/>
        <v>0</v>
      </c>
      <c r="H434" s="2352">
        <f t="shared" si="256"/>
        <v>0</v>
      </c>
      <c r="I434" s="2352">
        <f t="shared" si="256"/>
        <v>0</v>
      </c>
      <c r="J434" s="2352">
        <f t="shared" si="256"/>
        <v>0</v>
      </c>
      <c r="K434" s="2352">
        <f t="shared" si="256"/>
        <v>22878</v>
      </c>
      <c r="L434" s="2352">
        <f t="shared" si="256"/>
        <v>34125</v>
      </c>
      <c r="M434" s="2352">
        <f t="shared" si="256"/>
        <v>57003</v>
      </c>
      <c r="N434" s="2352">
        <f t="shared" si="256"/>
        <v>0</v>
      </c>
      <c r="O434" s="2352">
        <f t="shared" si="256"/>
        <v>0</v>
      </c>
      <c r="P434" s="2352">
        <f t="shared" si="256"/>
        <v>0</v>
      </c>
      <c r="Q434" s="2352">
        <f t="shared" si="256"/>
        <v>0</v>
      </c>
      <c r="R434" s="2352">
        <f t="shared" si="256"/>
        <v>0</v>
      </c>
      <c r="S434" s="2352">
        <f t="shared" si="256"/>
        <v>0</v>
      </c>
      <c r="T434" s="2352">
        <f t="shared" si="256"/>
        <v>0</v>
      </c>
      <c r="U434" s="2352">
        <f t="shared" si="256"/>
        <v>0</v>
      </c>
      <c r="V434" s="2352">
        <f t="shared" si="256"/>
        <v>0</v>
      </c>
      <c r="W434" s="2352">
        <f t="shared" si="256"/>
        <v>0</v>
      </c>
      <c r="X434" s="3606"/>
      <c r="Y434" s="161"/>
      <c r="Z434" s="2105"/>
    </row>
    <row r="435" spans="1:26" s="2106" customFormat="1" ht="12.75" customHeight="1">
      <c r="A435" s="3736"/>
      <c r="B435" s="2356" t="s">
        <v>29</v>
      </c>
      <c r="C435" s="2108"/>
      <c r="D435" s="162">
        <f>+D436</f>
        <v>32901103</v>
      </c>
      <c r="E435" s="162">
        <f t="shared" ref="E435:T435" si="257">+E436</f>
        <v>0</v>
      </c>
      <c r="F435" s="162">
        <f t="shared" si="257"/>
        <v>0</v>
      </c>
      <c r="G435" s="162">
        <f t="shared" si="257"/>
        <v>0</v>
      </c>
      <c r="H435" s="162">
        <f t="shared" si="257"/>
        <v>0</v>
      </c>
      <c r="I435" s="162">
        <f t="shared" si="257"/>
        <v>0</v>
      </c>
      <c r="J435" s="162">
        <f>+J436</f>
        <v>0</v>
      </c>
      <c r="K435" s="162">
        <f t="shared" si="257"/>
        <v>0</v>
      </c>
      <c r="L435" s="162">
        <f t="shared" si="257"/>
        <v>0</v>
      </c>
      <c r="M435" s="162">
        <f t="shared" si="257"/>
        <v>0</v>
      </c>
      <c r="N435" s="162">
        <f t="shared" si="257"/>
        <v>0</v>
      </c>
      <c r="O435" s="162">
        <f t="shared" si="257"/>
        <v>0</v>
      </c>
      <c r="P435" s="162">
        <f t="shared" si="257"/>
        <v>0</v>
      </c>
      <c r="Q435" s="162">
        <f t="shared" si="257"/>
        <v>13814052</v>
      </c>
      <c r="R435" s="162">
        <f t="shared" si="257"/>
        <v>9621303</v>
      </c>
      <c r="S435" s="162">
        <f t="shared" si="257"/>
        <v>6449496</v>
      </c>
      <c r="T435" s="162">
        <f t="shared" si="257"/>
        <v>3016252</v>
      </c>
      <c r="U435" s="162">
        <f>+U436</f>
        <v>0</v>
      </c>
      <c r="V435" s="162">
        <f>+V436</f>
        <v>0</v>
      </c>
      <c r="W435" s="162">
        <f>+W436</f>
        <v>0</v>
      </c>
      <c r="X435" s="3606"/>
      <c r="Y435" s="3203"/>
      <c r="Z435" s="2105"/>
    </row>
    <row r="436" spans="1:26" s="2106" customFormat="1" ht="13.5" customHeight="1" thickBot="1">
      <c r="A436" s="3737"/>
      <c r="B436" s="2109" t="s">
        <v>31</v>
      </c>
      <c r="C436" s="2110"/>
      <c r="D436" s="163">
        <f>+D445+D455+D518+D467+D476+D485+D494+D503</f>
        <v>32901103</v>
      </c>
      <c r="E436" s="163">
        <f t="shared" ref="E436:W436" si="258">+E445+E455+E518+E467+E476+E485+E494+E503</f>
        <v>0</v>
      </c>
      <c r="F436" s="163">
        <f t="shared" si="258"/>
        <v>0</v>
      </c>
      <c r="G436" s="163">
        <f t="shared" si="258"/>
        <v>0</v>
      </c>
      <c r="H436" s="163">
        <f t="shared" si="258"/>
        <v>0</v>
      </c>
      <c r="I436" s="163">
        <f t="shared" si="258"/>
        <v>0</v>
      </c>
      <c r="J436" s="163">
        <f t="shared" si="258"/>
        <v>0</v>
      </c>
      <c r="K436" s="163">
        <f t="shared" si="258"/>
        <v>0</v>
      </c>
      <c r="L436" s="163">
        <f t="shared" si="258"/>
        <v>0</v>
      </c>
      <c r="M436" s="163">
        <f t="shared" si="258"/>
        <v>0</v>
      </c>
      <c r="N436" s="163">
        <f t="shared" si="258"/>
        <v>0</v>
      </c>
      <c r="O436" s="163">
        <f t="shared" si="258"/>
        <v>0</v>
      </c>
      <c r="P436" s="163">
        <f t="shared" si="258"/>
        <v>0</v>
      </c>
      <c r="Q436" s="163">
        <f t="shared" si="258"/>
        <v>13814052</v>
      </c>
      <c r="R436" s="163">
        <f t="shared" si="258"/>
        <v>9621303</v>
      </c>
      <c r="S436" s="163">
        <f t="shared" si="258"/>
        <v>6449496</v>
      </c>
      <c r="T436" s="163">
        <f t="shared" si="258"/>
        <v>3016252</v>
      </c>
      <c r="U436" s="163">
        <f t="shared" si="258"/>
        <v>0</v>
      </c>
      <c r="V436" s="163">
        <f t="shared" si="258"/>
        <v>0</v>
      </c>
      <c r="W436" s="163">
        <f t="shared" si="258"/>
        <v>0</v>
      </c>
      <c r="X436" s="3607"/>
      <c r="Y436" s="164"/>
      <c r="Z436" s="2105">
        <f>D436-D431</f>
        <v>0</v>
      </c>
    </row>
    <row r="437" spans="1:26" hidden="1">
      <c r="A437" s="3600"/>
      <c r="B437" s="382"/>
      <c r="C437" s="73" t="s">
        <v>95</v>
      </c>
      <c r="D437" s="168"/>
      <c r="E437" s="50"/>
      <c r="F437" s="51"/>
      <c r="G437" s="51"/>
      <c r="H437" s="50"/>
      <c r="I437" s="50"/>
      <c r="J437" s="50"/>
      <c r="K437" s="50"/>
      <c r="L437" s="50"/>
      <c r="M437" s="50"/>
      <c r="N437" s="50"/>
      <c r="O437" s="50"/>
      <c r="P437" s="52"/>
      <c r="Q437" s="52"/>
      <c r="R437" s="52"/>
      <c r="S437" s="391"/>
      <c r="T437" s="51"/>
      <c r="U437" s="391"/>
      <c r="V437" s="391"/>
      <c r="W437" s="391"/>
      <c r="X437" s="392"/>
      <c r="Y437" s="3617" t="s">
        <v>117</v>
      </c>
    </row>
    <row r="438" spans="1:26" hidden="1">
      <c r="A438" s="3601"/>
      <c r="B438" s="25" t="s">
        <v>21</v>
      </c>
      <c r="C438" s="26"/>
      <c r="D438" s="165">
        <f>+D439+D441</f>
        <v>0</v>
      </c>
      <c r="E438" s="165">
        <f t="shared" ref="E438:P438" si="259">+E439+E441</f>
        <v>0</v>
      </c>
      <c r="F438" s="165">
        <f t="shared" si="259"/>
        <v>0</v>
      </c>
      <c r="G438" s="165">
        <f t="shared" si="259"/>
        <v>0</v>
      </c>
      <c r="H438" s="165">
        <f t="shared" si="259"/>
        <v>0</v>
      </c>
      <c r="I438" s="165">
        <f t="shared" si="259"/>
        <v>0</v>
      </c>
      <c r="J438" s="165">
        <f t="shared" si="259"/>
        <v>0</v>
      </c>
      <c r="K438" s="165">
        <f t="shared" si="259"/>
        <v>0</v>
      </c>
      <c r="L438" s="165">
        <f t="shared" si="259"/>
        <v>0</v>
      </c>
      <c r="M438" s="165">
        <f>+M439+M441</f>
        <v>0</v>
      </c>
      <c r="N438" s="165">
        <f t="shared" si="259"/>
        <v>0</v>
      </c>
      <c r="O438" s="165">
        <f t="shared" si="259"/>
        <v>0</v>
      </c>
      <c r="P438" s="165">
        <f t="shared" si="259"/>
        <v>0</v>
      </c>
      <c r="Q438" s="165"/>
      <c r="R438" s="165"/>
      <c r="S438" s="165"/>
      <c r="T438" s="165"/>
      <c r="U438" s="165"/>
      <c r="V438" s="165"/>
      <c r="W438" s="165"/>
      <c r="X438" s="80">
        <f>+X439+X441</f>
        <v>0</v>
      </c>
      <c r="Y438" s="3618"/>
    </row>
    <row r="439" spans="1:26" hidden="1">
      <c r="A439" s="3601"/>
      <c r="B439" s="217" t="s">
        <v>35</v>
      </c>
      <c r="C439" s="3624" t="s">
        <v>98</v>
      </c>
      <c r="D439" s="166">
        <f>+D440</f>
        <v>0</v>
      </c>
      <c r="E439" s="166">
        <f t="shared" ref="E439:P439" si="260">+E440</f>
        <v>0</v>
      </c>
      <c r="F439" s="166">
        <f t="shared" si="260"/>
        <v>0</v>
      </c>
      <c r="G439" s="166">
        <f t="shared" si="260"/>
        <v>0</v>
      </c>
      <c r="H439" s="166">
        <f t="shared" si="260"/>
        <v>0</v>
      </c>
      <c r="I439" s="166">
        <f t="shared" si="260"/>
        <v>0</v>
      </c>
      <c r="J439" s="166">
        <f t="shared" si="260"/>
        <v>0</v>
      </c>
      <c r="K439" s="166">
        <f t="shared" si="260"/>
        <v>0</v>
      </c>
      <c r="L439" s="166">
        <f t="shared" si="260"/>
        <v>0</v>
      </c>
      <c r="M439" s="166">
        <f t="shared" si="260"/>
        <v>0</v>
      </c>
      <c r="N439" s="166">
        <f t="shared" si="260"/>
        <v>0</v>
      </c>
      <c r="O439" s="166">
        <f t="shared" si="260"/>
        <v>0</v>
      </c>
      <c r="P439" s="166">
        <f t="shared" si="260"/>
        <v>0</v>
      </c>
      <c r="Q439" s="166"/>
      <c r="R439" s="166"/>
      <c r="S439" s="166"/>
      <c r="T439" s="166"/>
      <c r="U439" s="166"/>
      <c r="V439" s="166"/>
      <c r="W439" s="166"/>
      <c r="X439" s="99">
        <f>+X440</f>
        <v>0</v>
      </c>
      <c r="Y439" s="3618"/>
    </row>
    <row r="440" spans="1:26" hidden="1">
      <c r="A440" s="3601"/>
      <c r="B440" s="727" t="s">
        <v>23</v>
      </c>
      <c r="C440" s="3640"/>
      <c r="D440" s="325">
        <f>M440+O440+P440+Q440+R440+S440+T440+U440+V440+W440</f>
        <v>0</v>
      </c>
      <c r="E440" s="59">
        <f>+F440+G440+H440</f>
        <v>0</v>
      </c>
      <c r="F440" s="110">
        <v>0</v>
      </c>
      <c r="G440" s="110">
        <v>0</v>
      </c>
      <c r="H440" s="110">
        <v>0</v>
      </c>
      <c r="I440" s="110"/>
      <c r="J440" s="110"/>
      <c r="K440" s="110"/>
      <c r="L440" s="110">
        <f>47545-47545</f>
        <v>0</v>
      </c>
      <c r="M440" s="387">
        <f>+E440+I440+J440+K440+L440+N440</f>
        <v>0</v>
      </c>
      <c r="N440" s="110">
        <f>57803-57803</f>
        <v>0</v>
      </c>
      <c r="O440" s="110"/>
      <c r="P440" s="110">
        <v>0</v>
      </c>
      <c r="Q440" s="110"/>
      <c r="R440" s="110"/>
      <c r="S440" s="110"/>
      <c r="T440" s="110"/>
      <c r="U440" s="110"/>
      <c r="V440" s="110"/>
      <c r="W440" s="110"/>
      <c r="X440" s="44">
        <f>SUM(P440:T440)</f>
        <v>0</v>
      </c>
      <c r="Y440" s="3618"/>
    </row>
    <row r="441" spans="1:26" ht="12.75" hidden="1" customHeight="1">
      <c r="A441" s="3601"/>
      <c r="B441" s="885" t="s">
        <v>29</v>
      </c>
      <c r="C441" s="3640"/>
      <c r="D441" s="61">
        <f>+D442</f>
        <v>0</v>
      </c>
      <c r="E441" s="61">
        <f t="shared" ref="E441:P441" si="261">+E442</f>
        <v>0</v>
      </c>
      <c r="F441" s="61">
        <f t="shared" si="261"/>
        <v>0</v>
      </c>
      <c r="G441" s="61">
        <f t="shared" si="261"/>
        <v>0</v>
      </c>
      <c r="H441" s="61">
        <f t="shared" si="261"/>
        <v>0</v>
      </c>
      <c r="I441" s="61">
        <f t="shared" si="261"/>
        <v>0</v>
      </c>
      <c r="J441" s="61">
        <f t="shared" si="261"/>
        <v>0</v>
      </c>
      <c r="K441" s="61">
        <f t="shared" si="261"/>
        <v>0</v>
      </c>
      <c r="L441" s="61">
        <f t="shared" si="261"/>
        <v>0</v>
      </c>
      <c r="M441" s="61">
        <f t="shared" si="261"/>
        <v>0</v>
      </c>
      <c r="N441" s="61">
        <f t="shared" si="261"/>
        <v>0</v>
      </c>
      <c r="O441" s="61">
        <f t="shared" si="261"/>
        <v>0</v>
      </c>
      <c r="P441" s="61">
        <f t="shared" si="261"/>
        <v>0</v>
      </c>
      <c r="Q441" s="61"/>
      <c r="R441" s="61"/>
      <c r="S441" s="61"/>
      <c r="T441" s="61"/>
      <c r="U441" s="61"/>
      <c r="V441" s="61"/>
      <c r="W441" s="61"/>
      <c r="X441" s="99">
        <f>+X442</f>
        <v>0</v>
      </c>
      <c r="Y441" s="3618"/>
    </row>
    <row r="442" spans="1:26" hidden="1">
      <c r="A442" s="3601"/>
      <c r="B442" s="2085" t="s">
        <v>301</v>
      </c>
      <c r="C442" s="3641"/>
      <c r="D442" s="325">
        <f>M442+O442+P442+Q442+R442+S442+T442+U442+V442+W442</f>
        <v>0</v>
      </c>
      <c r="E442" s="59">
        <f>+F442+G442+H442</f>
        <v>0</v>
      </c>
      <c r="F442" s="57">
        <v>0</v>
      </c>
      <c r="G442" s="57">
        <v>0</v>
      </c>
      <c r="H442" s="57">
        <v>0</v>
      </c>
      <c r="I442" s="110"/>
      <c r="J442" s="110"/>
      <c r="K442" s="110">
        <v>0</v>
      </c>
      <c r="L442" s="110">
        <v>0</v>
      </c>
      <c r="M442" s="387"/>
      <c r="N442" s="110">
        <v>0</v>
      </c>
      <c r="O442" s="110">
        <v>0</v>
      </c>
      <c r="P442" s="110"/>
      <c r="Q442" s="110"/>
      <c r="R442" s="110"/>
      <c r="S442" s="110"/>
      <c r="T442" s="110"/>
      <c r="U442" s="110"/>
      <c r="V442" s="110"/>
      <c r="W442" s="110"/>
      <c r="X442" s="44">
        <f>SUM(P442:T442)</f>
        <v>0</v>
      </c>
      <c r="Y442" s="3639"/>
      <c r="Z442" s="864"/>
    </row>
    <row r="443" spans="1:26" ht="10.5" hidden="1" customHeight="1">
      <c r="A443" s="3637"/>
      <c r="B443" s="25" t="s">
        <v>33</v>
      </c>
      <c r="C443" s="26"/>
      <c r="D443" s="258">
        <f>+D444</f>
        <v>0</v>
      </c>
      <c r="E443" s="258">
        <f t="shared" ref="E443:P444" si="262">+E444</f>
        <v>0</v>
      </c>
      <c r="F443" s="258">
        <f t="shared" si="262"/>
        <v>0</v>
      </c>
      <c r="G443" s="258">
        <f t="shared" si="262"/>
        <v>0</v>
      </c>
      <c r="H443" s="258">
        <f t="shared" si="262"/>
        <v>0</v>
      </c>
      <c r="I443" s="258">
        <f t="shared" si="262"/>
        <v>0</v>
      </c>
      <c r="J443" s="258">
        <f t="shared" si="262"/>
        <v>0</v>
      </c>
      <c r="K443" s="258">
        <f t="shared" si="262"/>
        <v>0</v>
      </c>
      <c r="L443" s="258">
        <f t="shared" si="262"/>
        <v>0</v>
      </c>
      <c r="M443" s="258">
        <f t="shared" si="262"/>
        <v>0</v>
      </c>
      <c r="N443" s="258">
        <f t="shared" si="262"/>
        <v>0</v>
      </c>
      <c r="O443" s="258">
        <f t="shared" si="262"/>
        <v>0</v>
      </c>
      <c r="P443" s="258">
        <f t="shared" si="262"/>
        <v>0</v>
      </c>
      <c r="Q443" s="258"/>
      <c r="R443" s="258"/>
      <c r="S443" s="258"/>
      <c r="T443" s="258"/>
      <c r="U443" s="258"/>
      <c r="V443" s="258"/>
      <c r="W443" s="258"/>
      <c r="X443" s="3666" t="s">
        <v>34</v>
      </c>
      <c r="Y443" s="3642" t="s">
        <v>118</v>
      </c>
    </row>
    <row r="444" spans="1:26" s="353" customFormat="1" ht="12.75" hidden="1" customHeight="1">
      <c r="A444" s="3637"/>
      <c r="B444" s="885" t="s">
        <v>29</v>
      </c>
      <c r="C444" s="3624" t="s">
        <v>98</v>
      </c>
      <c r="D444" s="1907">
        <f>+D445</f>
        <v>0</v>
      </c>
      <c r="E444" s="1907">
        <f t="shared" si="262"/>
        <v>0</v>
      </c>
      <c r="F444" s="1907">
        <f t="shared" si="262"/>
        <v>0</v>
      </c>
      <c r="G444" s="1907">
        <f t="shared" si="262"/>
        <v>0</v>
      </c>
      <c r="H444" s="1907">
        <f t="shared" si="262"/>
        <v>0</v>
      </c>
      <c r="I444" s="1907">
        <f t="shared" si="262"/>
        <v>0</v>
      </c>
      <c r="J444" s="2053">
        <f t="shared" si="262"/>
        <v>0</v>
      </c>
      <c r="K444" s="2053">
        <f t="shared" si="262"/>
        <v>0</v>
      </c>
      <c r="L444" s="2053">
        <f t="shared" si="262"/>
        <v>0</v>
      </c>
      <c r="M444" s="2053">
        <f t="shared" si="262"/>
        <v>0</v>
      </c>
      <c r="N444" s="1907">
        <f t="shared" si="262"/>
        <v>0</v>
      </c>
      <c r="O444" s="2053">
        <f t="shared" si="262"/>
        <v>0</v>
      </c>
      <c r="P444" s="1907">
        <f t="shared" si="262"/>
        <v>0</v>
      </c>
      <c r="Q444" s="1907"/>
      <c r="R444" s="1907"/>
      <c r="S444" s="1907"/>
      <c r="T444" s="1907"/>
      <c r="U444" s="1907"/>
      <c r="V444" s="1907"/>
      <c r="W444" s="1907"/>
      <c r="X444" s="3606"/>
      <c r="Y444" s="3609"/>
    </row>
    <row r="445" spans="1:26" ht="12" hidden="1" customHeight="1" thickBot="1">
      <c r="A445" s="3638"/>
      <c r="B445" s="68" t="s">
        <v>31</v>
      </c>
      <c r="C445" s="3626"/>
      <c r="D445" s="325">
        <f>M445+O445+P445+Q445+R445+S445+T445+U445+V445+W445</f>
        <v>0</v>
      </c>
      <c r="E445" s="90">
        <f>+F445+G445+H445</f>
        <v>0</v>
      </c>
      <c r="F445" s="90">
        <v>0</v>
      </c>
      <c r="G445" s="89">
        <v>0</v>
      </c>
      <c r="H445" s="95">
        <v>0</v>
      </c>
      <c r="I445" s="310">
        <v>0</v>
      </c>
      <c r="J445" s="89"/>
      <c r="K445" s="89"/>
      <c r="L445" s="89"/>
      <c r="M445" s="387">
        <f>+E445+I445+J445+K445+L445+N445</f>
        <v>0</v>
      </c>
      <c r="N445" s="90">
        <v>0</v>
      </c>
      <c r="O445" s="89">
        <v>0</v>
      </c>
      <c r="P445" s="89">
        <v>0</v>
      </c>
      <c r="Q445" s="89"/>
      <c r="R445" s="89"/>
      <c r="S445" s="89"/>
      <c r="T445" s="89"/>
      <c r="U445" s="89"/>
      <c r="V445" s="89"/>
      <c r="W445" s="89"/>
      <c r="X445" s="3607"/>
      <c r="Y445" s="3610"/>
    </row>
    <row r="446" spans="1:26" ht="20.25" customHeight="1" thickBot="1">
      <c r="A446" s="393"/>
      <c r="B446" s="378" t="s">
        <v>302</v>
      </c>
      <c r="C446" s="271"/>
      <c r="D446" s="2111"/>
      <c r="E446" s="272"/>
      <c r="F446" s="272"/>
      <c r="G446" s="272"/>
      <c r="H446" s="2112"/>
      <c r="I446" s="2113"/>
      <c r="J446" s="269"/>
      <c r="K446" s="269"/>
      <c r="L446" s="269"/>
      <c r="M446" s="269"/>
      <c r="N446" s="272"/>
      <c r="O446" s="269"/>
      <c r="P446" s="2114"/>
      <c r="Q446" s="2114"/>
      <c r="R446" s="2114"/>
      <c r="S446" s="2115"/>
      <c r="T446" s="272"/>
      <c r="U446" s="2115"/>
      <c r="V446" s="2115"/>
      <c r="W446" s="2115"/>
      <c r="X446" s="394"/>
      <c r="Y446" s="395"/>
    </row>
    <row r="447" spans="1:26" ht="28.5" customHeight="1">
      <c r="A447" s="3600" t="s">
        <v>375</v>
      </c>
      <c r="B447" s="382" t="s">
        <v>516</v>
      </c>
      <c r="C447" s="73" t="s">
        <v>95</v>
      </c>
      <c r="D447" s="168"/>
      <c r="E447" s="50"/>
      <c r="F447" s="51"/>
      <c r="G447" s="51"/>
      <c r="H447" s="50"/>
      <c r="I447" s="50"/>
      <c r="J447" s="50"/>
      <c r="K447" s="50"/>
      <c r="L447" s="50"/>
      <c r="M447" s="50"/>
      <c r="N447" s="50"/>
      <c r="O447" s="50"/>
      <c r="P447" s="52"/>
      <c r="Q447" s="52"/>
      <c r="R447" s="52"/>
      <c r="S447" s="309"/>
      <c r="T447" s="51"/>
      <c r="U447" s="309"/>
      <c r="V447" s="309"/>
      <c r="W447" s="309"/>
      <c r="X447" s="77"/>
      <c r="Y447" s="3617" t="s">
        <v>101</v>
      </c>
      <c r="Z447" s="301" t="s">
        <v>405</v>
      </c>
    </row>
    <row r="448" spans="1:26">
      <c r="A448" s="3601"/>
      <c r="B448" s="25" t="s">
        <v>21</v>
      </c>
      <c r="C448" s="26"/>
      <c r="D448" s="666">
        <f>+D449+D451</f>
        <v>10500000</v>
      </c>
      <c r="E448" s="666">
        <f t="shared" ref="E448:P448" si="263">+E449+E451</f>
        <v>0</v>
      </c>
      <c r="F448" s="666">
        <f t="shared" si="263"/>
        <v>0</v>
      </c>
      <c r="G448" s="666">
        <f t="shared" si="263"/>
        <v>0</v>
      </c>
      <c r="H448" s="666">
        <f t="shared" si="263"/>
        <v>0</v>
      </c>
      <c r="I448" s="666">
        <f t="shared" si="263"/>
        <v>0</v>
      </c>
      <c r="J448" s="666">
        <f t="shared" si="263"/>
        <v>0</v>
      </c>
      <c r="K448" s="666">
        <f t="shared" si="263"/>
        <v>0</v>
      </c>
      <c r="L448" s="666">
        <f t="shared" si="263"/>
        <v>0</v>
      </c>
      <c r="M448" s="666">
        <f t="shared" si="263"/>
        <v>0</v>
      </c>
      <c r="N448" s="666">
        <f t="shared" si="263"/>
        <v>0</v>
      </c>
      <c r="O448" s="666">
        <f t="shared" si="263"/>
        <v>0</v>
      </c>
      <c r="P448" s="666">
        <f t="shared" si="263"/>
        <v>20256</v>
      </c>
      <c r="Q448" s="666">
        <f>+Q449+Q451</f>
        <v>10479744</v>
      </c>
      <c r="R448" s="666"/>
      <c r="S448" s="666"/>
      <c r="T448" s="666"/>
      <c r="U448" s="666"/>
      <c r="V448" s="666"/>
      <c r="W448" s="666"/>
      <c r="X448" s="630">
        <f>+X449+X451</f>
        <v>10479744</v>
      </c>
      <c r="Y448" s="3618"/>
    </row>
    <row r="449" spans="1:26">
      <c r="A449" s="3601"/>
      <c r="B449" s="217" t="s">
        <v>35</v>
      </c>
      <c r="C449" s="3627" t="s">
        <v>98</v>
      </c>
      <c r="D449" s="667">
        <f>+D450</f>
        <v>3652942</v>
      </c>
      <c r="E449" s="667">
        <f t="shared" ref="E449:Q449" si="264">+E450</f>
        <v>0</v>
      </c>
      <c r="F449" s="667">
        <f t="shared" si="264"/>
        <v>0</v>
      </c>
      <c r="G449" s="667">
        <f t="shared" si="264"/>
        <v>0</v>
      </c>
      <c r="H449" s="667">
        <f t="shared" si="264"/>
        <v>0</v>
      </c>
      <c r="I449" s="667">
        <f t="shared" si="264"/>
        <v>0</v>
      </c>
      <c r="J449" s="667">
        <f t="shared" si="264"/>
        <v>0</v>
      </c>
      <c r="K449" s="667">
        <f t="shared" si="264"/>
        <v>0</v>
      </c>
      <c r="L449" s="667">
        <f t="shared" si="264"/>
        <v>0</v>
      </c>
      <c r="M449" s="667">
        <f t="shared" si="264"/>
        <v>0</v>
      </c>
      <c r="N449" s="667">
        <f t="shared" si="264"/>
        <v>0</v>
      </c>
      <c r="O449" s="667">
        <f t="shared" si="264"/>
        <v>0</v>
      </c>
      <c r="P449" s="667">
        <f t="shared" si="264"/>
        <v>20256</v>
      </c>
      <c r="Q449" s="667">
        <f t="shared" si="264"/>
        <v>3632686</v>
      </c>
      <c r="R449" s="667"/>
      <c r="S449" s="667"/>
      <c r="T449" s="667"/>
      <c r="U449" s="667"/>
      <c r="V449" s="667"/>
      <c r="W449" s="667"/>
      <c r="X449" s="654">
        <f>+X450</f>
        <v>3632686</v>
      </c>
      <c r="Y449" s="3618"/>
    </row>
    <row r="450" spans="1:26">
      <c r="A450" s="3601"/>
      <c r="B450" s="727" t="s">
        <v>23</v>
      </c>
      <c r="C450" s="3640"/>
      <c r="D450" s="2192">
        <f>M450+P450+Q450+R450+S450+T450+U450+V450+W450</f>
        <v>3652942</v>
      </c>
      <c r="E450" s="633">
        <f>+F450+G450+H450</f>
        <v>0</v>
      </c>
      <c r="F450" s="656">
        <v>0</v>
      </c>
      <c r="G450" s="656">
        <v>0</v>
      </c>
      <c r="H450" s="656">
        <v>0</v>
      </c>
      <c r="I450" s="656"/>
      <c r="J450" s="656"/>
      <c r="K450" s="656"/>
      <c r="L450" s="656">
        <f>47545-47545</f>
        <v>0</v>
      </c>
      <c r="M450" s="2192">
        <f>+E450+I450+J450+K450+L450+N450+O450</f>
        <v>0</v>
      </c>
      <c r="N450" s="656">
        <f>57803-57803</f>
        <v>0</v>
      </c>
      <c r="O450" s="656"/>
      <c r="P450" s="656">
        <f>9000000-8590682-383940-5122</f>
        <v>20256</v>
      </c>
      <c r="Q450" s="656">
        <f>1743624+383940+1505122</f>
        <v>3632686</v>
      </c>
      <c r="R450" s="656"/>
      <c r="S450" s="656"/>
      <c r="T450" s="656"/>
      <c r="U450" s="656"/>
      <c r="V450" s="656"/>
      <c r="W450" s="656"/>
      <c r="X450" s="44">
        <f>SUM(Q450:W450)</f>
        <v>3632686</v>
      </c>
      <c r="Y450" s="3618"/>
    </row>
    <row r="451" spans="1:26">
      <c r="A451" s="3601"/>
      <c r="B451" s="885" t="s">
        <v>29</v>
      </c>
      <c r="C451" s="3640"/>
      <c r="D451" s="658">
        <f>+D452</f>
        <v>6847058</v>
      </c>
      <c r="E451" s="658">
        <f t="shared" ref="E451:Q451" si="265">+E452</f>
        <v>0</v>
      </c>
      <c r="F451" s="658">
        <f t="shared" si="265"/>
        <v>0</v>
      </c>
      <c r="G451" s="658">
        <f t="shared" si="265"/>
        <v>0</v>
      </c>
      <c r="H451" s="658">
        <f t="shared" si="265"/>
        <v>0</v>
      </c>
      <c r="I451" s="658">
        <f t="shared" si="265"/>
        <v>0</v>
      </c>
      <c r="J451" s="658">
        <f t="shared" si="265"/>
        <v>0</v>
      </c>
      <c r="K451" s="658">
        <f t="shared" si="265"/>
        <v>0</v>
      </c>
      <c r="L451" s="658">
        <f t="shared" si="265"/>
        <v>0</v>
      </c>
      <c r="M451" s="658">
        <f t="shared" si="265"/>
        <v>0</v>
      </c>
      <c r="N451" s="658">
        <f t="shared" si="265"/>
        <v>0</v>
      </c>
      <c r="O451" s="658">
        <f t="shared" si="265"/>
        <v>0</v>
      </c>
      <c r="P451" s="658">
        <f t="shared" si="265"/>
        <v>0</v>
      </c>
      <c r="Q451" s="658">
        <f t="shared" si="265"/>
        <v>6847058</v>
      </c>
      <c r="R451" s="658"/>
      <c r="S451" s="658"/>
      <c r="T451" s="658"/>
      <c r="U451" s="658"/>
      <c r="V451" s="658"/>
      <c r="W451" s="658"/>
      <c r="X451" s="654">
        <f>+X452</f>
        <v>6847058</v>
      </c>
      <c r="Y451" s="3618"/>
    </row>
    <row r="452" spans="1:26">
      <c r="A452" s="3601"/>
      <c r="B452" s="2116" t="s">
        <v>301</v>
      </c>
      <c r="C452" s="3641"/>
      <c r="D452" s="2192">
        <f>M452+P452+Q452+R452+S452+T452+U452+V452+W452</f>
        <v>6847058</v>
      </c>
      <c r="E452" s="633">
        <f>+F452+G452+H452</f>
        <v>0</v>
      </c>
      <c r="F452" s="659">
        <v>0</v>
      </c>
      <c r="G452" s="659">
        <v>0</v>
      </c>
      <c r="H452" s="659">
        <v>0</v>
      </c>
      <c r="I452" s="656"/>
      <c r="J452" s="656"/>
      <c r="K452" s="656">
        <v>0</v>
      </c>
      <c r="L452" s="656">
        <v>0</v>
      </c>
      <c r="M452" s="2192">
        <f>+E452+I452+J452+K452+L452+N452+O452</f>
        <v>0</v>
      </c>
      <c r="N452" s="656">
        <v>0</v>
      </c>
      <c r="O452" s="656">
        <v>0</v>
      </c>
      <c r="P452" s="656">
        <f>1270682-1196060-74622</f>
        <v>0</v>
      </c>
      <c r="Q452" s="656">
        <f>5576376+1196060+74622</f>
        <v>6847058</v>
      </c>
      <c r="R452" s="656"/>
      <c r="S452" s="656"/>
      <c r="T452" s="656"/>
      <c r="U452" s="656"/>
      <c r="V452" s="656"/>
      <c r="W452" s="656"/>
      <c r="X452" s="44">
        <f>SUM(Q452:W452)</f>
        <v>6847058</v>
      </c>
      <c r="Y452" s="3639"/>
      <c r="Z452" s="864"/>
    </row>
    <row r="453" spans="1:26">
      <c r="A453" s="3637"/>
      <c r="B453" s="25" t="s">
        <v>33</v>
      </c>
      <c r="C453" s="26"/>
      <c r="D453" s="704">
        <f>+D454</f>
        <v>6847058</v>
      </c>
      <c r="E453" s="704">
        <f t="shared" ref="E453:R454" si="266">+E454</f>
        <v>0</v>
      </c>
      <c r="F453" s="704">
        <f t="shared" si="266"/>
        <v>0</v>
      </c>
      <c r="G453" s="704">
        <f t="shared" si="266"/>
        <v>0</v>
      </c>
      <c r="H453" s="704">
        <f t="shared" si="266"/>
        <v>0</v>
      </c>
      <c r="I453" s="704">
        <f t="shared" si="266"/>
        <v>0</v>
      </c>
      <c r="J453" s="704">
        <f t="shared" si="266"/>
        <v>0</v>
      </c>
      <c r="K453" s="704">
        <f t="shared" si="266"/>
        <v>0</v>
      </c>
      <c r="L453" s="704">
        <f t="shared" si="266"/>
        <v>0</v>
      </c>
      <c r="M453" s="704">
        <f t="shared" si="266"/>
        <v>0</v>
      </c>
      <c r="N453" s="704">
        <f t="shared" si="266"/>
        <v>0</v>
      </c>
      <c r="O453" s="704">
        <f t="shared" si="266"/>
        <v>0</v>
      </c>
      <c r="P453" s="704">
        <f t="shared" si="266"/>
        <v>0</v>
      </c>
      <c r="Q453" s="704">
        <f t="shared" si="266"/>
        <v>3985934</v>
      </c>
      <c r="R453" s="704">
        <f t="shared" si="266"/>
        <v>2861124</v>
      </c>
      <c r="S453" s="704"/>
      <c r="T453" s="704"/>
      <c r="U453" s="704"/>
      <c r="V453" s="704"/>
      <c r="W453" s="704"/>
      <c r="X453" s="3633" t="s">
        <v>34</v>
      </c>
      <c r="Y453" s="3646" t="s">
        <v>118</v>
      </c>
      <c r="Z453" s="864">
        <v>-802942</v>
      </c>
    </row>
    <row r="454" spans="1:26" s="353" customFormat="1" ht="12.75" customHeight="1">
      <c r="A454" s="3637"/>
      <c r="B454" s="885" t="s">
        <v>29</v>
      </c>
      <c r="C454" s="3627" t="s">
        <v>98</v>
      </c>
      <c r="D454" s="934">
        <f>+D455</f>
        <v>6847058</v>
      </c>
      <c r="E454" s="934">
        <f t="shared" si="266"/>
        <v>0</v>
      </c>
      <c r="F454" s="934">
        <f t="shared" si="266"/>
        <v>0</v>
      </c>
      <c r="G454" s="934">
        <f t="shared" si="266"/>
        <v>0</v>
      </c>
      <c r="H454" s="934">
        <f t="shared" si="266"/>
        <v>0</v>
      </c>
      <c r="I454" s="934">
        <f t="shared" si="266"/>
        <v>0</v>
      </c>
      <c r="J454" s="933">
        <f t="shared" si="266"/>
        <v>0</v>
      </c>
      <c r="K454" s="933">
        <f t="shared" si="266"/>
        <v>0</v>
      </c>
      <c r="L454" s="933">
        <f t="shared" si="266"/>
        <v>0</v>
      </c>
      <c r="M454" s="933">
        <f t="shared" si="266"/>
        <v>0</v>
      </c>
      <c r="N454" s="934">
        <f t="shared" si="266"/>
        <v>0</v>
      </c>
      <c r="O454" s="933">
        <f t="shared" si="266"/>
        <v>0</v>
      </c>
      <c r="P454" s="934">
        <f t="shared" si="266"/>
        <v>0</v>
      </c>
      <c r="Q454" s="933">
        <f t="shared" si="266"/>
        <v>3985934</v>
      </c>
      <c r="R454" s="933">
        <f t="shared" si="266"/>
        <v>2861124</v>
      </c>
      <c r="S454" s="934"/>
      <c r="T454" s="934"/>
      <c r="U454" s="934"/>
      <c r="V454" s="934"/>
      <c r="W454" s="934"/>
      <c r="X454" s="3606"/>
      <c r="Y454" s="3609"/>
    </row>
    <row r="455" spans="1:26" ht="12" customHeight="1" thickBot="1">
      <c r="A455" s="3638"/>
      <c r="B455" s="68" t="s">
        <v>31</v>
      </c>
      <c r="C455" s="3626"/>
      <c r="D455" s="2192">
        <f>M455+P455+Q455+R455+S455+T455+U455+V455+W455</f>
        <v>6847058</v>
      </c>
      <c r="E455" s="90">
        <f>+F455+G455+H455</f>
        <v>0</v>
      </c>
      <c r="F455" s="90">
        <v>0</v>
      </c>
      <c r="G455" s="89">
        <v>0</v>
      </c>
      <c r="H455" s="95">
        <v>0</v>
      </c>
      <c r="I455" s="310">
        <v>0</v>
      </c>
      <c r="J455" s="89"/>
      <c r="K455" s="89">
        <v>0</v>
      </c>
      <c r="L455" s="89"/>
      <c r="M455" s="2192">
        <f>+E455+I455+J455+K455+L455+N455+O455</f>
        <v>0</v>
      </c>
      <c r="N455" s="90">
        <v>0</v>
      </c>
      <c r="O455" s="89">
        <v>0</v>
      </c>
      <c r="P455" s="89">
        <f>2550000-2550000</f>
        <v>0</v>
      </c>
      <c r="Q455" s="89">
        <f>5100000-1114066</f>
        <v>3985934</v>
      </c>
      <c r="R455" s="89">
        <v>2861124</v>
      </c>
      <c r="S455" s="89"/>
      <c r="T455" s="89"/>
      <c r="U455" s="89"/>
      <c r="V455" s="89"/>
      <c r="W455" s="89"/>
      <c r="X455" s="3607"/>
      <c r="Y455" s="3610"/>
    </row>
    <row r="456" spans="1:26" ht="27.75" customHeight="1">
      <c r="A456" s="3600" t="s">
        <v>280</v>
      </c>
      <c r="B456" s="382" t="s">
        <v>391</v>
      </c>
      <c r="C456" s="73" t="s">
        <v>95</v>
      </c>
      <c r="D456" s="168"/>
      <c r="E456" s="50"/>
      <c r="F456" s="51"/>
      <c r="G456" s="51"/>
      <c r="H456" s="50"/>
      <c r="I456" s="50"/>
      <c r="J456" s="50"/>
      <c r="K456" s="50"/>
      <c r="L456" s="50"/>
      <c r="M456" s="50"/>
      <c r="N456" s="50"/>
      <c r="O456" s="50"/>
      <c r="P456" s="52"/>
      <c r="Q456" s="52"/>
      <c r="R456" s="52"/>
      <c r="S456" s="309"/>
      <c r="T456" s="51"/>
      <c r="U456" s="309"/>
      <c r="V456" s="309"/>
      <c r="W456" s="309"/>
      <c r="X456" s="77"/>
      <c r="Y456" s="3617" t="s">
        <v>101</v>
      </c>
      <c r="Z456" s="301" t="s">
        <v>405</v>
      </c>
    </row>
    <row r="457" spans="1:26" ht="14.25" customHeight="1">
      <c r="A457" s="3601"/>
      <c r="B457" s="1320" t="s">
        <v>21</v>
      </c>
      <c r="C457" s="1881"/>
      <c r="D457" s="1281">
        <f>+D458+D461</f>
        <v>8417660</v>
      </c>
      <c r="E457" s="1281">
        <f t="shared" ref="E457:R457" si="267">+E458+E461</f>
        <v>0</v>
      </c>
      <c r="F457" s="1281">
        <f t="shared" si="267"/>
        <v>0</v>
      </c>
      <c r="G457" s="1281">
        <f t="shared" si="267"/>
        <v>0</v>
      </c>
      <c r="H457" s="1281">
        <f t="shared" si="267"/>
        <v>0</v>
      </c>
      <c r="I457" s="1281">
        <f t="shared" si="267"/>
        <v>228400</v>
      </c>
      <c r="J457" s="1281">
        <f t="shared" si="267"/>
        <v>3000</v>
      </c>
      <c r="K457" s="1281">
        <f t="shared" si="267"/>
        <v>22878</v>
      </c>
      <c r="L457" s="1281">
        <f t="shared" si="267"/>
        <v>137917</v>
      </c>
      <c r="M457" s="1281">
        <f>+M458+M461</f>
        <v>395660</v>
      </c>
      <c r="N457" s="1281">
        <f t="shared" si="267"/>
        <v>3465</v>
      </c>
      <c r="O457" s="1281">
        <f t="shared" si="267"/>
        <v>0</v>
      </c>
      <c r="P457" s="1281">
        <f t="shared" si="267"/>
        <v>0</v>
      </c>
      <c r="Q457" s="1281">
        <f t="shared" si="267"/>
        <v>8022000</v>
      </c>
      <c r="R457" s="1281">
        <f t="shared" si="267"/>
        <v>0</v>
      </c>
      <c r="S457" s="1281"/>
      <c r="T457" s="1281"/>
      <c r="U457" s="1281"/>
      <c r="V457" s="1281"/>
      <c r="W457" s="1281"/>
      <c r="X457" s="2261">
        <f>+X458+X461</f>
        <v>8022000</v>
      </c>
      <c r="Y457" s="3618"/>
    </row>
    <row r="458" spans="1:26">
      <c r="A458" s="3601"/>
      <c r="B458" s="1251" t="s">
        <v>35</v>
      </c>
      <c r="C458" s="3611" t="s">
        <v>98</v>
      </c>
      <c r="D458" s="1282">
        <f>+D459+D460</f>
        <v>2306501</v>
      </c>
      <c r="E458" s="1282">
        <f t="shared" ref="E458:N458" si="268">+E459+E460</f>
        <v>0</v>
      </c>
      <c r="F458" s="1282">
        <f t="shared" si="268"/>
        <v>0</v>
      </c>
      <c r="G458" s="1282">
        <f t="shared" si="268"/>
        <v>0</v>
      </c>
      <c r="H458" s="1282">
        <f t="shared" si="268"/>
        <v>0</v>
      </c>
      <c r="I458" s="1282">
        <f t="shared" si="268"/>
        <v>228400</v>
      </c>
      <c r="J458" s="1282">
        <f t="shared" si="268"/>
        <v>3000</v>
      </c>
      <c r="K458" s="1282">
        <f t="shared" si="268"/>
        <v>22878</v>
      </c>
      <c r="L458" s="1282">
        <f t="shared" si="268"/>
        <v>137917</v>
      </c>
      <c r="M458" s="1282">
        <f>+M459+M460</f>
        <v>395660</v>
      </c>
      <c r="N458" s="1282">
        <f t="shared" si="268"/>
        <v>3465</v>
      </c>
      <c r="O458" s="1282">
        <f>+O459+O460</f>
        <v>0</v>
      </c>
      <c r="P458" s="1282">
        <f>+P459+P460</f>
        <v>0</v>
      </c>
      <c r="Q458" s="1282">
        <f>+Q459+Q460</f>
        <v>1910841</v>
      </c>
      <c r="R458" s="1282">
        <f>+R459+R460</f>
        <v>0</v>
      </c>
      <c r="S458" s="1282"/>
      <c r="T458" s="1282"/>
      <c r="U458" s="1282"/>
      <c r="V458" s="1282"/>
      <c r="W458" s="1282"/>
      <c r="X458" s="1280">
        <f>+X459</f>
        <v>1910841</v>
      </c>
      <c r="Y458" s="3618"/>
    </row>
    <row r="459" spans="1:26">
      <c r="A459" s="3601"/>
      <c r="B459" s="2299" t="s">
        <v>23</v>
      </c>
      <c r="C459" s="3640"/>
      <c r="D459" s="2192">
        <f>M459+P459+Q459+R459+S459+T459+U459+V459+W459</f>
        <v>2249498</v>
      </c>
      <c r="E459" s="1710">
        <f>+F459+G459+H459</f>
        <v>0</v>
      </c>
      <c r="F459" s="1283">
        <v>0</v>
      </c>
      <c r="G459" s="1283"/>
      <c r="H459" s="1283">
        <v>0</v>
      </c>
      <c r="I459" s="2307">
        <v>228400</v>
      </c>
      <c r="J459" s="1713">
        <v>3000</v>
      </c>
      <c r="K459" s="2308">
        <v>0</v>
      </c>
      <c r="L459" s="1283">
        <v>103792</v>
      </c>
      <c r="M459" s="2192">
        <f t="shared" ref="M459:M460" si="269">+E459+I459+J459+K459+L459+N459+O459</f>
        <v>338657</v>
      </c>
      <c r="N459" s="1283">
        <f>5665-2200</f>
        <v>3465</v>
      </c>
      <c r="O459" s="1283"/>
      <c r="P459" s="1283">
        <f>320141-320141</f>
        <v>0</v>
      </c>
      <c r="Q459" s="1283">
        <f>1590700+320141</f>
        <v>1910841</v>
      </c>
      <c r="R459" s="1283"/>
      <c r="S459" s="1283"/>
      <c r="T459" s="1283"/>
      <c r="U459" s="1283"/>
      <c r="V459" s="1283"/>
      <c r="W459" s="1283"/>
      <c r="X459" s="2285">
        <f>SUM(Q459:W459)</f>
        <v>1910841</v>
      </c>
      <c r="Y459" s="3618"/>
    </row>
    <row r="460" spans="1:26">
      <c r="A460" s="3601"/>
      <c r="B460" s="2299" t="s">
        <v>26</v>
      </c>
      <c r="C460" s="3640"/>
      <c r="D460" s="2192">
        <f>M460+P460+Q460+R460+S460+T460+U460+V460+W460</f>
        <v>57003</v>
      </c>
      <c r="E460" s="267"/>
      <c r="F460" s="306"/>
      <c r="G460" s="306"/>
      <c r="H460" s="306"/>
      <c r="I460" s="308"/>
      <c r="J460" s="308"/>
      <c r="K460" s="308">
        <v>22878</v>
      </c>
      <c r="L460" s="306">
        <v>34125</v>
      </c>
      <c r="M460" s="2192">
        <f t="shared" si="269"/>
        <v>57003</v>
      </c>
      <c r="N460" s="306"/>
      <c r="O460" s="2309">
        <v>0</v>
      </c>
      <c r="P460" s="2309">
        <v>0</v>
      </c>
      <c r="Q460" s="2309">
        <v>0</v>
      </c>
      <c r="R460" s="2309"/>
      <c r="S460" s="2309"/>
      <c r="T460" s="2309"/>
      <c r="U460" s="2309"/>
      <c r="V460" s="2309"/>
      <c r="W460" s="2309"/>
      <c r="X460" s="2285">
        <f>SUM(Q460:W460)</f>
        <v>0</v>
      </c>
      <c r="Y460" s="3618"/>
    </row>
    <row r="461" spans="1:26">
      <c r="A461" s="3601"/>
      <c r="B461" s="2291" t="s">
        <v>29</v>
      </c>
      <c r="C461" s="3640"/>
      <c r="D461" s="1284">
        <f>+D462</f>
        <v>6111159</v>
      </c>
      <c r="E461" s="1284">
        <f t="shared" ref="E461:Q461" si="270">+E462</f>
        <v>0</v>
      </c>
      <c r="F461" s="1284">
        <f t="shared" si="270"/>
        <v>0</v>
      </c>
      <c r="G461" s="1284">
        <f t="shared" si="270"/>
        <v>0</v>
      </c>
      <c r="H461" s="1284">
        <f t="shared" si="270"/>
        <v>0</v>
      </c>
      <c r="I461" s="1284">
        <f t="shared" si="270"/>
        <v>0</v>
      </c>
      <c r="J461" s="1284">
        <f t="shared" si="270"/>
        <v>0</v>
      </c>
      <c r="K461" s="1284">
        <f t="shared" si="270"/>
        <v>0</v>
      </c>
      <c r="L461" s="1284">
        <f t="shared" si="270"/>
        <v>0</v>
      </c>
      <c r="M461" s="1284">
        <f t="shared" si="270"/>
        <v>0</v>
      </c>
      <c r="N461" s="1284">
        <f t="shared" si="270"/>
        <v>0</v>
      </c>
      <c r="O461" s="1284">
        <f t="shared" si="270"/>
        <v>0</v>
      </c>
      <c r="P461" s="1284">
        <f t="shared" si="270"/>
        <v>0</v>
      </c>
      <c r="Q461" s="1284">
        <f t="shared" si="270"/>
        <v>6111159</v>
      </c>
      <c r="R461" s="1284"/>
      <c r="S461" s="1284"/>
      <c r="T461" s="1284"/>
      <c r="U461" s="1284"/>
      <c r="V461" s="1284"/>
      <c r="W461" s="1284"/>
      <c r="X461" s="1280">
        <f>+X462</f>
        <v>6111159</v>
      </c>
      <c r="Y461" s="3618"/>
    </row>
    <row r="462" spans="1:26">
      <c r="A462" s="3601"/>
      <c r="B462" s="1983" t="s">
        <v>301</v>
      </c>
      <c r="C462" s="3641"/>
      <c r="D462" s="2192">
        <f>M462+P462+Q462+R462+S462+T462+U462+V462+W462</f>
        <v>6111159</v>
      </c>
      <c r="E462" s="1710">
        <f>+F462+G462+H462</f>
        <v>0</v>
      </c>
      <c r="F462" s="2300">
        <v>0</v>
      </c>
      <c r="G462" s="2300">
        <v>0</v>
      </c>
      <c r="H462" s="2300">
        <v>0</v>
      </c>
      <c r="I462" s="1283"/>
      <c r="J462" s="1283"/>
      <c r="K462" s="1283">
        <v>0</v>
      </c>
      <c r="L462" s="1283">
        <v>0</v>
      </c>
      <c r="M462" s="2192">
        <f>+E462+I462+J462+K462+L462+N462+O462</f>
        <v>0</v>
      </c>
      <c r="N462" s="1283">
        <v>0</v>
      </c>
      <c r="O462" s="1283">
        <v>0</v>
      </c>
      <c r="P462" s="1283">
        <f>1023859-1023859</f>
        <v>0</v>
      </c>
      <c r="Q462" s="1283">
        <f>5087300+1023859</f>
        <v>6111159</v>
      </c>
      <c r="R462" s="1283"/>
      <c r="S462" s="1283"/>
      <c r="T462" s="1283"/>
      <c r="U462" s="1283"/>
      <c r="V462" s="1283"/>
      <c r="W462" s="1283"/>
      <c r="X462" s="2285">
        <f>SUM(Q462:W462)</f>
        <v>6111159</v>
      </c>
      <c r="Y462" s="3639"/>
      <c r="Z462" s="864"/>
    </row>
    <row r="463" spans="1:26" ht="14.25" customHeight="1">
      <c r="A463" s="3637"/>
      <c r="B463" s="1320" t="s">
        <v>33</v>
      </c>
      <c r="C463" s="1881"/>
      <c r="D463" s="1690">
        <f>+D464+D466</f>
        <v>6168162</v>
      </c>
      <c r="E463" s="1690">
        <f t="shared" ref="E463:R463" si="271">+E464+E466</f>
        <v>0</v>
      </c>
      <c r="F463" s="1690">
        <f t="shared" si="271"/>
        <v>0</v>
      </c>
      <c r="G463" s="1690">
        <f t="shared" si="271"/>
        <v>0</v>
      </c>
      <c r="H463" s="1690">
        <f t="shared" si="271"/>
        <v>0</v>
      </c>
      <c r="I463" s="1690">
        <f t="shared" si="271"/>
        <v>0</v>
      </c>
      <c r="J463" s="1690">
        <f t="shared" si="271"/>
        <v>0</v>
      </c>
      <c r="K463" s="1690">
        <f t="shared" si="271"/>
        <v>22878</v>
      </c>
      <c r="L463" s="1690">
        <f t="shared" si="271"/>
        <v>34125</v>
      </c>
      <c r="M463" s="1690">
        <f t="shared" si="271"/>
        <v>57003</v>
      </c>
      <c r="N463" s="1690">
        <f t="shared" si="271"/>
        <v>0</v>
      </c>
      <c r="O463" s="1690">
        <f t="shared" si="271"/>
        <v>0</v>
      </c>
      <c r="P463" s="1690">
        <f t="shared" si="271"/>
        <v>0</v>
      </c>
      <c r="Q463" s="1690">
        <f t="shared" si="271"/>
        <v>3555530</v>
      </c>
      <c r="R463" s="1690">
        <f t="shared" si="271"/>
        <v>2555629</v>
      </c>
      <c r="S463" s="1690"/>
      <c r="T463" s="1690"/>
      <c r="U463" s="1690"/>
      <c r="V463" s="1690"/>
      <c r="W463" s="1690"/>
      <c r="X463" s="3605" t="s">
        <v>34</v>
      </c>
      <c r="Y463" s="3608" t="s">
        <v>118</v>
      </c>
    </row>
    <row r="464" spans="1:26">
      <c r="A464" s="3637"/>
      <c r="B464" s="2291" t="s">
        <v>35</v>
      </c>
      <c r="C464" s="3643" t="s">
        <v>98</v>
      </c>
      <c r="D464" s="1282">
        <f>+D465</f>
        <v>57003</v>
      </c>
      <c r="E464" s="1282">
        <f t="shared" ref="E464:M464" si="272">+E465</f>
        <v>0</v>
      </c>
      <c r="F464" s="1282">
        <f t="shared" si="272"/>
        <v>0</v>
      </c>
      <c r="G464" s="1282">
        <f t="shared" si="272"/>
        <v>0</v>
      </c>
      <c r="H464" s="1282">
        <f t="shared" si="272"/>
        <v>0</v>
      </c>
      <c r="I464" s="1282">
        <f t="shared" si="272"/>
        <v>0</v>
      </c>
      <c r="J464" s="1282">
        <f t="shared" si="272"/>
        <v>0</v>
      </c>
      <c r="K464" s="1282">
        <f t="shared" si="272"/>
        <v>22878</v>
      </c>
      <c r="L464" s="1282">
        <f t="shared" si="272"/>
        <v>34125</v>
      </c>
      <c r="M464" s="1282">
        <f t="shared" si="272"/>
        <v>57003</v>
      </c>
      <c r="N464" s="1282">
        <f>+N465</f>
        <v>0</v>
      </c>
      <c r="O464" s="2310">
        <v>0</v>
      </c>
      <c r="P464" s="2310">
        <v>0</v>
      </c>
      <c r="Q464" s="2310">
        <v>0</v>
      </c>
      <c r="R464" s="2310">
        <v>0</v>
      </c>
      <c r="S464" s="2310"/>
      <c r="T464" s="2310"/>
      <c r="U464" s="2310"/>
      <c r="V464" s="2310"/>
      <c r="W464" s="2310"/>
      <c r="X464" s="3606"/>
      <c r="Y464" s="3609"/>
    </row>
    <row r="465" spans="1:26" ht="13.5" thickBot="1">
      <c r="A465" s="3637"/>
      <c r="B465" s="1983" t="s">
        <v>26</v>
      </c>
      <c r="C465" s="3644"/>
      <c r="D465" s="2192">
        <f>M465+P465+Q465+R465+S465+T465+U465+V465+W465</f>
        <v>57003</v>
      </c>
      <c r="E465" s="963"/>
      <c r="F465" s="2311"/>
      <c r="G465" s="2311"/>
      <c r="H465" s="2311"/>
      <c r="I465" s="2312"/>
      <c r="J465" s="2308"/>
      <c r="K465" s="2308">
        <v>22878</v>
      </c>
      <c r="L465" s="1713">
        <v>34125</v>
      </c>
      <c r="M465" s="2192">
        <f>+E465+I465+J465+K465+L465+N465+O465</f>
        <v>57003</v>
      </c>
      <c r="N465" s="1713"/>
      <c r="O465" s="2309">
        <v>0</v>
      </c>
      <c r="P465" s="2309">
        <v>0</v>
      </c>
      <c r="Q465" s="2309">
        <v>0</v>
      </c>
      <c r="R465" s="2309">
        <v>0</v>
      </c>
      <c r="S465" s="2309"/>
      <c r="T465" s="2309"/>
      <c r="U465" s="2309"/>
      <c r="V465" s="2309"/>
      <c r="W465" s="2309"/>
      <c r="X465" s="3606"/>
      <c r="Y465" s="3609"/>
    </row>
    <row r="466" spans="1:26" s="353" customFormat="1" ht="12.75" customHeight="1">
      <c r="A466" s="3637"/>
      <c r="B466" s="2291" t="s">
        <v>29</v>
      </c>
      <c r="C466" s="3644"/>
      <c r="D466" s="2120">
        <f>+D467</f>
        <v>6111159</v>
      </c>
      <c r="E466" s="2120">
        <f t="shared" ref="E466:R466" si="273">+E467</f>
        <v>0</v>
      </c>
      <c r="F466" s="2120">
        <f t="shared" si="273"/>
        <v>0</v>
      </c>
      <c r="G466" s="2120">
        <f t="shared" si="273"/>
        <v>0</v>
      </c>
      <c r="H466" s="2120">
        <f t="shared" si="273"/>
        <v>0</v>
      </c>
      <c r="I466" s="2117">
        <f t="shared" si="273"/>
        <v>0</v>
      </c>
      <c r="J466" s="2118">
        <f t="shared" si="273"/>
        <v>0</v>
      </c>
      <c r="K466" s="2118">
        <f t="shared" si="273"/>
        <v>0</v>
      </c>
      <c r="L466" s="2118">
        <f t="shared" si="273"/>
        <v>0</v>
      </c>
      <c r="M466" s="2286">
        <f t="shared" si="273"/>
        <v>0</v>
      </c>
      <c r="N466" s="2117">
        <f t="shared" si="273"/>
        <v>0</v>
      </c>
      <c r="O466" s="2286">
        <f t="shared" si="273"/>
        <v>0</v>
      </c>
      <c r="P466" s="2120">
        <f t="shared" si="273"/>
        <v>0</v>
      </c>
      <c r="Q466" s="2286">
        <f t="shared" si="273"/>
        <v>3555530</v>
      </c>
      <c r="R466" s="2286">
        <f t="shared" si="273"/>
        <v>2555629</v>
      </c>
      <c r="S466" s="2120"/>
      <c r="T466" s="2120"/>
      <c r="U466" s="2120"/>
      <c r="V466" s="2120"/>
      <c r="W466" s="2120"/>
      <c r="X466" s="3606"/>
      <c r="Y466" s="3609"/>
    </row>
    <row r="467" spans="1:26" ht="12" customHeight="1" thickBot="1">
      <c r="A467" s="3638"/>
      <c r="B467" s="1997" t="s">
        <v>31</v>
      </c>
      <c r="C467" s="3645"/>
      <c r="D467" s="2214">
        <f>M467+P467+Q467+R467+S467+T467+U467+V467+W467</f>
        <v>6111159</v>
      </c>
      <c r="E467" s="1088">
        <f>+F467+G467+H467</f>
        <v>0</v>
      </c>
      <c r="F467" s="1088">
        <v>0</v>
      </c>
      <c r="G467" s="963">
        <v>0</v>
      </c>
      <c r="H467" s="964">
        <v>0</v>
      </c>
      <c r="I467" s="2311">
        <v>0</v>
      </c>
      <c r="J467" s="963"/>
      <c r="K467" s="963">
        <v>0</v>
      </c>
      <c r="L467" s="963"/>
      <c r="M467" s="2214">
        <f>+E467+I467+J467+K467+L467+N467+O467</f>
        <v>0</v>
      </c>
      <c r="N467" s="1088">
        <v>0</v>
      </c>
      <c r="O467" s="963">
        <v>0</v>
      </c>
      <c r="P467" s="963">
        <f>2550000-2550000</f>
        <v>0</v>
      </c>
      <c r="Q467" s="963">
        <v>3555530</v>
      </c>
      <c r="R467" s="963">
        <v>2555629</v>
      </c>
      <c r="S467" s="963"/>
      <c r="T467" s="963"/>
      <c r="U467" s="963"/>
      <c r="V467" s="963"/>
      <c r="W467" s="963"/>
      <c r="X467" s="3607"/>
      <c r="Y467" s="3610"/>
    </row>
    <row r="468" spans="1:26" ht="27.75" customHeight="1">
      <c r="A468" s="3600" t="s">
        <v>281</v>
      </c>
      <c r="B468" s="382" t="s">
        <v>392</v>
      </c>
      <c r="C468" s="73" t="s">
        <v>95</v>
      </c>
      <c r="D468" s="168"/>
      <c r="E468" s="50"/>
      <c r="F468" s="51"/>
      <c r="G468" s="51"/>
      <c r="H468" s="50"/>
      <c r="I468" s="50"/>
      <c r="J468" s="50"/>
      <c r="K468" s="50"/>
      <c r="L468" s="50"/>
      <c r="M468" s="1278"/>
      <c r="N468" s="50"/>
      <c r="O468" s="50"/>
      <c r="P468" s="52"/>
      <c r="Q468" s="52"/>
      <c r="R468" s="52"/>
      <c r="S468" s="309"/>
      <c r="T468" s="51"/>
      <c r="U468" s="309"/>
      <c r="V468" s="309"/>
      <c r="W468" s="309"/>
      <c r="X468" s="77"/>
      <c r="Y468" s="3617" t="s">
        <v>101</v>
      </c>
      <c r="Z468" s="301" t="s">
        <v>405</v>
      </c>
    </row>
    <row r="469" spans="1:26" ht="15" customHeight="1">
      <c r="A469" s="3601"/>
      <c r="B469" s="25" t="s">
        <v>21</v>
      </c>
      <c r="C469" s="26"/>
      <c r="D469" s="666">
        <f>+D470+D472</f>
        <v>9042058</v>
      </c>
      <c r="E469" s="666">
        <f t="shared" ref="E469:Q469" si="274">+E470+E472</f>
        <v>0</v>
      </c>
      <c r="F469" s="666">
        <f t="shared" si="274"/>
        <v>0</v>
      </c>
      <c r="G469" s="666">
        <f t="shared" si="274"/>
        <v>0</v>
      </c>
      <c r="H469" s="666">
        <f t="shared" si="274"/>
        <v>0</v>
      </c>
      <c r="I469" s="666">
        <f t="shared" si="274"/>
        <v>0</v>
      </c>
      <c r="J469" s="666">
        <f t="shared" si="274"/>
        <v>0</v>
      </c>
      <c r="K469" s="666">
        <f t="shared" si="274"/>
        <v>0</v>
      </c>
      <c r="L469" s="666">
        <f t="shared" si="274"/>
        <v>0</v>
      </c>
      <c r="M469" s="1276">
        <f t="shared" si="274"/>
        <v>0</v>
      </c>
      <c r="N469" s="666">
        <f t="shared" si="274"/>
        <v>0</v>
      </c>
      <c r="O469" s="1276">
        <f t="shared" si="274"/>
        <v>0</v>
      </c>
      <c r="P469" s="666">
        <f t="shared" si="274"/>
        <v>50000</v>
      </c>
      <c r="Q469" s="666">
        <f t="shared" si="274"/>
        <v>8992058</v>
      </c>
      <c r="R469" s="666"/>
      <c r="S469" s="666"/>
      <c r="T469" s="666"/>
      <c r="U469" s="666"/>
      <c r="V469" s="666"/>
      <c r="W469" s="666"/>
      <c r="X469" s="630">
        <f>+X470+X472</f>
        <v>8992058</v>
      </c>
      <c r="Y469" s="3618"/>
    </row>
    <row r="470" spans="1:26">
      <c r="A470" s="3601"/>
      <c r="B470" s="217" t="s">
        <v>35</v>
      </c>
      <c r="C470" s="3627" t="s">
        <v>98</v>
      </c>
      <c r="D470" s="667">
        <f>+D471</f>
        <v>2153818</v>
      </c>
      <c r="E470" s="667">
        <f t="shared" ref="E470:Q470" si="275">+E471</f>
        <v>0</v>
      </c>
      <c r="F470" s="667">
        <f t="shared" si="275"/>
        <v>0</v>
      </c>
      <c r="G470" s="667">
        <f t="shared" si="275"/>
        <v>0</v>
      </c>
      <c r="H470" s="667">
        <f t="shared" si="275"/>
        <v>0</v>
      </c>
      <c r="I470" s="667">
        <f t="shared" si="275"/>
        <v>0</v>
      </c>
      <c r="J470" s="667">
        <f t="shared" si="275"/>
        <v>0</v>
      </c>
      <c r="K470" s="667">
        <f t="shared" si="275"/>
        <v>0</v>
      </c>
      <c r="L470" s="667">
        <f t="shared" si="275"/>
        <v>0</v>
      </c>
      <c r="M470" s="1277">
        <f t="shared" si="275"/>
        <v>0</v>
      </c>
      <c r="N470" s="667">
        <f t="shared" si="275"/>
        <v>0</v>
      </c>
      <c r="O470" s="1277">
        <f t="shared" si="275"/>
        <v>0</v>
      </c>
      <c r="P470" s="667">
        <f t="shared" si="275"/>
        <v>43952</v>
      </c>
      <c r="Q470" s="667">
        <f t="shared" si="275"/>
        <v>2109866</v>
      </c>
      <c r="R470" s="667"/>
      <c r="S470" s="667"/>
      <c r="T470" s="667"/>
      <c r="U470" s="667"/>
      <c r="V470" s="667"/>
      <c r="W470" s="667"/>
      <c r="X470" s="654">
        <f>+X471</f>
        <v>2109866</v>
      </c>
      <c r="Y470" s="3618"/>
    </row>
    <row r="471" spans="1:26">
      <c r="A471" s="3601"/>
      <c r="B471" s="727" t="s">
        <v>23</v>
      </c>
      <c r="C471" s="3640"/>
      <c r="D471" s="2192">
        <f>M471+P471+Q471+R471+S471+T471+U471+V471+W471</f>
        <v>2153818</v>
      </c>
      <c r="E471" s="633">
        <f>+F471+G471+H471</f>
        <v>0</v>
      </c>
      <c r="F471" s="656">
        <v>0</v>
      </c>
      <c r="G471" s="656">
        <v>0</v>
      </c>
      <c r="H471" s="656">
        <v>0</v>
      </c>
      <c r="I471" s="656"/>
      <c r="J471" s="656"/>
      <c r="K471" s="656"/>
      <c r="L471" s="656">
        <f>47545-47545</f>
        <v>0</v>
      </c>
      <c r="M471" s="1386">
        <f>+E471+I471+J471+K471+L471+N471+O471</f>
        <v>0</v>
      </c>
      <c r="N471" s="656">
        <f>57803-57803</f>
        <v>0</v>
      </c>
      <c r="O471" s="930"/>
      <c r="P471" s="656">
        <f>300132-256180</f>
        <v>43952</v>
      </c>
      <c r="Q471" s="656">
        <f>1853686+256180</f>
        <v>2109866</v>
      </c>
      <c r="R471" s="656"/>
      <c r="S471" s="656"/>
      <c r="T471" s="656"/>
      <c r="U471" s="656"/>
      <c r="V471" s="656"/>
      <c r="W471" s="656"/>
      <c r="X471" s="44">
        <f>SUM(Q471:W471)</f>
        <v>2109866</v>
      </c>
      <c r="Y471" s="3618"/>
    </row>
    <row r="472" spans="1:26">
      <c r="A472" s="3601"/>
      <c r="B472" s="885" t="s">
        <v>29</v>
      </c>
      <c r="C472" s="3640"/>
      <c r="D472" s="658">
        <f>+D473</f>
        <v>6888240</v>
      </c>
      <c r="E472" s="658">
        <f t="shared" ref="E472:Q472" si="276">+E473</f>
        <v>0</v>
      </c>
      <c r="F472" s="658">
        <f t="shared" si="276"/>
        <v>0</v>
      </c>
      <c r="G472" s="658">
        <f t="shared" si="276"/>
        <v>0</v>
      </c>
      <c r="H472" s="658">
        <f t="shared" si="276"/>
        <v>0</v>
      </c>
      <c r="I472" s="658">
        <f t="shared" si="276"/>
        <v>0</v>
      </c>
      <c r="J472" s="658">
        <f t="shared" si="276"/>
        <v>0</v>
      </c>
      <c r="K472" s="658">
        <f t="shared" si="276"/>
        <v>0</v>
      </c>
      <c r="L472" s="658">
        <f t="shared" si="276"/>
        <v>0</v>
      </c>
      <c r="M472" s="918">
        <f t="shared" si="276"/>
        <v>0</v>
      </c>
      <c r="N472" s="658">
        <f t="shared" si="276"/>
        <v>0</v>
      </c>
      <c r="O472" s="918">
        <f t="shared" si="276"/>
        <v>0</v>
      </c>
      <c r="P472" s="658">
        <f t="shared" si="276"/>
        <v>6048</v>
      </c>
      <c r="Q472" s="658">
        <f t="shared" si="276"/>
        <v>6882192</v>
      </c>
      <c r="R472" s="658"/>
      <c r="S472" s="658"/>
      <c r="T472" s="658"/>
      <c r="U472" s="658"/>
      <c r="V472" s="658"/>
      <c r="W472" s="658"/>
      <c r="X472" s="654">
        <f>+X473</f>
        <v>6882192</v>
      </c>
      <c r="Y472" s="3618"/>
    </row>
    <row r="473" spans="1:26">
      <c r="A473" s="3601"/>
      <c r="B473" s="2116" t="s">
        <v>301</v>
      </c>
      <c r="C473" s="3641"/>
      <c r="D473" s="2192">
        <f>M473+P473+Q473+R473+S473+T473+U473+V473+W473</f>
        <v>6888240</v>
      </c>
      <c r="E473" s="633">
        <f>+F473+G473+H473</f>
        <v>0</v>
      </c>
      <c r="F473" s="659">
        <v>0</v>
      </c>
      <c r="G473" s="659">
        <v>0</v>
      </c>
      <c r="H473" s="659">
        <v>0</v>
      </c>
      <c r="I473" s="656"/>
      <c r="J473" s="656"/>
      <c r="K473" s="656">
        <v>0</v>
      </c>
      <c r="L473" s="656">
        <v>0</v>
      </c>
      <c r="M473" s="1386">
        <f>+E473+I473+J473+K473+L473+N473+O473</f>
        <v>0</v>
      </c>
      <c r="N473" s="656">
        <v>0</v>
      </c>
      <c r="O473" s="930">
        <v>0</v>
      </c>
      <c r="P473" s="656">
        <f>959868-953820</f>
        <v>6048</v>
      </c>
      <c r="Q473" s="656">
        <f>5928372+953820</f>
        <v>6882192</v>
      </c>
      <c r="R473" s="656"/>
      <c r="S473" s="656"/>
      <c r="T473" s="656"/>
      <c r="U473" s="656"/>
      <c r="V473" s="656"/>
      <c r="W473" s="656"/>
      <c r="X473" s="44">
        <f>SUM(Q473:W473)</f>
        <v>6882192</v>
      </c>
      <c r="Y473" s="3639"/>
      <c r="Z473" s="864"/>
    </row>
    <row r="474" spans="1:26" ht="15" customHeight="1">
      <c r="A474" s="3637"/>
      <c r="B474" s="25" t="s">
        <v>33</v>
      </c>
      <c r="C474" s="26"/>
      <c r="D474" s="704">
        <f>+D475</f>
        <v>6888240</v>
      </c>
      <c r="E474" s="704">
        <f t="shared" ref="E474:R475" si="277">+E475</f>
        <v>0</v>
      </c>
      <c r="F474" s="704">
        <f t="shared" si="277"/>
        <v>0</v>
      </c>
      <c r="G474" s="704">
        <f t="shared" si="277"/>
        <v>0</v>
      </c>
      <c r="H474" s="704">
        <f t="shared" si="277"/>
        <v>0</v>
      </c>
      <c r="I474" s="704">
        <f t="shared" si="277"/>
        <v>0</v>
      </c>
      <c r="J474" s="704">
        <f t="shared" si="277"/>
        <v>0</v>
      </c>
      <c r="K474" s="704">
        <f t="shared" si="277"/>
        <v>0</v>
      </c>
      <c r="L474" s="704">
        <f t="shared" si="277"/>
        <v>0</v>
      </c>
      <c r="M474" s="932">
        <f t="shared" si="277"/>
        <v>0</v>
      </c>
      <c r="N474" s="704">
        <f t="shared" si="277"/>
        <v>0</v>
      </c>
      <c r="O474" s="932">
        <f t="shared" si="277"/>
        <v>0</v>
      </c>
      <c r="P474" s="704">
        <f t="shared" si="277"/>
        <v>0</v>
      </c>
      <c r="Q474" s="704">
        <f t="shared" si="277"/>
        <v>3909880</v>
      </c>
      <c r="R474" s="704">
        <f t="shared" si="277"/>
        <v>2978360</v>
      </c>
      <c r="S474" s="704"/>
      <c r="T474" s="704"/>
      <c r="U474" s="704"/>
      <c r="V474" s="704"/>
      <c r="W474" s="704"/>
      <c r="X474" s="3633" t="s">
        <v>34</v>
      </c>
      <c r="Y474" s="3646" t="s">
        <v>118</v>
      </c>
    </row>
    <row r="475" spans="1:26" s="353" customFormat="1" ht="12.75" customHeight="1">
      <c r="A475" s="3637"/>
      <c r="B475" s="885" t="s">
        <v>29</v>
      </c>
      <c r="C475" s="3627" t="s">
        <v>98</v>
      </c>
      <c r="D475" s="934">
        <f>+D476</f>
        <v>6888240</v>
      </c>
      <c r="E475" s="934">
        <f t="shared" si="277"/>
        <v>0</v>
      </c>
      <c r="F475" s="934">
        <f t="shared" si="277"/>
        <v>0</v>
      </c>
      <c r="G475" s="934">
        <f t="shared" si="277"/>
        <v>0</v>
      </c>
      <c r="H475" s="934">
        <f t="shared" si="277"/>
        <v>0</v>
      </c>
      <c r="I475" s="934">
        <f t="shared" si="277"/>
        <v>0</v>
      </c>
      <c r="J475" s="933">
        <f t="shared" si="277"/>
        <v>0</v>
      </c>
      <c r="K475" s="933">
        <f t="shared" si="277"/>
        <v>0</v>
      </c>
      <c r="L475" s="933">
        <f t="shared" si="277"/>
        <v>0</v>
      </c>
      <c r="M475" s="935">
        <f t="shared" si="277"/>
        <v>0</v>
      </c>
      <c r="N475" s="934">
        <f t="shared" si="277"/>
        <v>0</v>
      </c>
      <c r="O475" s="935">
        <f t="shared" si="277"/>
        <v>0</v>
      </c>
      <c r="P475" s="934">
        <f t="shared" si="277"/>
        <v>0</v>
      </c>
      <c r="Q475" s="933">
        <f t="shared" si="277"/>
        <v>3909880</v>
      </c>
      <c r="R475" s="933">
        <f t="shared" si="277"/>
        <v>2978360</v>
      </c>
      <c r="S475" s="934"/>
      <c r="T475" s="934"/>
      <c r="U475" s="934"/>
      <c r="V475" s="934"/>
      <c r="W475" s="934"/>
      <c r="X475" s="3606"/>
      <c r="Y475" s="3609"/>
    </row>
    <row r="476" spans="1:26" ht="13.5" thickBot="1">
      <c r="A476" s="3638"/>
      <c r="B476" s="68" t="s">
        <v>31</v>
      </c>
      <c r="C476" s="3626"/>
      <c r="D476" s="2192">
        <f>M476+P476+Q476+R476+S476+T476+U476+V476+W476</f>
        <v>6888240</v>
      </c>
      <c r="E476" s="90">
        <f>+F476+G476+H476</f>
        <v>0</v>
      </c>
      <c r="F476" s="90">
        <v>0</v>
      </c>
      <c r="G476" s="89">
        <v>0</v>
      </c>
      <c r="H476" s="95">
        <v>0</v>
      </c>
      <c r="I476" s="310">
        <v>0</v>
      </c>
      <c r="J476" s="89"/>
      <c r="K476" s="89">
        <v>0</v>
      </c>
      <c r="L476" s="89"/>
      <c r="M476" s="1386">
        <f>+E476+I476+J476+K476+L476+N476+O476</f>
        <v>0</v>
      </c>
      <c r="N476" s="90">
        <v>0</v>
      </c>
      <c r="O476" s="389">
        <v>0</v>
      </c>
      <c r="P476" s="89">
        <f>2550000-2550000</f>
        <v>0</v>
      </c>
      <c r="Q476" s="89">
        <v>3909880</v>
      </c>
      <c r="R476" s="89">
        <v>2978360</v>
      </c>
      <c r="S476" s="89"/>
      <c r="T476" s="89"/>
      <c r="U476" s="89"/>
      <c r="V476" s="89"/>
      <c r="W476" s="89"/>
      <c r="X476" s="3607"/>
      <c r="Y476" s="3610"/>
    </row>
    <row r="477" spans="1:26" ht="24">
      <c r="A477" s="3600" t="s">
        <v>363</v>
      </c>
      <c r="B477" s="382" t="s">
        <v>393</v>
      </c>
      <c r="C477" s="73" t="s">
        <v>95</v>
      </c>
      <c r="D477" s="168"/>
      <c r="E477" s="50"/>
      <c r="F477" s="51"/>
      <c r="G477" s="51"/>
      <c r="H477" s="50"/>
      <c r="I477" s="50"/>
      <c r="J477" s="50"/>
      <c r="K477" s="50"/>
      <c r="L477" s="50"/>
      <c r="M477" s="1278"/>
      <c r="N477" s="50"/>
      <c r="O477" s="50"/>
      <c r="P477" s="52"/>
      <c r="Q477" s="52"/>
      <c r="R477" s="52"/>
      <c r="S477" s="309"/>
      <c r="T477" s="51"/>
      <c r="U477" s="309"/>
      <c r="V477" s="309"/>
      <c r="W477" s="309"/>
      <c r="X477" s="77"/>
      <c r="Y477" s="3617" t="s">
        <v>101</v>
      </c>
      <c r="Z477" s="301" t="s">
        <v>405</v>
      </c>
    </row>
    <row r="478" spans="1:26" ht="14.25" customHeight="1">
      <c r="A478" s="3601"/>
      <c r="B478" s="1320" t="s">
        <v>21</v>
      </c>
      <c r="C478" s="1881"/>
      <c r="D478" s="1281">
        <f>+D479+D481</f>
        <v>4410000</v>
      </c>
      <c r="E478" s="1281">
        <f t="shared" ref="E478:Q478" si="278">+E479+E481</f>
        <v>0</v>
      </c>
      <c r="F478" s="1281">
        <f t="shared" si="278"/>
        <v>0</v>
      </c>
      <c r="G478" s="1281">
        <f t="shared" si="278"/>
        <v>0</v>
      </c>
      <c r="H478" s="1281">
        <f t="shared" si="278"/>
        <v>0</v>
      </c>
      <c r="I478" s="1281">
        <f t="shared" si="278"/>
        <v>0</v>
      </c>
      <c r="J478" s="1281">
        <f t="shared" si="278"/>
        <v>0</v>
      </c>
      <c r="K478" s="1281">
        <f t="shared" si="278"/>
        <v>0</v>
      </c>
      <c r="L478" s="1281">
        <f t="shared" si="278"/>
        <v>0</v>
      </c>
      <c r="M478" s="2313">
        <f t="shared" si="278"/>
        <v>0</v>
      </c>
      <c r="N478" s="1281">
        <f t="shared" si="278"/>
        <v>0</v>
      </c>
      <c r="O478" s="2313">
        <f t="shared" si="278"/>
        <v>0</v>
      </c>
      <c r="P478" s="1281">
        <f t="shared" si="278"/>
        <v>380014</v>
      </c>
      <c r="Q478" s="1281">
        <f t="shared" si="278"/>
        <v>4029986</v>
      </c>
      <c r="R478" s="1281"/>
      <c r="S478" s="1281"/>
      <c r="T478" s="1281"/>
      <c r="U478" s="1281"/>
      <c r="V478" s="1281"/>
      <c r="W478" s="1281"/>
      <c r="X478" s="2261">
        <f>+X479+X481</f>
        <v>4029986</v>
      </c>
      <c r="Y478" s="3618"/>
    </row>
    <row r="479" spans="1:26">
      <c r="A479" s="3601"/>
      <c r="B479" s="1251" t="s">
        <v>35</v>
      </c>
      <c r="C479" s="3611" t="s">
        <v>98</v>
      </c>
      <c r="D479" s="1282">
        <f>+D480</f>
        <v>1050462</v>
      </c>
      <c r="E479" s="1282">
        <f t="shared" ref="E479:Q479" si="279">+E480</f>
        <v>0</v>
      </c>
      <c r="F479" s="1282">
        <f t="shared" si="279"/>
        <v>0</v>
      </c>
      <c r="G479" s="1282">
        <f t="shared" si="279"/>
        <v>0</v>
      </c>
      <c r="H479" s="1282">
        <f t="shared" si="279"/>
        <v>0</v>
      </c>
      <c r="I479" s="1282">
        <f t="shared" si="279"/>
        <v>0</v>
      </c>
      <c r="J479" s="1282">
        <f t="shared" si="279"/>
        <v>0</v>
      </c>
      <c r="K479" s="1282">
        <f t="shared" si="279"/>
        <v>0</v>
      </c>
      <c r="L479" s="1282">
        <f t="shared" si="279"/>
        <v>0</v>
      </c>
      <c r="M479" s="2310">
        <f t="shared" si="279"/>
        <v>0</v>
      </c>
      <c r="N479" s="1282">
        <f t="shared" si="279"/>
        <v>0</v>
      </c>
      <c r="O479" s="2310">
        <f t="shared" si="279"/>
        <v>0</v>
      </c>
      <c r="P479" s="1282">
        <f t="shared" si="279"/>
        <v>85279</v>
      </c>
      <c r="Q479" s="1282">
        <f t="shared" si="279"/>
        <v>965183</v>
      </c>
      <c r="R479" s="1282"/>
      <c r="S479" s="1282"/>
      <c r="T479" s="1282"/>
      <c r="U479" s="1282"/>
      <c r="V479" s="1282"/>
      <c r="W479" s="1282"/>
      <c r="X479" s="1280">
        <f>+X480</f>
        <v>965183</v>
      </c>
      <c r="Y479" s="3618"/>
    </row>
    <row r="480" spans="1:26" ht="14.25" customHeight="1">
      <c r="A480" s="3601"/>
      <c r="B480" s="2299" t="s">
        <v>23</v>
      </c>
      <c r="C480" s="3640"/>
      <c r="D480" s="2192">
        <f>M480+P480+Q480+R480+S480+T480+U480+V480+W480</f>
        <v>1050462</v>
      </c>
      <c r="E480" s="1710">
        <f>+F480+G480+H480</f>
        <v>0</v>
      </c>
      <c r="F480" s="1283">
        <v>0</v>
      </c>
      <c r="G480" s="1283">
        <v>0</v>
      </c>
      <c r="H480" s="1283">
        <v>0</v>
      </c>
      <c r="I480" s="1283"/>
      <c r="J480" s="1283"/>
      <c r="K480" s="1283"/>
      <c r="L480" s="1283">
        <f>47545-47545</f>
        <v>0</v>
      </c>
      <c r="M480" s="1386">
        <f>+E480+I480+J480+K480+L480+N480+O480</f>
        <v>0</v>
      </c>
      <c r="N480" s="1283">
        <f>57803-57803</f>
        <v>0</v>
      </c>
      <c r="O480" s="2349"/>
      <c r="P480" s="1283">
        <f>420185-321489-13417</f>
        <v>85279</v>
      </c>
      <c r="Q480" s="1283">
        <f>630277+321489+13417</f>
        <v>965183</v>
      </c>
      <c r="R480" s="1283"/>
      <c r="S480" s="1283"/>
      <c r="T480" s="1283"/>
      <c r="U480" s="1283"/>
      <c r="V480" s="1283"/>
      <c r="W480" s="1283"/>
      <c r="X480" s="2285">
        <f>SUM(Q480:W480)</f>
        <v>965183</v>
      </c>
      <c r="Y480" s="3618"/>
    </row>
    <row r="481" spans="1:26" ht="14.25" customHeight="1">
      <c r="A481" s="3601"/>
      <c r="B481" s="2291" t="s">
        <v>29</v>
      </c>
      <c r="C481" s="3640"/>
      <c r="D481" s="1284">
        <f>+D482</f>
        <v>3359538</v>
      </c>
      <c r="E481" s="1284">
        <f t="shared" ref="E481:Q481" si="280">+E482</f>
        <v>0</v>
      </c>
      <c r="F481" s="1284">
        <f t="shared" si="280"/>
        <v>0</v>
      </c>
      <c r="G481" s="1284">
        <f t="shared" si="280"/>
        <v>0</v>
      </c>
      <c r="H481" s="1284">
        <f t="shared" si="280"/>
        <v>0</v>
      </c>
      <c r="I481" s="1284">
        <f t="shared" si="280"/>
        <v>0</v>
      </c>
      <c r="J481" s="1284">
        <f t="shared" si="280"/>
        <v>0</v>
      </c>
      <c r="K481" s="1284">
        <f t="shared" si="280"/>
        <v>0</v>
      </c>
      <c r="L481" s="1284">
        <f t="shared" si="280"/>
        <v>0</v>
      </c>
      <c r="M481" s="2292">
        <f t="shared" si="280"/>
        <v>0</v>
      </c>
      <c r="N481" s="1284">
        <f t="shared" si="280"/>
        <v>0</v>
      </c>
      <c r="O481" s="2292">
        <f t="shared" si="280"/>
        <v>0</v>
      </c>
      <c r="P481" s="1284">
        <f t="shared" si="280"/>
        <v>294735</v>
      </c>
      <c r="Q481" s="1284">
        <f t="shared" si="280"/>
        <v>3064803</v>
      </c>
      <c r="R481" s="1284"/>
      <c r="S481" s="1284"/>
      <c r="T481" s="1284"/>
      <c r="U481" s="1284"/>
      <c r="V481" s="1284"/>
      <c r="W481" s="1284"/>
      <c r="X481" s="1280">
        <f>+X482</f>
        <v>3064803</v>
      </c>
      <c r="Y481" s="3618"/>
    </row>
    <row r="482" spans="1:26" ht="14.25" customHeight="1">
      <c r="A482" s="3601"/>
      <c r="B482" s="1983" t="s">
        <v>301</v>
      </c>
      <c r="C482" s="3641"/>
      <c r="D482" s="2192">
        <f>M482+P482+Q482+R482+S482+T482+U482+V482+W482</f>
        <v>3359538</v>
      </c>
      <c r="E482" s="1710">
        <f>+F482+G482+H482</f>
        <v>0</v>
      </c>
      <c r="F482" s="2300">
        <v>0</v>
      </c>
      <c r="G482" s="2300">
        <v>0</v>
      </c>
      <c r="H482" s="2300">
        <v>0</v>
      </c>
      <c r="I482" s="1283"/>
      <c r="J482" s="1283"/>
      <c r="K482" s="1283">
        <v>0</v>
      </c>
      <c r="L482" s="1283">
        <v>0</v>
      </c>
      <c r="M482" s="1386">
        <f>+E482+I482+J482+K482+L482+N482+O482</f>
        <v>0</v>
      </c>
      <c r="N482" s="1283">
        <v>0</v>
      </c>
      <c r="O482" s="2349">
        <v>0</v>
      </c>
      <c r="P482" s="1283">
        <f>1343815-1001511-47569</f>
        <v>294735</v>
      </c>
      <c r="Q482" s="1283">
        <f>2015723+1001511+47569</f>
        <v>3064803</v>
      </c>
      <c r="R482" s="1283"/>
      <c r="S482" s="1283"/>
      <c r="T482" s="1283"/>
      <c r="U482" s="1283"/>
      <c r="V482" s="1283"/>
      <c r="W482" s="1283"/>
      <c r="X482" s="2285">
        <f>SUM(Q482:W482)</f>
        <v>3064803</v>
      </c>
      <c r="Y482" s="3639"/>
      <c r="Z482" s="864"/>
    </row>
    <row r="483" spans="1:26">
      <c r="A483" s="3637"/>
      <c r="B483" s="1320" t="s">
        <v>33</v>
      </c>
      <c r="C483" s="1881"/>
      <c r="D483" s="1690">
        <f>+D484</f>
        <v>3359538</v>
      </c>
      <c r="E483" s="1690">
        <f t="shared" ref="E483:R484" si="281">+E484</f>
        <v>0</v>
      </c>
      <c r="F483" s="1690">
        <f t="shared" si="281"/>
        <v>0</v>
      </c>
      <c r="G483" s="1690">
        <f t="shared" si="281"/>
        <v>0</v>
      </c>
      <c r="H483" s="1690">
        <f t="shared" si="281"/>
        <v>0</v>
      </c>
      <c r="I483" s="1690">
        <f t="shared" si="281"/>
        <v>0</v>
      </c>
      <c r="J483" s="1690">
        <f t="shared" si="281"/>
        <v>0</v>
      </c>
      <c r="K483" s="1690">
        <f t="shared" si="281"/>
        <v>0</v>
      </c>
      <c r="L483" s="1690">
        <f t="shared" si="281"/>
        <v>0</v>
      </c>
      <c r="M483" s="1882">
        <f t="shared" si="281"/>
        <v>0</v>
      </c>
      <c r="N483" s="1690">
        <f t="shared" si="281"/>
        <v>0</v>
      </c>
      <c r="O483" s="1882">
        <f t="shared" si="281"/>
        <v>0</v>
      </c>
      <c r="P483" s="1690">
        <f t="shared" si="281"/>
        <v>0</v>
      </c>
      <c r="Q483" s="1690">
        <f t="shared" si="281"/>
        <v>2334228</v>
      </c>
      <c r="R483" s="1690">
        <f t="shared" si="281"/>
        <v>1025310</v>
      </c>
      <c r="S483" s="1690"/>
      <c r="T483" s="1690"/>
      <c r="U483" s="1690"/>
      <c r="V483" s="1690"/>
      <c r="W483" s="1690"/>
      <c r="X483" s="3605" t="s">
        <v>34</v>
      </c>
      <c r="Y483" s="3608" t="s">
        <v>118</v>
      </c>
    </row>
    <row r="484" spans="1:26" s="353" customFormat="1" ht="12.75" customHeight="1">
      <c r="A484" s="3637"/>
      <c r="B484" s="2291" t="s">
        <v>29</v>
      </c>
      <c r="C484" s="3611" t="s">
        <v>98</v>
      </c>
      <c r="D484" s="2120">
        <f>+D485</f>
        <v>3359538</v>
      </c>
      <c r="E484" s="2120">
        <f t="shared" si="281"/>
        <v>0</v>
      </c>
      <c r="F484" s="2120">
        <f t="shared" si="281"/>
        <v>0</v>
      </c>
      <c r="G484" s="2120">
        <f t="shared" si="281"/>
        <v>0</v>
      </c>
      <c r="H484" s="2120">
        <f t="shared" si="281"/>
        <v>0</v>
      </c>
      <c r="I484" s="2120">
        <f t="shared" si="281"/>
        <v>0</v>
      </c>
      <c r="J484" s="2286">
        <f t="shared" si="281"/>
        <v>0</v>
      </c>
      <c r="K484" s="2286">
        <f t="shared" si="281"/>
        <v>0</v>
      </c>
      <c r="L484" s="2286">
        <f t="shared" si="281"/>
        <v>0</v>
      </c>
      <c r="M484" s="2350">
        <f t="shared" si="281"/>
        <v>0</v>
      </c>
      <c r="N484" s="2120">
        <f t="shared" si="281"/>
        <v>0</v>
      </c>
      <c r="O484" s="2350">
        <f t="shared" si="281"/>
        <v>0</v>
      </c>
      <c r="P484" s="2120">
        <f t="shared" si="281"/>
        <v>0</v>
      </c>
      <c r="Q484" s="2286">
        <f t="shared" si="281"/>
        <v>2334228</v>
      </c>
      <c r="R484" s="2286">
        <f t="shared" si="281"/>
        <v>1025310</v>
      </c>
      <c r="S484" s="2120"/>
      <c r="T484" s="2120"/>
      <c r="U484" s="2120"/>
      <c r="V484" s="2120"/>
      <c r="W484" s="2120"/>
      <c r="X484" s="3606"/>
      <c r="Y484" s="3609"/>
    </row>
    <row r="485" spans="1:26" ht="12" customHeight="1" thickBot="1">
      <c r="A485" s="3638"/>
      <c r="B485" s="1997" t="s">
        <v>31</v>
      </c>
      <c r="C485" s="3626"/>
      <c r="D485" s="2214">
        <f>M485+P485+Q485+R485+S485+T485+U485+V485+W485</f>
        <v>3359538</v>
      </c>
      <c r="E485" s="1088">
        <f>+F485+G485+H485</f>
        <v>0</v>
      </c>
      <c r="F485" s="1088">
        <v>0</v>
      </c>
      <c r="G485" s="963">
        <v>0</v>
      </c>
      <c r="H485" s="964">
        <v>0</v>
      </c>
      <c r="I485" s="2311">
        <v>0</v>
      </c>
      <c r="J485" s="963"/>
      <c r="K485" s="963">
        <v>0</v>
      </c>
      <c r="L485" s="963"/>
      <c r="M485" s="1261">
        <f>+E485+I485+J485+K485+L485+N485+O485</f>
        <v>0</v>
      </c>
      <c r="N485" s="1088">
        <v>0</v>
      </c>
      <c r="O485" s="2306">
        <v>0</v>
      </c>
      <c r="P485" s="963">
        <f>2550000-2550000</f>
        <v>0</v>
      </c>
      <c r="Q485" s="963">
        <v>2334228</v>
      </c>
      <c r="R485" s="963">
        <v>1025310</v>
      </c>
      <c r="S485" s="963"/>
      <c r="T485" s="963"/>
      <c r="U485" s="963"/>
      <c r="V485" s="963"/>
      <c r="W485" s="963"/>
      <c r="X485" s="3607"/>
      <c r="Y485" s="3610"/>
    </row>
    <row r="486" spans="1:26" ht="24">
      <c r="A486" s="3600" t="s">
        <v>388</v>
      </c>
      <c r="B486" s="382" t="s">
        <v>394</v>
      </c>
      <c r="C486" s="73" t="s">
        <v>95</v>
      </c>
      <c r="D486" s="168"/>
      <c r="E486" s="50"/>
      <c r="F486" s="51"/>
      <c r="G486" s="51"/>
      <c r="H486" s="50"/>
      <c r="I486" s="50"/>
      <c r="J486" s="50"/>
      <c r="K486" s="50"/>
      <c r="L486" s="50"/>
      <c r="M486" s="1278"/>
      <c r="N486" s="50"/>
      <c r="O486" s="50"/>
      <c r="P486" s="52"/>
      <c r="Q486" s="52"/>
      <c r="R486" s="52"/>
      <c r="S486" s="309"/>
      <c r="T486" s="51"/>
      <c r="U486" s="309"/>
      <c r="V486" s="309"/>
      <c r="W486" s="128"/>
      <c r="X486" s="77"/>
      <c r="Y486" s="3617" t="s">
        <v>101</v>
      </c>
      <c r="Z486" s="301" t="s">
        <v>405</v>
      </c>
    </row>
    <row r="487" spans="1:26" ht="15" customHeight="1">
      <c r="A487" s="3601"/>
      <c r="B487" s="25" t="s">
        <v>21</v>
      </c>
      <c r="C487" s="26"/>
      <c r="D487" s="666">
        <f>+D488+D490</f>
        <v>7056000</v>
      </c>
      <c r="E487" s="666">
        <f t="shared" ref="E487:Q487" si="282">+E488+E490</f>
        <v>0</v>
      </c>
      <c r="F487" s="666">
        <f t="shared" si="282"/>
        <v>0</v>
      </c>
      <c r="G487" s="666">
        <f t="shared" si="282"/>
        <v>0</v>
      </c>
      <c r="H487" s="666">
        <f t="shared" si="282"/>
        <v>0</v>
      </c>
      <c r="I487" s="666">
        <f t="shared" si="282"/>
        <v>0</v>
      </c>
      <c r="J487" s="666">
        <f t="shared" si="282"/>
        <v>0</v>
      </c>
      <c r="K487" s="666">
        <f t="shared" si="282"/>
        <v>0</v>
      </c>
      <c r="L487" s="666">
        <f t="shared" si="282"/>
        <v>0</v>
      </c>
      <c r="M487" s="1276">
        <f t="shared" si="282"/>
        <v>0</v>
      </c>
      <c r="N487" s="666">
        <f t="shared" si="282"/>
        <v>0</v>
      </c>
      <c r="O487" s="1276">
        <f t="shared" si="282"/>
        <v>0</v>
      </c>
      <c r="P487" s="1276">
        <f t="shared" si="282"/>
        <v>0</v>
      </c>
      <c r="Q487" s="1276">
        <f t="shared" si="282"/>
        <v>0</v>
      </c>
      <c r="R487" s="666">
        <f>+R488+R490</f>
        <v>2610720</v>
      </c>
      <c r="S487" s="666">
        <f>+S488+S490</f>
        <v>4445280</v>
      </c>
      <c r="T487" s="666"/>
      <c r="U487" s="666"/>
      <c r="V487" s="666"/>
      <c r="W487" s="1281"/>
      <c r="X487" s="1279">
        <f>+X488+X490</f>
        <v>7056000</v>
      </c>
      <c r="Y487" s="3618"/>
    </row>
    <row r="488" spans="1:26" ht="13.5" customHeight="1">
      <c r="A488" s="3601"/>
      <c r="B488" s="217" t="s">
        <v>35</v>
      </c>
      <c r="C488" s="3627" t="s">
        <v>98</v>
      </c>
      <c r="D488" s="667">
        <f>+D489</f>
        <v>1680740</v>
      </c>
      <c r="E488" s="667">
        <f t="shared" ref="E488:S488" si="283">+E489</f>
        <v>0</v>
      </c>
      <c r="F488" s="667">
        <f t="shared" si="283"/>
        <v>0</v>
      </c>
      <c r="G488" s="667">
        <f t="shared" si="283"/>
        <v>0</v>
      </c>
      <c r="H488" s="667">
        <f t="shared" si="283"/>
        <v>0</v>
      </c>
      <c r="I488" s="667">
        <f t="shared" si="283"/>
        <v>0</v>
      </c>
      <c r="J488" s="667">
        <f t="shared" si="283"/>
        <v>0</v>
      </c>
      <c r="K488" s="667">
        <f t="shared" si="283"/>
        <v>0</v>
      </c>
      <c r="L488" s="667">
        <f t="shared" si="283"/>
        <v>0</v>
      </c>
      <c r="M488" s="1277">
        <f t="shared" si="283"/>
        <v>0</v>
      </c>
      <c r="N488" s="667">
        <f t="shared" si="283"/>
        <v>0</v>
      </c>
      <c r="O488" s="1277">
        <f t="shared" si="283"/>
        <v>0</v>
      </c>
      <c r="P488" s="1277">
        <f t="shared" si="283"/>
        <v>0</v>
      </c>
      <c r="Q488" s="1277">
        <f t="shared" si="283"/>
        <v>0</v>
      </c>
      <c r="R488" s="667">
        <f t="shared" si="283"/>
        <v>621874</v>
      </c>
      <c r="S488" s="667">
        <f t="shared" si="283"/>
        <v>1058866</v>
      </c>
      <c r="T488" s="667"/>
      <c r="U488" s="667"/>
      <c r="V488" s="667"/>
      <c r="W488" s="1282"/>
      <c r="X488" s="1280">
        <f>+X489</f>
        <v>1680740</v>
      </c>
      <c r="Y488" s="3618"/>
    </row>
    <row r="489" spans="1:26" ht="13.5" customHeight="1">
      <c r="A489" s="3601"/>
      <c r="B489" s="727" t="s">
        <v>23</v>
      </c>
      <c r="C489" s="3640"/>
      <c r="D489" s="2192">
        <f>M489+P489+Q489+R489+S489+T489+U489+V489+W489</f>
        <v>1680740</v>
      </c>
      <c r="E489" s="633">
        <f>+F489+G489+H489</f>
        <v>0</v>
      </c>
      <c r="F489" s="656">
        <v>0</v>
      </c>
      <c r="G489" s="656">
        <v>0</v>
      </c>
      <c r="H489" s="656">
        <v>0</v>
      </c>
      <c r="I489" s="656"/>
      <c r="J489" s="656"/>
      <c r="K489" s="656"/>
      <c r="L489" s="656">
        <f>47545-47545</f>
        <v>0</v>
      </c>
      <c r="M489" s="1386">
        <f>+E489+I489+J489+K489+L489+N489+O489</f>
        <v>0</v>
      </c>
      <c r="N489" s="656">
        <f>57803-57803</f>
        <v>0</v>
      </c>
      <c r="O489" s="930"/>
      <c r="P489" s="930">
        <v>0</v>
      </c>
      <c r="Q489" s="930">
        <v>0</v>
      </c>
      <c r="R489" s="656">
        <v>621874</v>
      </c>
      <c r="S489" s="656">
        <v>1058866</v>
      </c>
      <c r="T489" s="656"/>
      <c r="U489" s="656"/>
      <c r="V489" s="656"/>
      <c r="W489" s="1283"/>
      <c r="X489" s="44">
        <f>SUM(Q489:W489)</f>
        <v>1680740</v>
      </c>
      <c r="Y489" s="3618"/>
    </row>
    <row r="490" spans="1:26" ht="13.5" customHeight="1">
      <c r="A490" s="3601"/>
      <c r="B490" s="885" t="s">
        <v>29</v>
      </c>
      <c r="C490" s="3640"/>
      <c r="D490" s="658">
        <f>+D491</f>
        <v>5375260</v>
      </c>
      <c r="E490" s="658">
        <f t="shared" ref="E490:S490" si="284">+E491</f>
        <v>0</v>
      </c>
      <c r="F490" s="658">
        <f t="shared" si="284"/>
        <v>0</v>
      </c>
      <c r="G490" s="658">
        <f t="shared" si="284"/>
        <v>0</v>
      </c>
      <c r="H490" s="658">
        <f t="shared" si="284"/>
        <v>0</v>
      </c>
      <c r="I490" s="658">
        <f t="shared" si="284"/>
        <v>0</v>
      </c>
      <c r="J490" s="658">
        <f t="shared" si="284"/>
        <v>0</v>
      </c>
      <c r="K490" s="658">
        <f t="shared" si="284"/>
        <v>0</v>
      </c>
      <c r="L490" s="658">
        <f t="shared" si="284"/>
        <v>0</v>
      </c>
      <c r="M490" s="918">
        <f t="shared" si="284"/>
        <v>0</v>
      </c>
      <c r="N490" s="658">
        <f t="shared" si="284"/>
        <v>0</v>
      </c>
      <c r="O490" s="918">
        <f t="shared" si="284"/>
        <v>0</v>
      </c>
      <c r="P490" s="918">
        <f t="shared" si="284"/>
        <v>0</v>
      </c>
      <c r="Q490" s="918">
        <f t="shared" si="284"/>
        <v>0</v>
      </c>
      <c r="R490" s="658">
        <f t="shared" si="284"/>
        <v>1988846</v>
      </c>
      <c r="S490" s="658">
        <f t="shared" si="284"/>
        <v>3386414</v>
      </c>
      <c r="T490" s="658"/>
      <c r="U490" s="658"/>
      <c r="V490" s="658"/>
      <c r="W490" s="1284"/>
      <c r="X490" s="1280">
        <f>+X491</f>
        <v>5375260</v>
      </c>
      <c r="Y490" s="3618"/>
    </row>
    <row r="491" spans="1:26" ht="13.5" customHeight="1">
      <c r="A491" s="3601"/>
      <c r="B491" s="2116" t="s">
        <v>301</v>
      </c>
      <c r="C491" s="3641"/>
      <c r="D491" s="2192">
        <f>M491+P491+Q491+R491+S491+T491+U491+V491+W491</f>
        <v>5375260</v>
      </c>
      <c r="E491" s="633">
        <f>+F491+G491+H491</f>
        <v>0</v>
      </c>
      <c r="F491" s="659">
        <v>0</v>
      </c>
      <c r="G491" s="659">
        <v>0</v>
      </c>
      <c r="H491" s="659">
        <v>0</v>
      </c>
      <c r="I491" s="656"/>
      <c r="J491" s="656"/>
      <c r="K491" s="656">
        <v>0</v>
      </c>
      <c r="L491" s="656">
        <v>0</v>
      </c>
      <c r="M491" s="1386">
        <f>+E491+I491+J491+K491+L491+N491+O491</f>
        <v>0</v>
      </c>
      <c r="N491" s="656">
        <v>0</v>
      </c>
      <c r="O491" s="930">
        <v>0</v>
      </c>
      <c r="P491" s="930">
        <v>0</v>
      </c>
      <c r="Q491" s="930">
        <v>0</v>
      </c>
      <c r="R491" s="656">
        <v>1988846</v>
      </c>
      <c r="S491" s="656">
        <v>3386414</v>
      </c>
      <c r="T491" s="656"/>
      <c r="U491" s="656"/>
      <c r="V491" s="656"/>
      <c r="W491" s="1283"/>
      <c r="X491" s="44">
        <f>SUM(Q491:W491)</f>
        <v>5375260</v>
      </c>
      <c r="Y491" s="3639"/>
      <c r="Z491" s="864"/>
    </row>
    <row r="492" spans="1:26" ht="14.25" customHeight="1">
      <c r="A492" s="3637"/>
      <c r="B492" s="25" t="s">
        <v>33</v>
      </c>
      <c r="C492" s="26"/>
      <c r="D492" s="704">
        <f>+D493</f>
        <v>5375260</v>
      </c>
      <c r="E492" s="704">
        <f t="shared" ref="E492:T493" si="285">+E493</f>
        <v>0</v>
      </c>
      <c r="F492" s="704">
        <f t="shared" si="285"/>
        <v>0</v>
      </c>
      <c r="G492" s="704">
        <f t="shared" si="285"/>
        <v>0</v>
      </c>
      <c r="H492" s="704">
        <f t="shared" si="285"/>
        <v>0</v>
      </c>
      <c r="I492" s="704">
        <f t="shared" si="285"/>
        <v>0</v>
      </c>
      <c r="J492" s="704">
        <f t="shared" si="285"/>
        <v>0</v>
      </c>
      <c r="K492" s="704">
        <f t="shared" si="285"/>
        <v>0</v>
      </c>
      <c r="L492" s="704">
        <f t="shared" si="285"/>
        <v>0</v>
      </c>
      <c r="M492" s="932">
        <f t="shared" si="285"/>
        <v>0</v>
      </c>
      <c r="N492" s="704">
        <f t="shared" si="285"/>
        <v>0</v>
      </c>
      <c r="O492" s="932">
        <f t="shared" si="285"/>
        <v>0</v>
      </c>
      <c r="P492" s="932">
        <f t="shared" si="285"/>
        <v>0</v>
      </c>
      <c r="Q492" s="932">
        <f t="shared" si="285"/>
        <v>0</v>
      </c>
      <c r="R492" s="704">
        <f t="shared" si="285"/>
        <v>0</v>
      </c>
      <c r="S492" s="704">
        <f t="shared" si="285"/>
        <v>3657763</v>
      </c>
      <c r="T492" s="704">
        <f t="shared" si="285"/>
        <v>1717497</v>
      </c>
      <c r="U492" s="704"/>
      <c r="V492" s="704"/>
      <c r="W492" s="1690"/>
      <c r="X492" s="3731" t="s">
        <v>34</v>
      </c>
      <c r="Y492" s="3646" t="s">
        <v>118</v>
      </c>
    </row>
    <row r="493" spans="1:26" s="353" customFormat="1">
      <c r="A493" s="3637"/>
      <c r="B493" s="885" t="s">
        <v>29</v>
      </c>
      <c r="C493" s="3627" t="s">
        <v>98</v>
      </c>
      <c r="D493" s="934">
        <f>+D494</f>
        <v>5375260</v>
      </c>
      <c r="E493" s="934">
        <f t="shared" si="285"/>
        <v>0</v>
      </c>
      <c r="F493" s="934">
        <f t="shared" si="285"/>
        <v>0</v>
      </c>
      <c r="G493" s="934">
        <f t="shared" si="285"/>
        <v>0</v>
      </c>
      <c r="H493" s="934">
        <f t="shared" si="285"/>
        <v>0</v>
      </c>
      <c r="I493" s="934">
        <f t="shared" si="285"/>
        <v>0</v>
      </c>
      <c r="J493" s="933">
        <f t="shared" si="285"/>
        <v>0</v>
      </c>
      <c r="K493" s="933">
        <f t="shared" si="285"/>
        <v>0</v>
      </c>
      <c r="L493" s="933">
        <f t="shared" si="285"/>
        <v>0</v>
      </c>
      <c r="M493" s="935">
        <f t="shared" si="285"/>
        <v>0</v>
      </c>
      <c r="N493" s="934">
        <f t="shared" si="285"/>
        <v>0</v>
      </c>
      <c r="O493" s="935">
        <f t="shared" si="285"/>
        <v>0</v>
      </c>
      <c r="P493" s="2119">
        <f t="shared" si="285"/>
        <v>0</v>
      </c>
      <c r="Q493" s="935">
        <f t="shared" si="285"/>
        <v>0</v>
      </c>
      <c r="R493" s="933">
        <f t="shared" si="285"/>
        <v>0</v>
      </c>
      <c r="S493" s="933">
        <f t="shared" si="285"/>
        <v>3657763</v>
      </c>
      <c r="T493" s="933">
        <f t="shared" si="285"/>
        <v>1717497</v>
      </c>
      <c r="U493" s="934"/>
      <c r="V493" s="934"/>
      <c r="W493" s="2120"/>
      <c r="X493" s="3732"/>
      <c r="Y493" s="3609"/>
    </row>
    <row r="494" spans="1:26" ht="12" customHeight="1" thickBot="1">
      <c r="A494" s="3638"/>
      <c r="B494" s="68" t="s">
        <v>31</v>
      </c>
      <c r="C494" s="3626"/>
      <c r="D494" s="2192">
        <f>M494+P494+Q494+R494+S494+T494+U494+V494+W494</f>
        <v>5375260</v>
      </c>
      <c r="E494" s="90">
        <f>+F494+G494+H494</f>
        <v>0</v>
      </c>
      <c r="F494" s="90">
        <v>0</v>
      </c>
      <c r="G494" s="89">
        <v>0</v>
      </c>
      <c r="H494" s="95">
        <v>0</v>
      </c>
      <c r="I494" s="310">
        <v>0</v>
      </c>
      <c r="J494" s="89"/>
      <c r="K494" s="89">
        <v>0</v>
      </c>
      <c r="L494" s="89"/>
      <c r="M494" s="1386">
        <f>+E494+I494+J494+K494+L494+N494+O494</f>
        <v>0</v>
      </c>
      <c r="N494" s="90">
        <v>0</v>
      </c>
      <c r="O494" s="389">
        <v>0</v>
      </c>
      <c r="P494" s="389">
        <f>2550000-2550000</f>
        <v>0</v>
      </c>
      <c r="Q494" s="389">
        <v>0</v>
      </c>
      <c r="R494" s="89">
        <v>0</v>
      </c>
      <c r="S494" s="89">
        <v>3657763</v>
      </c>
      <c r="T494" s="89">
        <v>1717497</v>
      </c>
      <c r="U494" s="89"/>
      <c r="V494" s="89"/>
      <c r="W494" s="963"/>
      <c r="X494" s="3733"/>
      <c r="Y494" s="3610"/>
    </row>
    <row r="495" spans="1:26" ht="28.5" customHeight="1">
      <c r="A495" s="3600" t="s">
        <v>512</v>
      </c>
      <c r="B495" s="382" t="s">
        <v>395</v>
      </c>
      <c r="C495" s="73" t="s">
        <v>95</v>
      </c>
      <c r="D495" s="168"/>
      <c r="E495" s="50"/>
      <c r="F495" s="51"/>
      <c r="G495" s="51"/>
      <c r="H495" s="50"/>
      <c r="I495" s="50"/>
      <c r="J495" s="50"/>
      <c r="K495" s="50"/>
      <c r="L495" s="50"/>
      <c r="M495" s="1278"/>
      <c r="N495" s="50"/>
      <c r="O495" s="1278"/>
      <c r="P495" s="941"/>
      <c r="Q495" s="941"/>
      <c r="R495" s="52"/>
      <c r="S495" s="309"/>
      <c r="T495" s="51"/>
      <c r="U495" s="309"/>
      <c r="V495" s="309"/>
      <c r="W495" s="128"/>
      <c r="X495" s="77"/>
      <c r="Y495" s="3617" t="s">
        <v>101</v>
      </c>
      <c r="Z495" s="301" t="s">
        <v>405</v>
      </c>
    </row>
    <row r="496" spans="1:26" ht="15.75" customHeight="1">
      <c r="A496" s="3601"/>
      <c r="B496" s="25" t="s">
        <v>21</v>
      </c>
      <c r="C496" s="26"/>
      <c r="D496" s="666">
        <f>+D497+D499</f>
        <v>5166000</v>
      </c>
      <c r="E496" s="666">
        <f t="shared" ref="E496:S496" si="286">+E497+E499</f>
        <v>0</v>
      </c>
      <c r="F496" s="666">
        <f t="shared" si="286"/>
        <v>0</v>
      </c>
      <c r="G496" s="666">
        <f t="shared" si="286"/>
        <v>0</v>
      </c>
      <c r="H496" s="666">
        <f t="shared" si="286"/>
        <v>0</v>
      </c>
      <c r="I496" s="666">
        <f t="shared" si="286"/>
        <v>0</v>
      </c>
      <c r="J496" s="666">
        <f t="shared" si="286"/>
        <v>0</v>
      </c>
      <c r="K496" s="666">
        <f t="shared" si="286"/>
        <v>0</v>
      </c>
      <c r="L496" s="666">
        <f t="shared" si="286"/>
        <v>0</v>
      </c>
      <c r="M496" s="1276">
        <f t="shared" si="286"/>
        <v>0</v>
      </c>
      <c r="N496" s="666">
        <f t="shared" si="286"/>
        <v>0</v>
      </c>
      <c r="O496" s="1276">
        <f t="shared" si="286"/>
        <v>0</v>
      </c>
      <c r="P496" s="1276">
        <f t="shared" si="286"/>
        <v>0</v>
      </c>
      <c r="Q496" s="1276">
        <f t="shared" si="286"/>
        <v>0</v>
      </c>
      <c r="R496" s="666">
        <f t="shared" si="286"/>
        <v>1911420</v>
      </c>
      <c r="S496" s="666">
        <f t="shared" si="286"/>
        <v>3254580</v>
      </c>
      <c r="T496" s="666"/>
      <c r="U496" s="666"/>
      <c r="V496" s="666"/>
      <c r="W496" s="1281"/>
      <c r="X496" s="1279">
        <f>+X497+X499</f>
        <v>5166000</v>
      </c>
      <c r="Y496" s="3618"/>
    </row>
    <row r="497" spans="1:26">
      <c r="A497" s="3601"/>
      <c r="B497" s="217" t="s">
        <v>35</v>
      </c>
      <c r="C497" s="3627" t="s">
        <v>98</v>
      </c>
      <c r="D497" s="667">
        <f>+D498</f>
        <v>1230541</v>
      </c>
      <c r="E497" s="667">
        <f t="shared" ref="E497:S497" si="287">+E498</f>
        <v>0</v>
      </c>
      <c r="F497" s="667">
        <f t="shared" si="287"/>
        <v>0</v>
      </c>
      <c r="G497" s="667">
        <f t="shared" si="287"/>
        <v>0</v>
      </c>
      <c r="H497" s="667">
        <f t="shared" si="287"/>
        <v>0</v>
      </c>
      <c r="I497" s="667">
        <f t="shared" si="287"/>
        <v>0</v>
      </c>
      <c r="J497" s="667">
        <f t="shared" si="287"/>
        <v>0</v>
      </c>
      <c r="K497" s="667">
        <f t="shared" si="287"/>
        <v>0</v>
      </c>
      <c r="L497" s="667">
        <f t="shared" si="287"/>
        <v>0</v>
      </c>
      <c r="M497" s="1277">
        <f t="shared" si="287"/>
        <v>0</v>
      </c>
      <c r="N497" s="667">
        <f t="shared" si="287"/>
        <v>0</v>
      </c>
      <c r="O497" s="1277">
        <f t="shared" si="287"/>
        <v>0</v>
      </c>
      <c r="P497" s="1277">
        <f t="shared" si="287"/>
        <v>0</v>
      </c>
      <c r="Q497" s="1277">
        <f t="shared" si="287"/>
        <v>0</v>
      </c>
      <c r="R497" s="667">
        <f t="shared" si="287"/>
        <v>455300</v>
      </c>
      <c r="S497" s="667">
        <f t="shared" si="287"/>
        <v>775241</v>
      </c>
      <c r="T497" s="667"/>
      <c r="U497" s="667"/>
      <c r="V497" s="667"/>
      <c r="W497" s="667"/>
      <c r="X497" s="654">
        <f>+X498</f>
        <v>1230541</v>
      </c>
      <c r="Y497" s="3618"/>
    </row>
    <row r="498" spans="1:26">
      <c r="A498" s="3601"/>
      <c r="B498" s="727" t="s">
        <v>23</v>
      </c>
      <c r="C498" s="3640"/>
      <c r="D498" s="2192">
        <f>M498+P498+Q498+R498+S498+T498+U498+V498+W498</f>
        <v>1230541</v>
      </c>
      <c r="E498" s="633">
        <f>+F498+G498+H498</f>
        <v>0</v>
      </c>
      <c r="F498" s="656">
        <v>0</v>
      </c>
      <c r="G498" s="656">
        <v>0</v>
      </c>
      <c r="H498" s="656">
        <v>0</v>
      </c>
      <c r="I498" s="656"/>
      <c r="J498" s="656"/>
      <c r="K498" s="656"/>
      <c r="L498" s="656">
        <f>47545-47545</f>
        <v>0</v>
      </c>
      <c r="M498" s="1386">
        <f>+E498+I498+J498+K498+L498+N498+O498</f>
        <v>0</v>
      </c>
      <c r="N498" s="656">
        <f>57803-57803</f>
        <v>0</v>
      </c>
      <c r="O498" s="930"/>
      <c r="P498" s="930">
        <v>0</v>
      </c>
      <c r="Q498" s="930">
        <v>0</v>
      </c>
      <c r="R498" s="656">
        <v>455300</v>
      </c>
      <c r="S498" s="656">
        <v>775241</v>
      </c>
      <c r="T498" s="656"/>
      <c r="U498" s="656"/>
      <c r="V498" s="656"/>
      <c r="W498" s="656"/>
      <c r="X498" s="44">
        <f>SUM(Q498:W498)</f>
        <v>1230541</v>
      </c>
      <c r="Y498" s="3618"/>
    </row>
    <row r="499" spans="1:26">
      <c r="A499" s="3601"/>
      <c r="B499" s="885" t="s">
        <v>29</v>
      </c>
      <c r="C499" s="3640"/>
      <c r="D499" s="658">
        <f>+D500</f>
        <v>3935459</v>
      </c>
      <c r="E499" s="658">
        <f t="shared" ref="E499:S499" si="288">+E500</f>
        <v>0</v>
      </c>
      <c r="F499" s="658">
        <f t="shared" si="288"/>
        <v>0</v>
      </c>
      <c r="G499" s="658">
        <f t="shared" si="288"/>
        <v>0</v>
      </c>
      <c r="H499" s="658">
        <f t="shared" si="288"/>
        <v>0</v>
      </c>
      <c r="I499" s="658">
        <f t="shared" si="288"/>
        <v>0</v>
      </c>
      <c r="J499" s="658">
        <f t="shared" si="288"/>
        <v>0</v>
      </c>
      <c r="K499" s="658">
        <f t="shared" si="288"/>
        <v>0</v>
      </c>
      <c r="L499" s="658">
        <f t="shared" si="288"/>
        <v>0</v>
      </c>
      <c r="M499" s="918">
        <f t="shared" si="288"/>
        <v>0</v>
      </c>
      <c r="N499" s="658">
        <f t="shared" si="288"/>
        <v>0</v>
      </c>
      <c r="O499" s="918">
        <f t="shared" si="288"/>
        <v>0</v>
      </c>
      <c r="P499" s="918">
        <f t="shared" si="288"/>
        <v>0</v>
      </c>
      <c r="Q499" s="918">
        <f t="shared" si="288"/>
        <v>0</v>
      </c>
      <c r="R499" s="658">
        <f t="shared" si="288"/>
        <v>1456120</v>
      </c>
      <c r="S499" s="658">
        <f t="shared" si="288"/>
        <v>2479339</v>
      </c>
      <c r="T499" s="658"/>
      <c r="U499" s="658"/>
      <c r="V499" s="658"/>
      <c r="W499" s="658"/>
      <c r="X499" s="654">
        <f>+X500</f>
        <v>3935459</v>
      </c>
      <c r="Y499" s="3618"/>
    </row>
    <row r="500" spans="1:26">
      <c r="A500" s="3601"/>
      <c r="B500" s="2116" t="s">
        <v>301</v>
      </c>
      <c r="C500" s="3641"/>
      <c r="D500" s="2192">
        <f>M500+P500+Q500+R500+S500+T500+U500+V500+W500</f>
        <v>3935459</v>
      </c>
      <c r="E500" s="633">
        <f>+F500+G500+H500</f>
        <v>0</v>
      </c>
      <c r="F500" s="659">
        <v>0</v>
      </c>
      <c r="G500" s="659">
        <v>0</v>
      </c>
      <c r="H500" s="659">
        <v>0</v>
      </c>
      <c r="I500" s="656"/>
      <c r="J500" s="656"/>
      <c r="K500" s="656">
        <v>0</v>
      </c>
      <c r="L500" s="656">
        <v>0</v>
      </c>
      <c r="M500" s="1386">
        <f>+E500+I500+J500+K500+L500+N500+O500</f>
        <v>0</v>
      </c>
      <c r="N500" s="656">
        <v>0</v>
      </c>
      <c r="O500" s="930">
        <v>0</v>
      </c>
      <c r="P500" s="930">
        <v>0</v>
      </c>
      <c r="Q500" s="930">
        <v>0</v>
      </c>
      <c r="R500" s="656">
        <v>1456120</v>
      </c>
      <c r="S500" s="656">
        <v>2479339</v>
      </c>
      <c r="T500" s="656"/>
      <c r="U500" s="656"/>
      <c r="V500" s="656"/>
      <c r="W500" s="656"/>
      <c r="X500" s="44">
        <f>SUM(Q500:W500)</f>
        <v>3935459</v>
      </c>
      <c r="Y500" s="3639"/>
      <c r="Z500" s="864"/>
    </row>
    <row r="501" spans="1:26" ht="15.75" customHeight="1">
      <c r="A501" s="3637"/>
      <c r="B501" s="25" t="s">
        <v>33</v>
      </c>
      <c r="C501" s="26"/>
      <c r="D501" s="704">
        <f>+D502</f>
        <v>3935459</v>
      </c>
      <c r="E501" s="704">
        <f t="shared" ref="E501:T502" si="289">+E502</f>
        <v>0</v>
      </c>
      <c r="F501" s="704">
        <f t="shared" si="289"/>
        <v>0</v>
      </c>
      <c r="G501" s="704">
        <f t="shared" si="289"/>
        <v>0</v>
      </c>
      <c r="H501" s="704">
        <f t="shared" si="289"/>
        <v>0</v>
      </c>
      <c r="I501" s="704">
        <f t="shared" si="289"/>
        <v>0</v>
      </c>
      <c r="J501" s="704">
        <f t="shared" si="289"/>
        <v>0</v>
      </c>
      <c r="K501" s="704">
        <f t="shared" si="289"/>
        <v>0</v>
      </c>
      <c r="L501" s="704">
        <f t="shared" si="289"/>
        <v>0</v>
      </c>
      <c r="M501" s="932">
        <f t="shared" si="289"/>
        <v>0</v>
      </c>
      <c r="N501" s="704">
        <f t="shared" si="289"/>
        <v>0</v>
      </c>
      <c r="O501" s="932">
        <f t="shared" si="289"/>
        <v>0</v>
      </c>
      <c r="P501" s="932">
        <f t="shared" si="289"/>
        <v>0</v>
      </c>
      <c r="Q501" s="932">
        <f t="shared" si="289"/>
        <v>0</v>
      </c>
      <c r="R501" s="704">
        <f t="shared" si="289"/>
        <v>0</v>
      </c>
      <c r="S501" s="704">
        <f t="shared" si="289"/>
        <v>2671398</v>
      </c>
      <c r="T501" s="704">
        <f t="shared" si="289"/>
        <v>1264061</v>
      </c>
      <c r="U501" s="704"/>
      <c r="V501" s="704"/>
      <c r="W501" s="704"/>
      <c r="X501" s="3633" t="s">
        <v>34</v>
      </c>
      <c r="Y501" s="3646" t="s">
        <v>118</v>
      </c>
    </row>
    <row r="502" spans="1:26" s="353" customFormat="1" ht="12.75" customHeight="1">
      <c r="A502" s="3637"/>
      <c r="B502" s="885" t="s">
        <v>29</v>
      </c>
      <c r="C502" s="3627" t="s">
        <v>98</v>
      </c>
      <c r="D502" s="934">
        <f>+D503</f>
        <v>3935459</v>
      </c>
      <c r="E502" s="934">
        <f t="shared" si="289"/>
        <v>0</v>
      </c>
      <c r="F502" s="934">
        <f t="shared" si="289"/>
        <v>0</v>
      </c>
      <c r="G502" s="934">
        <f t="shared" si="289"/>
        <v>0</v>
      </c>
      <c r="H502" s="934">
        <f t="shared" si="289"/>
        <v>0</v>
      </c>
      <c r="I502" s="934">
        <f t="shared" si="289"/>
        <v>0</v>
      </c>
      <c r="J502" s="933">
        <f t="shared" si="289"/>
        <v>0</v>
      </c>
      <c r="K502" s="933">
        <f t="shared" si="289"/>
        <v>0</v>
      </c>
      <c r="L502" s="933">
        <f t="shared" si="289"/>
        <v>0</v>
      </c>
      <c r="M502" s="935">
        <f t="shared" si="289"/>
        <v>0</v>
      </c>
      <c r="N502" s="934">
        <f t="shared" si="289"/>
        <v>0</v>
      </c>
      <c r="O502" s="935">
        <f t="shared" si="289"/>
        <v>0</v>
      </c>
      <c r="P502" s="2119">
        <f t="shared" si="289"/>
        <v>0</v>
      </c>
      <c r="Q502" s="935">
        <f t="shared" si="289"/>
        <v>0</v>
      </c>
      <c r="R502" s="933">
        <f t="shared" si="289"/>
        <v>0</v>
      </c>
      <c r="S502" s="933">
        <f t="shared" si="289"/>
        <v>2671398</v>
      </c>
      <c r="T502" s="933">
        <f t="shared" si="289"/>
        <v>1264061</v>
      </c>
      <c r="U502" s="934"/>
      <c r="V502" s="934"/>
      <c r="W502" s="934"/>
      <c r="X502" s="3606"/>
      <c r="Y502" s="3609"/>
    </row>
    <row r="503" spans="1:26" ht="12" customHeight="1" thickBot="1">
      <c r="A503" s="3638"/>
      <c r="B503" s="68" t="s">
        <v>31</v>
      </c>
      <c r="C503" s="3626"/>
      <c r="D503" s="2192">
        <f>M503+P503+Q503+R503+S503+T503+U503+V503+W503</f>
        <v>3935459</v>
      </c>
      <c r="E503" s="90">
        <f>+F503+G503+H503</f>
        <v>0</v>
      </c>
      <c r="F503" s="90">
        <v>0</v>
      </c>
      <c r="G503" s="89">
        <v>0</v>
      </c>
      <c r="H503" s="95">
        <v>0</v>
      </c>
      <c r="I503" s="310">
        <v>0</v>
      </c>
      <c r="J503" s="89"/>
      <c r="K503" s="89">
        <v>0</v>
      </c>
      <c r="L503" s="89"/>
      <c r="M503" s="1386">
        <f>+E503+I503+J503+K503+L503+N503+O503</f>
        <v>0</v>
      </c>
      <c r="N503" s="90">
        <v>0</v>
      </c>
      <c r="O503" s="389">
        <v>0</v>
      </c>
      <c r="P503" s="389">
        <f>2550000-2550000</f>
        <v>0</v>
      </c>
      <c r="Q503" s="389">
        <v>0</v>
      </c>
      <c r="R503" s="89">
        <v>0</v>
      </c>
      <c r="S503" s="89">
        <v>2671398</v>
      </c>
      <c r="T503" s="89">
        <v>1264061</v>
      </c>
      <c r="U503" s="89"/>
      <c r="V503" s="89"/>
      <c r="W503" s="89"/>
      <c r="X503" s="3607"/>
      <c r="Y503" s="3610"/>
    </row>
    <row r="504" spans="1:26" ht="27.75" customHeight="1">
      <c r="A504" s="3654" t="s">
        <v>513</v>
      </c>
      <c r="B504" s="382" t="s">
        <v>364</v>
      </c>
      <c r="C504" s="73" t="s">
        <v>125</v>
      </c>
      <c r="D504" s="168"/>
      <c r="E504" s="50"/>
      <c r="F504" s="51"/>
      <c r="G504" s="51"/>
      <c r="H504" s="50"/>
      <c r="I504" s="50"/>
      <c r="J504" s="50"/>
      <c r="K504" s="50"/>
      <c r="L504" s="50"/>
      <c r="M504" s="1278"/>
      <c r="N504" s="50"/>
      <c r="O504" s="50"/>
      <c r="P504" s="52"/>
      <c r="Q504" s="52"/>
      <c r="R504" s="52"/>
      <c r="S504" s="50"/>
      <c r="T504" s="51"/>
      <c r="U504" s="309"/>
      <c r="V504" s="309"/>
      <c r="W504" s="309"/>
      <c r="X504" s="77"/>
      <c r="Y504" s="3617" t="s">
        <v>409</v>
      </c>
    </row>
    <row r="505" spans="1:26" ht="15.75" customHeight="1">
      <c r="A505" s="3655"/>
      <c r="B505" s="1320" t="s">
        <v>21</v>
      </c>
      <c r="C505" s="1881"/>
      <c r="D505" s="1281">
        <f>+D506+D511</f>
        <v>454666</v>
      </c>
      <c r="E505" s="1281">
        <f t="shared" ref="E505:M505" si="290">+E506+E511</f>
        <v>0</v>
      </c>
      <c r="F505" s="1281">
        <f t="shared" si="290"/>
        <v>0</v>
      </c>
      <c r="G505" s="1281">
        <f t="shared" si="290"/>
        <v>0</v>
      </c>
      <c r="H505" s="1281">
        <f t="shared" si="290"/>
        <v>0</v>
      </c>
      <c r="I505" s="1281">
        <f t="shared" si="290"/>
        <v>0</v>
      </c>
      <c r="J505" s="1281">
        <f t="shared" si="290"/>
        <v>0</v>
      </c>
      <c r="K505" s="1281">
        <f t="shared" si="290"/>
        <v>0</v>
      </c>
      <c r="L505" s="1281">
        <f t="shared" si="290"/>
        <v>0</v>
      </c>
      <c r="M505" s="2313">
        <f t="shared" si="290"/>
        <v>0</v>
      </c>
      <c r="N505" s="1281"/>
      <c r="O505" s="1281"/>
      <c r="P505" s="1281">
        <f>+P506+P511</f>
        <v>43098</v>
      </c>
      <c r="Q505" s="1281">
        <f>+Q506+Q511</f>
        <v>273498</v>
      </c>
      <c r="R505" s="1281">
        <f>+R506+R511</f>
        <v>115985</v>
      </c>
      <c r="S505" s="1281">
        <f>+S506+S511</f>
        <v>22085</v>
      </c>
      <c r="T505" s="1281"/>
      <c r="U505" s="1281"/>
      <c r="V505" s="1281"/>
      <c r="W505" s="1281"/>
      <c r="X505" s="2261">
        <f>+X506+X511</f>
        <v>411568</v>
      </c>
      <c r="Y505" s="3618"/>
    </row>
    <row r="506" spans="1:26" ht="12.75" customHeight="1">
      <c r="A506" s="3655"/>
      <c r="B506" s="1251" t="s">
        <v>35</v>
      </c>
      <c r="C506" s="3611" t="s">
        <v>127</v>
      </c>
      <c r="D506" s="1282">
        <f>+D507</f>
        <v>70277</v>
      </c>
      <c r="E506" s="1282">
        <f t="shared" ref="E506:M506" si="291">+E507</f>
        <v>0</v>
      </c>
      <c r="F506" s="1282">
        <f t="shared" si="291"/>
        <v>0</v>
      </c>
      <c r="G506" s="1282">
        <f t="shared" si="291"/>
        <v>0</v>
      </c>
      <c r="H506" s="1282">
        <f t="shared" si="291"/>
        <v>0</v>
      </c>
      <c r="I506" s="1282">
        <f t="shared" si="291"/>
        <v>0</v>
      </c>
      <c r="J506" s="1282">
        <f t="shared" si="291"/>
        <v>0</v>
      </c>
      <c r="K506" s="1282">
        <f t="shared" si="291"/>
        <v>0</v>
      </c>
      <c r="L506" s="1282">
        <f t="shared" si="291"/>
        <v>0</v>
      </c>
      <c r="M506" s="2310">
        <f t="shared" si="291"/>
        <v>0</v>
      </c>
      <c r="N506" s="1282"/>
      <c r="O506" s="1282"/>
      <c r="P506" s="1282">
        <f>+P507</f>
        <v>6757</v>
      </c>
      <c r="Q506" s="1282">
        <f>+Q507</f>
        <v>41875</v>
      </c>
      <c r="R506" s="1282">
        <f>+R507</f>
        <v>17908</v>
      </c>
      <c r="S506" s="1282">
        <f>+S507</f>
        <v>3737</v>
      </c>
      <c r="T506" s="1282"/>
      <c r="U506" s="1282"/>
      <c r="V506" s="1282"/>
      <c r="W506" s="1282"/>
      <c r="X506" s="1280">
        <f>X507</f>
        <v>63520</v>
      </c>
      <c r="Y506" s="3618"/>
    </row>
    <row r="507" spans="1:26" ht="12.75" customHeight="1">
      <c r="A507" s="3655"/>
      <c r="B507" s="2299" t="s">
        <v>23</v>
      </c>
      <c r="C507" s="3640"/>
      <c r="D507" s="2192">
        <f>M507+P507+Q507+R507+S507+T507+U507+V507+W507</f>
        <v>70277</v>
      </c>
      <c r="E507" s="1710"/>
      <c r="F507" s="1283"/>
      <c r="G507" s="1283"/>
      <c r="H507" s="1283"/>
      <c r="I507" s="1283"/>
      <c r="J507" s="1283"/>
      <c r="K507" s="1283"/>
      <c r="L507" s="1283"/>
      <c r="M507" s="1386">
        <f>+E507+I507+J507+K507+L507+N507+O507</f>
        <v>0</v>
      </c>
      <c r="N507" s="1283"/>
      <c r="O507" s="1283"/>
      <c r="P507" s="1283">
        <f>+P509+P510</f>
        <v>6757</v>
      </c>
      <c r="Q507" s="1283">
        <f>+Q509+Q510</f>
        <v>41875</v>
      </c>
      <c r="R507" s="1283">
        <f>+R509+R510</f>
        <v>17908</v>
      </c>
      <c r="S507" s="1283">
        <f>+S509+S510</f>
        <v>3737</v>
      </c>
      <c r="T507" s="1283"/>
      <c r="U507" s="1283"/>
      <c r="V507" s="1283"/>
      <c r="W507" s="1283"/>
      <c r="X507" s="2285">
        <f>SUM(Q507:W507)</f>
        <v>63520</v>
      </c>
      <c r="Y507" s="3618"/>
    </row>
    <row r="508" spans="1:26" ht="12.75" hidden="1" customHeight="1">
      <c r="A508" s="3655"/>
      <c r="B508" s="2299" t="s">
        <v>181</v>
      </c>
      <c r="C508" s="3640"/>
      <c r="D508" s="2234"/>
      <c r="E508" s="1709"/>
      <c r="F508" s="1283"/>
      <c r="G508" s="1283"/>
      <c r="H508" s="1283"/>
      <c r="I508" s="1283"/>
      <c r="J508" s="1283"/>
      <c r="K508" s="1283"/>
      <c r="L508" s="1283"/>
      <c r="M508" s="1387"/>
      <c r="N508" s="1283"/>
      <c r="O508" s="1283"/>
      <c r="P508" s="1283"/>
      <c r="Q508" s="1283"/>
      <c r="R508" s="1283"/>
      <c r="S508" s="1283"/>
      <c r="T508" s="1283"/>
      <c r="U508" s="1283"/>
      <c r="V508" s="1283"/>
      <c r="W508" s="1283"/>
      <c r="X508" s="2285"/>
      <c r="Y508" s="3618"/>
    </row>
    <row r="509" spans="1:26" ht="12.75" hidden="1" customHeight="1">
      <c r="A509" s="3655"/>
      <c r="B509" s="2299" t="s">
        <v>126</v>
      </c>
      <c r="C509" s="3640"/>
      <c r="D509" s="2234">
        <f>+M509+O509+P509+Q509+R509+S509+T509+U509+V509+W509</f>
        <v>57390</v>
      </c>
      <c r="E509" s="1709"/>
      <c r="F509" s="1283"/>
      <c r="G509" s="1283"/>
      <c r="H509" s="1283"/>
      <c r="I509" s="1283"/>
      <c r="J509" s="1283"/>
      <c r="K509" s="1283"/>
      <c r="L509" s="1283"/>
      <c r="M509" s="1387"/>
      <c r="N509" s="1283"/>
      <c r="O509" s="1283"/>
      <c r="P509" s="1283">
        <f>3123+344</f>
        <v>3467</v>
      </c>
      <c r="Q509" s="1283">
        <f>35747+1841</f>
        <v>37588</v>
      </c>
      <c r="R509" s="1283">
        <f>12993+600</f>
        <v>13593</v>
      </c>
      <c r="S509" s="1283">
        <f>2242+500</f>
        <v>2742</v>
      </c>
      <c r="T509" s="1283"/>
      <c r="U509" s="1283"/>
      <c r="V509" s="1283"/>
      <c r="W509" s="1283"/>
      <c r="X509" s="2285">
        <f>SUM(Q509:S509)</f>
        <v>53923</v>
      </c>
      <c r="Y509" s="3618"/>
    </row>
    <row r="510" spans="1:26" ht="12.75" hidden="1" customHeight="1">
      <c r="A510" s="3655"/>
      <c r="B510" s="2299" t="s">
        <v>377</v>
      </c>
      <c r="C510" s="3640"/>
      <c r="D510" s="2234">
        <f>+M510+O510+P510+Q510+R510+S510+T510+U510+V510+W510</f>
        <v>12887</v>
      </c>
      <c r="E510" s="1709"/>
      <c r="F510" s="1283"/>
      <c r="G510" s="1283"/>
      <c r="H510" s="1283"/>
      <c r="I510" s="1283"/>
      <c r="J510" s="1283"/>
      <c r="K510" s="1283"/>
      <c r="L510" s="1283"/>
      <c r="M510" s="1387"/>
      <c r="N510" s="1283"/>
      <c r="O510" s="1283"/>
      <c r="P510" s="1283">
        <f>3319-29</f>
        <v>3290</v>
      </c>
      <c r="Q510" s="1283">
        <f>4259+28</f>
        <v>4287</v>
      </c>
      <c r="R510" s="1283">
        <f>4315</f>
        <v>4315</v>
      </c>
      <c r="S510" s="1283">
        <v>995</v>
      </c>
      <c r="T510" s="1283"/>
      <c r="U510" s="1283"/>
      <c r="V510" s="1283"/>
      <c r="W510" s="1283"/>
      <c r="X510" s="2285">
        <f>SUM(Q510:S510)</f>
        <v>9597</v>
      </c>
      <c r="Y510" s="3618"/>
    </row>
    <row r="511" spans="1:26" ht="12.75" customHeight="1">
      <c r="A511" s="3655"/>
      <c r="B511" s="2291" t="s">
        <v>29</v>
      </c>
      <c r="C511" s="3640"/>
      <c r="D511" s="1284">
        <f>+D512</f>
        <v>384389</v>
      </c>
      <c r="E511" s="1284">
        <f t="shared" ref="E511:M511" si="292">+E512</f>
        <v>0</v>
      </c>
      <c r="F511" s="1284">
        <f t="shared" si="292"/>
        <v>0</v>
      </c>
      <c r="G511" s="1284">
        <f t="shared" si="292"/>
        <v>0</v>
      </c>
      <c r="H511" s="1284">
        <f t="shared" si="292"/>
        <v>0</v>
      </c>
      <c r="I511" s="1284">
        <f t="shared" si="292"/>
        <v>0</v>
      </c>
      <c r="J511" s="1284">
        <f t="shared" si="292"/>
        <v>0</v>
      </c>
      <c r="K511" s="1284">
        <f t="shared" si="292"/>
        <v>0</v>
      </c>
      <c r="L511" s="1284">
        <f t="shared" si="292"/>
        <v>0</v>
      </c>
      <c r="M511" s="2292">
        <f t="shared" si="292"/>
        <v>0</v>
      </c>
      <c r="N511" s="1284"/>
      <c r="O511" s="1284"/>
      <c r="P511" s="1284">
        <f>+P512</f>
        <v>36341</v>
      </c>
      <c r="Q511" s="1284">
        <f>+Q512</f>
        <v>231623</v>
      </c>
      <c r="R511" s="1284">
        <f>+R512</f>
        <v>98077</v>
      </c>
      <c r="S511" s="1284">
        <f>+S512</f>
        <v>18348</v>
      </c>
      <c r="T511" s="1284"/>
      <c r="U511" s="1284"/>
      <c r="V511" s="1284"/>
      <c r="W511" s="1284"/>
      <c r="X511" s="1280">
        <f>+X512</f>
        <v>348048</v>
      </c>
      <c r="Y511" s="3618"/>
    </row>
    <row r="512" spans="1:26" ht="12.75" customHeight="1">
      <c r="A512" s="3655"/>
      <c r="B512" s="1983" t="s">
        <v>301</v>
      </c>
      <c r="C512" s="3641"/>
      <c r="D512" s="2192">
        <f>M512+P512+Q512+R512+S512+T512+U512+V512+W512</f>
        <v>384389</v>
      </c>
      <c r="E512" s="1710"/>
      <c r="F512" s="2300"/>
      <c r="G512" s="2300"/>
      <c r="H512" s="2300"/>
      <c r="I512" s="1283"/>
      <c r="J512" s="1283"/>
      <c r="K512" s="1283"/>
      <c r="L512" s="1283"/>
      <c r="M512" s="1386">
        <f>+E512+I512+J512+K512+L512+N512+O512</f>
        <v>0</v>
      </c>
      <c r="N512" s="1283"/>
      <c r="O512" s="1283"/>
      <c r="P512" s="1283">
        <f>+P514+P515</f>
        <v>36341</v>
      </c>
      <c r="Q512" s="1283">
        <f>+Q514+Q515</f>
        <v>231623</v>
      </c>
      <c r="R512" s="1283">
        <f>+R514+R515</f>
        <v>98077</v>
      </c>
      <c r="S512" s="1283">
        <f>+S514+S515</f>
        <v>18348</v>
      </c>
      <c r="T512" s="1283"/>
      <c r="U512" s="1283"/>
      <c r="V512" s="1283"/>
      <c r="W512" s="1283"/>
      <c r="X512" s="2285">
        <f>SUM(Q512:W512)</f>
        <v>348048</v>
      </c>
      <c r="Y512" s="3618"/>
    </row>
    <row r="513" spans="1:27" ht="12.75" hidden="1" customHeight="1">
      <c r="A513" s="3655"/>
      <c r="B513" s="2299" t="s">
        <v>181</v>
      </c>
      <c r="C513" s="3193"/>
      <c r="D513" s="2234"/>
      <c r="E513" s="1709"/>
      <c r="F513" s="2314"/>
      <c r="G513" s="2314"/>
      <c r="H513" s="2314"/>
      <c r="I513" s="1283"/>
      <c r="J513" s="1283"/>
      <c r="K513" s="1283"/>
      <c r="L513" s="1283"/>
      <c r="M513" s="1387"/>
      <c r="N513" s="1283"/>
      <c r="O513" s="1283"/>
      <c r="P513" s="1283"/>
      <c r="Q513" s="1283"/>
      <c r="R513" s="1283"/>
      <c r="S513" s="1283"/>
      <c r="T513" s="1283"/>
      <c r="U513" s="1283"/>
      <c r="V513" s="1283"/>
      <c r="W513" s="1283"/>
      <c r="X513" s="3238"/>
      <c r="Y513" s="3618"/>
    </row>
    <row r="514" spans="1:27" ht="12.75" hidden="1" customHeight="1">
      <c r="A514" s="3655"/>
      <c r="B514" s="2299" t="s">
        <v>126</v>
      </c>
      <c r="C514" s="3239">
        <f>+D514+D509</f>
        <v>368737</v>
      </c>
      <c r="D514" s="2234">
        <f>+M514+O514+P514+Q514+R514+S514+T514+U514+V514+W514</f>
        <v>311347</v>
      </c>
      <c r="E514" s="1709"/>
      <c r="F514" s="2314"/>
      <c r="G514" s="2314"/>
      <c r="H514" s="2314"/>
      <c r="I514" s="1283"/>
      <c r="J514" s="1283"/>
      <c r="K514" s="1283"/>
      <c r="L514" s="1283"/>
      <c r="M514" s="1387"/>
      <c r="N514" s="1283"/>
      <c r="O514" s="1283"/>
      <c r="P514" s="1283">
        <v>17695</v>
      </c>
      <c r="Q514" s="1283">
        <f>202561+4760</f>
        <v>207321</v>
      </c>
      <c r="R514" s="1283">
        <v>73627</v>
      </c>
      <c r="S514" s="1283">
        <v>12704</v>
      </c>
      <c r="T514" s="1283"/>
      <c r="U514" s="1283"/>
      <c r="V514" s="1283"/>
      <c r="W514" s="1283"/>
      <c r="X514" s="2285">
        <f>SUM(Q514:S514)</f>
        <v>293652</v>
      </c>
      <c r="Y514" s="3618"/>
    </row>
    <row r="515" spans="1:27" ht="12.75" hidden="1" customHeight="1">
      <c r="A515" s="3655"/>
      <c r="B515" s="2299" t="s">
        <v>377</v>
      </c>
      <c r="C515" s="3239">
        <f>+D515+D510</f>
        <v>85929</v>
      </c>
      <c r="D515" s="2234">
        <f>+M515+O515+P515+Q515+R515+S515+T515+U515+V515+W515</f>
        <v>73042</v>
      </c>
      <c r="E515" s="1709"/>
      <c r="F515" s="2314"/>
      <c r="G515" s="2314"/>
      <c r="H515" s="2314"/>
      <c r="I515" s="1283"/>
      <c r="J515" s="1283"/>
      <c r="K515" s="1283"/>
      <c r="L515" s="1283"/>
      <c r="M515" s="1387"/>
      <c r="N515" s="1283"/>
      <c r="O515" s="1283"/>
      <c r="P515" s="1283">
        <f>18809-163</f>
        <v>18646</v>
      </c>
      <c r="Q515" s="1283">
        <f>24139+163</f>
        <v>24302</v>
      </c>
      <c r="R515" s="1283">
        <v>24450</v>
      </c>
      <c r="S515" s="1283">
        <v>5644</v>
      </c>
      <c r="T515" s="1283"/>
      <c r="U515" s="1283"/>
      <c r="V515" s="1283"/>
      <c r="W515" s="1283"/>
      <c r="X515" s="2285">
        <f>SUM(Q515:S515)</f>
        <v>54396</v>
      </c>
      <c r="Y515" s="3618"/>
    </row>
    <row r="516" spans="1:27" ht="15.75" customHeight="1">
      <c r="A516" s="3655"/>
      <c r="B516" s="1320" t="s">
        <v>33</v>
      </c>
      <c r="C516" s="1881"/>
      <c r="D516" s="1690">
        <f>SUM(M516:W516)</f>
        <v>384389</v>
      </c>
      <c r="E516" s="1690">
        <f t="shared" ref="E516:M516" si="293">SUM(N516:X516)</f>
        <v>384389</v>
      </c>
      <c r="F516" s="1690">
        <f t="shared" si="293"/>
        <v>384389</v>
      </c>
      <c r="G516" s="1690">
        <f t="shared" si="293"/>
        <v>384389</v>
      </c>
      <c r="H516" s="1690">
        <f t="shared" si="293"/>
        <v>384389</v>
      </c>
      <c r="I516" s="1690">
        <f t="shared" si="293"/>
        <v>355909</v>
      </c>
      <c r="J516" s="1690">
        <f t="shared" si="293"/>
        <v>155029</v>
      </c>
      <c r="K516" s="1690">
        <f t="shared" si="293"/>
        <v>34694</v>
      </c>
      <c r="L516" s="1690">
        <f t="shared" si="293"/>
        <v>0</v>
      </c>
      <c r="M516" s="1882">
        <f t="shared" si="293"/>
        <v>0</v>
      </c>
      <c r="N516" s="1690"/>
      <c r="O516" s="1690"/>
      <c r="P516" s="1690">
        <v>0</v>
      </c>
      <c r="Q516" s="1690">
        <f t="shared" ref="Q516:T517" si="294">+Q517</f>
        <v>28480</v>
      </c>
      <c r="R516" s="1690">
        <f t="shared" si="294"/>
        <v>200880</v>
      </c>
      <c r="S516" s="1690">
        <f t="shared" si="294"/>
        <v>120335</v>
      </c>
      <c r="T516" s="1690">
        <f t="shared" si="294"/>
        <v>34694</v>
      </c>
      <c r="U516" s="1690"/>
      <c r="V516" s="1690"/>
      <c r="W516" s="1690"/>
      <c r="X516" s="3605" t="s">
        <v>34</v>
      </c>
      <c r="Y516" s="3618"/>
    </row>
    <row r="517" spans="1:27" ht="12.75" customHeight="1">
      <c r="A517" s="3655"/>
      <c r="B517" s="2291" t="s">
        <v>29</v>
      </c>
      <c r="C517" s="3611" t="s">
        <v>127</v>
      </c>
      <c r="D517" s="2120">
        <f>+D518</f>
        <v>384389</v>
      </c>
      <c r="E517" s="2120">
        <f t="shared" ref="E517:M517" si="295">+E518</f>
        <v>0</v>
      </c>
      <c r="F517" s="2120">
        <f t="shared" si="295"/>
        <v>0</v>
      </c>
      <c r="G517" s="2120">
        <f t="shared" si="295"/>
        <v>0</v>
      </c>
      <c r="H517" s="2120">
        <f t="shared" si="295"/>
        <v>0</v>
      </c>
      <c r="I517" s="2120">
        <f t="shared" si="295"/>
        <v>0</v>
      </c>
      <c r="J517" s="2120">
        <f t="shared" si="295"/>
        <v>0</v>
      </c>
      <c r="K517" s="2120">
        <f t="shared" si="295"/>
        <v>0</v>
      </c>
      <c r="L517" s="2120">
        <f t="shared" si="295"/>
        <v>0</v>
      </c>
      <c r="M517" s="1441">
        <f t="shared" si="295"/>
        <v>0</v>
      </c>
      <c r="N517" s="2120"/>
      <c r="O517" s="2286"/>
      <c r="P517" s="2120">
        <v>0</v>
      </c>
      <c r="Q517" s="2286">
        <f t="shared" si="294"/>
        <v>28480</v>
      </c>
      <c r="R517" s="2286">
        <f t="shared" si="294"/>
        <v>200880</v>
      </c>
      <c r="S517" s="2286">
        <f t="shared" si="294"/>
        <v>120335</v>
      </c>
      <c r="T517" s="2286">
        <f t="shared" si="294"/>
        <v>34694</v>
      </c>
      <c r="U517" s="2120"/>
      <c r="V517" s="2120"/>
      <c r="W517" s="2120"/>
      <c r="X517" s="3606"/>
      <c r="Y517" s="3618"/>
    </row>
    <row r="518" spans="1:27" ht="12.75" customHeight="1" thickBot="1">
      <c r="A518" s="3656"/>
      <c r="B518" s="1997" t="s">
        <v>31</v>
      </c>
      <c r="C518" s="3626"/>
      <c r="D518" s="2214">
        <f>M518+P518+Q518+R518+S518+T518+U518+V518+W518</f>
        <v>384389</v>
      </c>
      <c r="E518" s="1088"/>
      <c r="F518" s="1088"/>
      <c r="G518" s="963"/>
      <c r="H518" s="964"/>
      <c r="I518" s="2311"/>
      <c r="J518" s="963"/>
      <c r="K518" s="963"/>
      <c r="L518" s="963"/>
      <c r="M518" s="1261">
        <f>+E518+I518+J518+K518+L518+N518+O518</f>
        <v>0</v>
      </c>
      <c r="N518" s="1088"/>
      <c r="O518" s="963"/>
      <c r="P518" s="963">
        <v>0</v>
      </c>
      <c r="Q518" s="963">
        <f>20632+7848</f>
        <v>28480</v>
      </c>
      <c r="R518" s="963">
        <f>133982+66898</f>
        <v>200880</v>
      </c>
      <c r="S518" s="963">
        <f>229775-109440</f>
        <v>120335</v>
      </c>
      <c r="T518" s="963">
        <v>34694</v>
      </c>
      <c r="U518" s="963"/>
      <c r="V518" s="963"/>
      <c r="W518" s="963"/>
      <c r="X518" s="3607"/>
      <c r="Y518" s="3619"/>
      <c r="Z518" s="864">
        <f>D518-D512</f>
        <v>0</v>
      </c>
    </row>
    <row r="519" spans="1:27" ht="26.25" hidden="1" customHeight="1">
      <c r="A519" s="3647" t="s">
        <v>345</v>
      </c>
      <c r="B519" s="169" t="s">
        <v>119</v>
      </c>
      <c r="C519" s="2121"/>
      <c r="D519" s="2122"/>
      <c r="E519" s="2123"/>
      <c r="F519" s="2123"/>
      <c r="G519" s="2123"/>
      <c r="H519" s="2123"/>
      <c r="I519" s="2123"/>
      <c r="J519" s="2123"/>
      <c r="K519" s="2123"/>
      <c r="L519" s="2123"/>
      <c r="M519" s="2124"/>
      <c r="N519" s="2124"/>
      <c r="O519" s="2124"/>
      <c r="P519" s="2124"/>
      <c r="Q519" s="2124"/>
      <c r="R519" s="2124"/>
      <c r="S519" s="2124"/>
      <c r="T519" s="2124"/>
      <c r="U519" s="2124"/>
      <c r="V519" s="2124"/>
      <c r="W519" s="2124"/>
      <c r="X519" s="2125"/>
      <c r="Y519" s="3650"/>
    </row>
    <row r="520" spans="1:27" ht="12" hidden="1" customHeight="1">
      <c r="A520" s="3648"/>
      <c r="B520" s="25" t="s">
        <v>21</v>
      </c>
      <c r="C520" s="26"/>
      <c r="D520" s="170">
        <f>+D521+D525</f>
        <v>0</v>
      </c>
      <c r="E520" s="170">
        <f>+E521+E525</f>
        <v>0</v>
      </c>
      <c r="F520" s="170">
        <f t="shared" ref="F520:R520" si="296">+F521+F525</f>
        <v>0</v>
      </c>
      <c r="G520" s="170">
        <f t="shared" si="296"/>
        <v>0</v>
      </c>
      <c r="H520" s="170">
        <f t="shared" si="296"/>
        <v>0</v>
      </c>
      <c r="I520" s="170">
        <f t="shared" si="296"/>
        <v>0</v>
      </c>
      <c r="J520" s="170">
        <f t="shared" si="296"/>
        <v>0</v>
      </c>
      <c r="K520" s="170">
        <f t="shared" si="296"/>
        <v>0</v>
      </c>
      <c r="L520" s="170">
        <f t="shared" si="296"/>
        <v>0</v>
      </c>
      <c r="M520" s="170">
        <f>+M521+M525</f>
        <v>0</v>
      </c>
      <c r="N520" s="170">
        <f t="shared" si="296"/>
        <v>0</v>
      </c>
      <c r="O520" s="170">
        <f>+O521+O525</f>
        <v>0</v>
      </c>
      <c r="P520" s="170">
        <f t="shared" si="296"/>
        <v>0</v>
      </c>
      <c r="Q520" s="170">
        <f t="shared" si="296"/>
        <v>0</v>
      </c>
      <c r="R520" s="170">
        <f t="shared" si="296"/>
        <v>0</v>
      </c>
      <c r="S520" s="170">
        <f t="shared" ref="S520:X520" si="297">+S521+S525</f>
        <v>0</v>
      </c>
      <c r="T520" s="170">
        <f t="shared" si="297"/>
        <v>0</v>
      </c>
      <c r="U520" s="170">
        <f t="shared" si="297"/>
        <v>0</v>
      </c>
      <c r="V520" s="170">
        <f t="shared" si="297"/>
        <v>0</v>
      </c>
      <c r="W520" s="170">
        <f t="shared" si="297"/>
        <v>0</v>
      </c>
      <c r="X520" s="40">
        <f t="shared" si="297"/>
        <v>0</v>
      </c>
      <c r="Y520" s="3651"/>
      <c r="Z520" s="864">
        <f>+O520+P520</f>
        <v>0</v>
      </c>
      <c r="AA520" s="864"/>
    </row>
    <row r="521" spans="1:27" s="2021" customFormat="1" ht="12" hidden="1" customHeight="1">
      <c r="A521" s="3648"/>
      <c r="B521" s="2126" t="s">
        <v>22</v>
      </c>
      <c r="C521" s="2127"/>
      <c r="D521" s="160">
        <f>+D522+D523+D524</f>
        <v>0</v>
      </c>
      <c r="E521" s="160">
        <f t="shared" ref="E521:R521" si="298">+E522+E523+E524</f>
        <v>0</v>
      </c>
      <c r="F521" s="160">
        <f t="shared" si="298"/>
        <v>0</v>
      </c>
      <c r="G521" s="160">
        <f t="shared" si="298"/>
        <v>0</v>
      </c>
      <c r="H521" s="160">
        <f t="shared" si="298"/>
        <v>0</v>
      </c>
      <c r="I521" s="160">
        <f t="shared" si="298"/>
        <v>0</v>
      </c>
      <c r="J521" s="160">
        <f t="shared" si="298"/>
        <v>0</v>
      </c>
      <c r="K521" s="160">
        <f t="shared" si="298"/>
        <v>0</v>
      </c>
      <c r="L521" s="160">
        <f t="shared" si="298"/>
        <v>0</v>
      </c>
      <c r="M521" s="160">
        <f>+M522+M523+M524</f>
        <v>0</v>
      </c>
      <c r="N521" s="160">
        <f t="shared" si="298"/>
        <v>0</v>
      </c>
      <c r="O521" s="160">
        <f t="shared" si="298"/>
        <v>0</v>
      </c>
      <c r="P521" s="160">
        <f t="shared" si="298"/>
        <v>0</v>
      </c>
      <c r="Q521" s="160">
        <f t="shared" si="298"/>
        <v>0</v>
      </c>
      <c r="R521" s="160">
        <f t="shared" si="298"/>
        <v>0</v>
      </c>
      <c r="S521" s="160">
        <f t="shared" ref="S521:X521" si="299">+S522+S523+S524</f>
        <v>0</v>
      </c>
      <c r="T521" s="160">
        <f t="shared" si="299"/>
        <v>0</v>
      </c>
      <c r="U521" s="160">
        <f t="shared" si="299"/>
        <v>0</v>
      </c>
      <c r="V521" s="160">
        <f t="shared" si="299"/>
        <v>0</v>
      </c>
      <c r="W521" s="160">
        <f t="shared" si="299"/>
        <v>0</v>
      </c>
      <c r="X521" s="42">
        <f t="shared" si="299"/>
        <v>0</v>
      </c>
      <c r="Y521" s="3651"/>
      <c r="AA521" s="864"/>
    </row>
    <row r="522" spans="1:27" ht="12" hidden="1" customHeight="1">
      <c r="A522" s="3648"/>
      <c r="B522" s="2128" t="s">
        <v>23</v>
      </c>
      <c r="C522" s="2129"/>
      <c r="D522" s="43">
        <f>+D538+D556</f>
        <v>0</v>
      </c>
      <c r="E522" s="43">
        <f>+E538+E556</f>
        <v>0</v>
      </c>
      <c r="F522" s="43">
        <f t="shared" ref="F522:R522" si="300">+F538+F556</f>
        <v>0</v>
      </c>
      <c r="G522" s="43">
        <f t="shared" si="300"/>
        <v>0</v>
      </c>
      <c r="H522" s="43">
        <f t="shared" si="300"/>
        <v>0</v>
      </c>
      <c r="I522" s="43">
        <f t="shared" si="300"/>
        <v>0</v>
      </c>
      <c r="J522" s="43">
        <f t="shared" si="300"/>
        <v>0</v>
      </c>
      <c r="K522" s="43">
        <f t="shared" si="300"/>
        <v>0</v>
      </c>
      <c r="L522" s="43">
        <f t="shared" si="300"/>
        <v>0</v>
      </c>
      <c r="M522" s="43">
        <f>+M538+M556</f>
        <v>0</v>
      </c>
      <c r="N522" s="43">
        <f t="shared" si="300"/>
        <v>0</v>
      </c>
      <c r="O522" s="43">
        <f t="shared" si="300"/>
        <v>0</v>
      </c>
      <c r="P522" s="43">
        <f t="shared" si="300"/>
        <v>0</v>
      </c>
      <c r="Q522" s="43">
        <f t="shared" si="300"/>
        <v>0</v>
      </c>
      <c r="R522" s="43">
        <f t="shared" si="300"/>
        <v>0</v>
      </c>
      <c r="S522" s="43">
        <f>+S538+S556</f>
        <v>0</v>
      </c>
      <c r="T522" s="43">
        <f>+T538+T556</f>
        <v>0</v>
      </c>
      <c r="U522" s="43">
        <f>+U538+U556</f>
        <v>0</v>
      </c>
      <c r="V522" s="43">
        <f>+V538+V556</f>
        <v>0</v>
      </c>
      <c r="W522" s="43">
        <f>+W538+W556</f>
        <v>0</v>
      </c>
      <c r="X522" s="44">
        <f>SUM(P522:T522)</f>
        <v>0</v>
      </c>
      <c r="Y522" s="3651"/>
      <c r="Z522" s="864"/>
      <c r="AA522" s="864"/>
    </row>
    <row r="523" spans="1:27" ht="12" hidden="1" customHeight="1">
      <c r="A523" s="3648"/>
      <c r="B523" s="2035" t="s">
        <v>92</v>
      </c>
      <c r="C523" s="2036"/>
      <c r="D523" s="43">
        <f>+D539</f>
        <v>0</v>
      </c>
      <c r="E523" s="43">
        <f>+E539</f>
        <v>0</v>
      </c>
      <c r="F523" s="43">
        <f t="shared" ref="F523:R524" si="301">+F539</f>
        <v>0</v>
      </c>
      <c r="G523" s="43">
        <f t="shared" si="301"/>
        <v>0</v>
      </c>
      <c r="H523" s="43">
        <f t="shared" si="301"/>
        <v>0</v>
      </c>
      <c r="I523" s="43">
        <f t="shared" si="301"/>
        <v>0</v>
      </c>
      <c r="J523" s="43">
        <f t="shared" si="301"/>
        <v>0</v>
      </c>
      <c r="K523" s="43">
        <f t="shared" si="301"/>
        <v>0</v>
      </c>
      <c r="L523" s="43">
        <f t="shared" si="301"/>
        <v>0</v>
      </c>
      <c r="M523" s="43">
        <f>+M539</f>
        <v>0</v>
      </c>
      <c r="N523" s="43">
        <f t="shared" si="301"/>
        <v>0</v>
      </c>
      <c r="O523" s="43">
        <f t="shared" si="301"/>
        <v>0</v>
      </c>
      <c r="P523" s="43">
        <f t="shared" si="301"/>
        <v>0</v>
      </c>
      <c r="Q523" s="43">
        <f t="shared" si="301"/>
        <v>0</v>
      </c>
      <c r="R523" s="43">
        <f t="shared" si="301"/>
        <v>0</v>
      </c>
      <c r="S523" s="43">
        <f t="shared" ref="S523:W524" si="302">+S539</f>
        <v>0</v>
      </c>
      <c r="T523" s="43">
        <f t="shared" si="302"/>
        <v>0</v>
      </c>
      <c r="U523" s="43">
        <f t="shared" si="302"/>
        <v>0</v>
      </c>
      <c r="V523" s="43">
        <f t="shared" si="302"/>
        <v>0</v>
      </c>
      <c r="W523" s="43">
        <f t="shared" si="302"/>
        <v>0</v>
      </c>
      <c r="X523" s="44">
        <f>SUM(P523:T523)</f>
        <v>0</v>
      </c>
      <c r="Y523" s="3651"/>
      <c r="AA523" s="864"/>
    </row>
    <row r="524" spans="1:27" ht="12" hidden="1" customHeight="1">
      <c r="A524" s="3648"/>
      <c r="B524" s="2130" t="s">
        <v>66</v>
      </c>
      <c r="C524" s="2131"/>
      <c r="D524" s="43">
        <f>+D540</f>
        <v>0</v>
      </c>
      <c r="E524" s="43">
        <f>+E540</f>
        <v>0</v>
      </c>
      <c r="F524" s="43">
        <f t="shared" si="301"/>
        <v>0</v>
      </c>
      <c r="G524" s="43">
        <f t="shared" si="301"/>
        <v>0</v>
      </c>
      <c r="H524" s="43">
        <f t="shared" si="301"/>
        <v>0</v>
      </c>
      <c r="I524" s="43">
        <f t="shared" si="301"/>
        <v>0</v>
      </c>
      <c r="J524" s="43">
        <f t="shared" si="301"/>
        <v>0</v>
      </c>
      <c r="K524" s="43">
        <f t="shared" si="301"/>
        <v>0</v>
      </c>
      <c r="L524" s="43">
        <f t="shared" si="301"/>
        <v>0</v>
      </c>
      <c r="M524" s="43">
        <f>+M540</f>
        <v>0</v>
      </c>
      <c r="N524" s="43">
        <f t="shared" si="301"/>
        <v>0</v>
      </c>
      <c r="O524" s="43">
        <f t="shared" si="301"/>
        <v>0</v>
      </c>
      <c r="P524" s="43">
        <f t="shared" si="301"/>
        <v>0</v>
      </c>
      <c r="Q524" s="43">
        <f t="shared" si="301"/>
        <v>0</v>
      </c>
      <c r="R524" s="43">
        <f t="shared" si="301"/>
        <v>0</v>
      </c>
      <c r="S524" s="43">
        <f t="shared" si="302"/>
        <v>0</v>
      </c>
      <c r="T524" s="43">
        <f t="shared" si="302"/>
        <v>0</v>
      </c>
      <c r="U524" s="43">
        <f t="shared" si="302"/>
        <v>0</v>
      </c>
      <c r="V524" s="43">
        <f t="shared" si="302"/>
        <v>0</v>
      </c>
      <c r="W524" s="43">
        <f t="shared" si="302"/>
        <v>0</v>
      </c>
      <c r="X524" s="44">
        <f>SUM(P524:T524)</f>
        <v>0</v>
      </c>
      <c r="Y524" s="3651"/>
      <c r="Z524" s="864"/>
      <c r="AA524" s="864"/>
    </row>
    <row r="525" spans="1:27" s="2133" customFormat="1" ht="12" hidden="1" customHeight="1">
      <c r="A525" s="3648"/>
      <c r="B525" s="2038" t="s">
        <v>29</v>
      </c>
      <c r="C525" s="2132"/>
      <c r="D525" s="41">
        <f>+D526+D527</f>
        <v>0</v>
      </c>
      <c r="E525" s="41">
        <f t="shared" ref="E525:R525" si="303">+E526+E527</f>
        <v>0</v>
      </c>
      <c r="F525" s="41">
        <f t="shared" si="303"/>
        <v>0</v>
      </c>
      <c r="G525" s="41">
        <f t="shared" si="303"/>
        <v>0</v>
      </c>
      <c r="H525" s="41">
        <f t="shared" si="303"/>
        <v>0</v>
      </c>
      <c r="I525" s="41">
        <f t="shared" si="303"/>
        <v>0</v>
      </c>
      <c r="J525" s="41">
        <f t="shared" si="303"/>
        <v>0</v>
      </c>
      <c r="K525" s="41">
        <f t="shared" si="303"/>
        <v>0</v>
      </c>
      <c r="L525" s="41">
        <f t="shared" si="303"/>
        <v>0</v>
      </c>
      <c r="M525" s="41">
        <f>+M526+M527</f>
        <v>0</v>
      </c>
      <c r="N525" s="41">
        <f t="shared" si="303"/>
        <v>0</v>
      </c>
      <c r="O525" s="41">
        <f t="shared" si="303"/>
        <v>0</v>
      </c>
      <c r="P525" s="41">
        <f t="shared" si="303"/>
        <v>0</v>
      </c>
      <c r="Q525" s="41">
        <f t="shared" si="303"/>
        <v>0</v>
      </c>
      <c r="R525" s="41">
        <f t="shared" si="303"/>
        <v>0</v>
      </c>
      <c r="S525" s="41">
        <f t="shared" ref="S525:X525" si="304">+S526+S527</f>
        <v>0</v>
      </c>
      <c r="T525" s="41">
        <f t="shared" si="304"/>
        <v>0</v>
      </c>
      <c r="U525" s="41">
        <f t="shared" si="304"/>
        <v>0</v>
      </c>
      <c r="V525" s="41">
        <f t="shared" si="304"/>
        <v>0</v>
      </c>
      <c r="W525" s="41">
        <f t="shared" si="304"/>
        <v>0</v>
      </c>
      <c r="X525" s="171">
        <f t="shared" si="304"/>
        <v>0</v>
      </c>
      <c r="Y525" s="3651"/>
      <c r="Z525" s="2020"/>
      <c r="AA525" s="2020"/>
    </row>
    <row r="526" spans="1:27" ht="12" hidden="1" customHeight="1">
      <c r="A526" s="3648"/>
      <c r="B526" s="2039" t="s">
        <v>32</v>
      </c>
      <c r="C526" s="2131"/>
      <c r="D526" s="43">
        <f>+D542+D558</f>
        <v>0</v>
      </c>
      <c r="E526" s="43">
        <f>+E542+E558</f>
        <v>0</v>
      </c>
      <c r="F526" s="43">
        <f t="shared" ref="F526:R526" si="305">+F542+F558</f>
        <v>0</v>
      </c>
      <c r="G526" s="43">
        <f t="shared" si="305"/>
        <v>0</v>
      </c>
      <c r="H526" s="43">
        <f t="shared" si="305"/>
        <v>0</v>
      </c>
      <c r="I526" s="43">
        <f t="shared" si="305"/>
        <v>0</v>
      </c>
      <c r="J526" s="43">
        <f t="shared" si="305"/>
        <v>0</v>
      </c>
      <c r="K526" s="43">
        <f t="shared" si="305"/>
        <v>0</v>
      </c>
      <c r="L526" s="43">
        <f t="shared" si="305"/>
        <v>0</v>
      </c>
      <c r="M526" s="43">
        <f>+M542+M558</f>
        <v>0</v>
      </c>
      <c r="N526" s="43">
        <f t="shared" si="305"/>
        <v>0</v>
      </c>
      <c r="O526" s="43">
        <f t="shared" si="305"/>
        <v>0</v>
      </c>
      <c r="P526" s="43">
        <f t="shared" si="305"/>
        <v>0</v>
      </c>
      <c r="Q526" s="43">
        <f t="shared" si="305"/>
        <v>0</v>
      </c>
      <c r="R526" s="43">
        <f t="shared" si="305"/>
        <v>0</v>
      </c>
      <c r="S526" s="43">
        <f>+S542+S558</f>
        <v>0</v>
      </c>
      <c r="T526" s="43">
        <f>+T542+T558</f>
        <v>0</v>
      </c>
      <c r="U526" s="43">
        <f>+U542+U558</f>
        <v>0</v>
      </c>
      <c r="V526" s="43">
        <f>+V542+V558</f>
        <v>0</v>
      </c>
      <c r="W526" s="43">
        <f>+W542+W558</f>
        <v>0</v>
      </c>
      <c r="X526" s="44">
        <f>SUM(P526:T526)</f>
        <v>0</v>
      </c>
      <c r="Y526" s="3651"/>
      <c r="Z526" s="864"/>
      <c r="AA526" s="864"/>
    </row>
    <row r="527" spans="1:27" ht="12" hidden="1" customHeight="1">
      <c r="A527" s="3648"/>
      <c r="B527" s="2039" t="s">
        <v>93</v>
      </c>
      <c r="C527" s="2131"/>
      <c r="D527" s="43">
        <f>+D543</f>
        <v>0</v>
      </c>
      <c r="E527" s="43">
        <f>+E543</f>
        <v>0</v>
      </c>
      <c r="F527" s="43">
        <f t="shared" ref="F527:R527" si="306">+F543</f>
        <v>0</v>
      </c>
      <c r="G527" s="43">
        <f t="shared" si="306"/>
        <v>0</v>
      </c>
      <c r="H527" s="43">
        <f t="shared" si="306"/>
        <v>0</v>
      </c>
      <c r="I527" s="43">
        <f t="shared" si="306"/>
        <v>0</v>
      </c>
      <c r="J527" s="43">
        <f t="shared" si="306"/>
        <v>0</v>
      </c>
      <c r="K527" s="43">
        <f t="shared" si="306"/>
        <v>0</v>
      </c>
      <c r="L527" s="43">
        <f t="shared" si="306"/>
        <v>0</v>
      </c>
      <c r="M527" s="43">
        <f>+M543</f>
        <v>0</v>
      </c>
      <c r="N527" s="43">
        <f t="shared" si="306"/>
        <v>0</v>
      </c>
      <c r="O527" s="43">
        <f t="shared" si="306"/>
        <v>0</v>
      </c>
      <c r="P527" s="43">
        <f t="shared" si="306"/>
        <v>0</v>
      </c>
      <c r="Q527" s="43">
        <f t="shared" si="306"/>
        <v>0</v>
      </c>
      <c r="R527" s="43">
        <f t="shared" si="306"/>
        <v>0</v>
      </c>
      <c r="S527" s="43">
        <f>+S543</f>
        <v>0</v>
      </c>
      <c r="T527" s="43">
        <f>+T543</f>
        <v>0</v>
      </c>
      <c r="U527" s="43">
        <f>+U543</f>
        <v>0</v>
      </c>
      <c r="V527" s="43">
        <f>+V543</f>
        <v>0</v>
      </c>
      <c r="W527" s="43">
        <f>+W543</f>
        <v>0</v>
      </c>
      <c r="X527" s="44">
        <f>SUM(P527:T527)</f>
        <v>0</v>
      </c>
      <c r="Y527" s="3651"/>
      <c r="Z527" s="864"/>
      <c r="AA527" s="864"/>
    </row>
    <row r="528" spans="1:27" ht="12" hidden="1" customHeight="1">
      <c r="A528" s="3648"/>
      <c r="B528" s="25" t="s">
        <v>33</v>
      </c>
      <c r="C528" s="26"/>
      <c r="D528" s="258">
        <f>+D529+D532</f>
        <v>0</v>
      </c>
      <c r="E528" s="258">
        <f t="shared" ref="E528:R528" si="307">+E529+E532</f>
        <v>0</v>
      </c>
      <c r="F528" s="258">
        <f t="shared" si="307"/>
        <v>0</v>
      </c>
      <c r="G528" s="258">
        <f t="shared" si="307"/>
        <v>0</v>
      </c>
      <c r="H528" s="258">
        <f t="shared" si="307"/>
        <v>0</v>
      </c>
      <c r="I528" s="258">
        <f t="shared" si="307"/>
        <v>0</v>
      </c>
      <c r="J528" s="258">
        <f t="shared" si="307"/>
        <v>0</v>
      </c>
      <c r="K528" s="258">
        <f t="shared" si="307"/>
        <v>0</v>
      </c>
      <c r="L528" s="258">
        <f t="shared" si="307"/>
        <v>0</v>
      </c>
      <c r="M528" s="258">
        <f>+M529+M532</f>
        <v>0</v>
      </c>
      <c r="N528" s="258">
        <f t="shared" si="307"/>
        <v>0</v>
      </c>
      <c r="O528" s="258">
        <f t="shared" si="307"/>
        <v>0</v>
      </c>
      <c r="P528" s="258">
        <f t="shared" si="307"/>
        <v>0</v>
      </c>
      <c r="Q528" s="258">
        <f t="shared" si="307"/>
        <v>0</v>
      </c>
      <c r="R528" s="258">
        <f t="shared" si="307"/>
        <v>0</v>
      </c>
      <c r="S528" s="258">
        <f>+S529+S532</f>
        <v>0</v>
      </c>
      <c r="T528" s="258">
        <f>+T529+T532</f>
        <v>0</v>
      </c>
      <c r="U528" s="258">
        <f>+U529+U532</f>
        <v>0</v>
      </c>
      <c r="V528" s="258">
        <f>+V529+V532</f>
        <v>0</v>
      </c>
      <c r="W528" s="258">
        <f>+W529+W532</f>
        <v>0</v>
      </c>
      <c r="X528" s="3666" t="s">
        <v>34</v>
      </c>
      <c r="Y528" s="3651"/>
    </row>
    <row r="529" spans="1:26" ht="12" hidden="1" customHeight="1">
      <c r="A529" s="3648"/>
      <c r="B529" s="2134" t="s">
        <v>35</v>
      </c>
      <c r="C529" s="2135"/>
      <c r="D529" s="160">
        <f>+D530+D531</f>
        <v>0</v>
      </c>
      <c r="E529" s="160">
        <f t="shared" ref="E529:R529" si="308">+E530+E531</f>
        <v>0</v>
      </c>
      <c r="F529" s="160">
        <f t="shared" si="308"/>
        <v>0</v>
      </c>
      <c r="G529" s="160">
        <f t="shared" si="308"/>
        <v>0</v>
      </c>
      <c r="H529" s="160">
        <f t="shared" si="308"/>
        <v>0</v>
      </c>
      <c r="I529" s="160">
        <f t="shared" si="308"/>
        <v>0</v>
      </c>
      <c r="J529" s="160">
        <f t="shared" si="308"/>
        <v>0</v>
      </c>
      <c r="K529" s="160">
        <f t="shared" si="308"/>
        <v>0</v>
      </c>
      <c r="L529" s="160">
        <f t="shared" si="308"/>
        <v>0</v>
      </c>
      <c r="M529" s="160">
        <f>+M530+M531</f>
        <v>0</v>
      </c>
      <c r="N529" s="160">
        <f t="shared" si="308"/>
        <v>0</v>
      </c>
      <c r="O529" s="160">
        <f t="shared" si="308"/>
        <v>0</v>
      </c>
      <c r="P529" s="160">
        <f t="shared" si="308"/>
        <v>0</v>
      </c>
      <c r="Q529" s="160">
        <f t="shared" si="308"/>
        <v>0</v>
      </c>
      <c r="R529" s="160">
        <f t="shared" si="308"/>
        <v>0</v>
      </c>
      <c r="S529" s="160">
        <f>+S530+S531</f>
        <v>0</v>
      </c>
      <c r="T529" s="160">
        <f>+T530+T531</f>
        <v>0</v>
      </c>
      <c r="U529" s="160">
        <f>+U530+U531</f>
        <v>0</v>
      </c>
      <c r="V529" s="160">
        <f>+V530+V531</f>
        <v>0</v>
      </c>
      <c r="W529" s="160">
        <f>+W530+W531</f>
        <v>0</v>
      </c>
      <c r="X529" s="3606"/>
      <c r="Y529" s="3651"/>
      <c r="Z529" s="864"/>
    </row>
    <row r="530" spans="1:26" ht="12" hidden="1" customHeight="1">
      <c r="A530" s="3648"/>
      <c r="B530" s="352" t="s">
        <v>92</v>
      </c>
      <c r="C530" s="2131"/>
      <c r="D530" s="43">
        <f>+D546</f>
        <v>0</v>
      </c>
      <c r="E530" s="43">
        <f>+E546</f>
        <v>0</v>
      </c>
      <c r="F530" s="43">
        <f t="shared" ref="F530:P530" si="309">+F546</f>
        <v>0</v>
      </c>
      <c r="G530" s="43">
        <f t="shared" si="309"/>
        <v>0</v>
      </c>
      <c r="H530" s="43">
        <f t="shared" si="309"/>
        <v>0</v>
      </c>
      <c r="I530" s="43">
        <f t="shared" si="309"/>
        <v>0</v>
      </c>
      <c r="J530" s="43">
        <f t="shared" si="309"/>
        <v>0</v>
      </c>
      <c r="K530" s="43">
        <f t="shared" si="309"/>
        <v>0</v>
      </c>
      <c r="L530" s="43">
        <f t="shared" si="309"/>
        <v>0</v>
      </c>
      <c r="M530" s="43">
        <f>+M546</f>
        <v>0</v>
      </c>
      <c r="N530" s="43">
        <f t="shared" si="309"/>
        <v>0</v>
      </c>
      <c r="O530" s="43">
        <f t="shared" si="309"/>
        <v>0</v>
      </c>
      <c r="P530" s="43">
        <f t="shared" si="309"/>
        <v>0</v>
      </c>
      <c r="Q530" s="43">
        <f t="shared" ref="Q530:W530" si="310">+Q546</f>
        <v>0</v>
      </c>
      <c r="R530" s="43">
        <f t="shared" si="310"/>
        <v>0</v>
      </c>
      <c r="S530" s="43">
        <f t="shared" si="310"/>
        <v>0</v>
      </c>
      <c r="T530" s="43">
        <f t="shared" si="310"/>
        <v>0</v>
      </c>
      <c r="U530" s="43">
        <f t="shared" si="310"/>
        <v>0</v>
      </c>
      <c r="V530" s="43">
        <f t="shared" si="310"/>
        <v>0</v>
      </c>
      <c r="W530" s="43">
        <f t="shared" si="310"/>
        <v>0</v>
      </c>
      <c r="X530" s="3606"/>
      <c r="Y530" s="3651"/>
    </row>
    <row r="531" spans="1:26" ht="12" hidden="1" customHeight="1">
      <c r="A531" s="3648"/>
      <c r="B531" s="2136" t="s">
        <v>66</v>
      </c>
      <c r="C531" s="172"/>
      <c r="D531" s="43">
        <f>+D548</f>
        <v>0</v>
      </c>
      <c r="E531" s="43">
        <f>+E548</f>
        <v>0</v>
      </c>
      <c r="F531" s="43">
        <f t="shared" ref="F531:P531" si="311">+F548</f>
        <v>0</v>
      </c>
      <c r="G531" s="43">
        <f t="shared" si="311"/>
        <v>0</v>
      </c>
      <c r="H531" s="43">
        <f t="shared" si="311"/>
        <v>0</v>
      </c>
      <c r="I531" s="43">
        <f t="shared" si="311"/>
        <v>0</v>
      </c>
      <c r="J531" s="43">
        <f t="shared" si="311"/>
        <v>0</v>
      </c>
      <c r="K531" s="43">
        <f t="shared" si="311"/>
        <v>0</v>
      </c>
      <c r="L531" s="43">
        <f t="shared" si="311"/>
        <v>0</v>
      </c>
      <c r="M531" s="43">
        <f>+M548</f>
        <v>0</v>
      </c>
      <c r="N531" s="43">
        <f t="shared" si="311"/>
        <v>0</v>
      </c>
      <c r="O531" s="43">
        <f t="shared" si="311"/>
        <v>0</v>
      </c>
      <c r="P531" s="43">
        <f t="shared" si="311"/>
        <v>0</v>
      </c>
      <c r="Q531" s="43">
        <f t="shared" ref="Q531:W531" si="312">+Q548</f>
        <v>0</v>
      </c>
      <c r="R531" s="43">
        <f t="shared" si="312"/>
        <v>0</v>
      </c>
      <c r="S531" s="43">
        <f t="shared" si="312"/>
        <v>0</v>
      </c>
      <c r="T531" s="43">
        <f t="shared" si="312"/>
        <v>0</v>
      </c>
      <c r="U531" s="43">
        <f t="shared" si="312"/>
        <v>0</v>
      </c>
      <c r="V531" s="43">
        <f t="shared" si="312"/>
        <v>0</v>
      </c>
      <c r="W531" s="43">
        <f t="shared" si="312"/>
        <v>0</v>
      </c>
      <c r="X531" s="3606"/>
      <c r="Y531" s="3651"/>
    </row>
    <row r="532" spans="1:26" s="2133" customFormat="1" ht="12" hidden="1" customHeight="1">
      <c r="A532" s="3648"/>
      <c r="B532" s="2137" t="s">
        <v>29</v>
      </c>
      <c r="C532" s="2132"/>
      <c r="D532" s="173">
        <f>+D533+D534</f>
        <v>0</v>
      </c>
      <c r="E532" s="173">
        <f t="shared" ref="E532:R532" si="313">+E533+E534</f>
        <v>0</v>
      </c>
      <c r="F532" s="173">
        <f t="shared" si="313"/>
        <v>0</v>
      </c>
      <c r="G532" s="173">
        <f t="shared" si="313"/>
        <v>0</v>
      </c>
      <c r="H532" s="173">
        <f t="shared" si="313"/>
        <v>0</v>
      </c>
      <c r="I532" s="173">
        <f t="shared" si="313"/>
        <v>0</v>
      </c>
      <c r="J532" s="173">
        <f t="shared" si="313"/>
        <v>0</v>
      </c>
      <c r="K532" s="173">
        <f t="shared" si="313"/>
        <v>0</v>
      </c>
      <c r="L532" s="173">
        <f t="shared" si="313"/>
        <v>0</v>
      </c>
      <c r="M532" s="173">
        <f>+M533+M534</f>
        <v>0</v>
      </c>
      <c r="N532" s="173">
        <f t="shared" si="313"/>
        <v>0</v>
      </c>
      <c r="O532" s="173">
        <f t="shared" si="313"/>
        <v>0</v>
      </c>
      <c r="P532" s="173">
        <f t="shared" si="313"/>
        <v>0</v>
      </c>
      <c r="Q532" s="173">
        <f t="shared" si="313"/>
        <v>0</v>
      </c>
      <c r="R532" s="173">
        <f t="shared" si="313"/>
        <v>0</v>
      </c>
      <c r="S532" s="173">
        <f>+S533+S534</f>
        <v>0</v>
      </c>
      <c r="T532" s="173">
        <f>+T533+T534</f>
        <v>0</v>
      </c>
      <c r="U532" s="173">
        <f>+U533+U534</f>
        <v>0</v>
      </c>
      <c r="V532" s="173">
        <f>+V533+V534</f>
        <v>0</v>
      </c>
      <c r="W532" s="173">
        <f>+W533+W534</f>
        <v>0</v>
      </c>
      <c r="X532" s="3606"/>
      <c r="Y532" s="3651"/>
    </row>
    <row r="533" spans="1:26" ht="12" hidden="1" customHeight="1">
      <c r="A533" s="3648"/>
      <c r="B533" s="2138" t="s">
        <v>32</v>
      </c>
      <c r="C533" s="2131"/>
      <c r="D533" s="43">
        <f>+D551+D561</f>
        <v>0</v>
      </c>
      <c r="E533" s="43">
        <f>+E551+E561</f>
        <v>0</v>
      </c>
      <c r="F533" s="43">
        <f t="shared" ref="F533:R533" si="314">+F551+F561</f>
        <v>0</v>
      </c>
      <c r="G533" s="43">
        <f t="shared" si="314"/>
        <v>0</v>
      </c>
      <c r="H533" s="43">
        <f t="shared" si="314"/>
        <v>0</v>
      </c>
      <c r="I533" s="43">
        <f t="shared" si="314"/>
        <v>0</v>
      </c>
      <c r="J533" s="43">
        <f t="shared" si="314"/>
        <v>0</v>
      </c>
      <c r="K533" s="43">
        <f t="shared" si="314"/>
        <v>0</v>
      </c>
      <c r="L533" s="43">
        <f t="shared" si="314"/>
        <v>0</v>
      </c>
      <c r="M533" s="43">
        <f>+M551+M561</f>
        <v>0</v>
      </c>
      <c r="N533" s="43">
        <f t="shared" si="314"/>
        <v>0</v>
      </c>
      <c r="O533" s="43">
        <f t="shared" si="314"/>
        <v>0</v>
      </c>
      <c r="P533" s="43">
        <f t="shared" si="314"/>
        <v>0</v>
      </c>
      <c r="Q533" s="43">
        <f t="shared" si="314"/>
        <v>0</v>
      </c>
      <c r="R533" s="43">
        <f t="shared" si="314"/>
        <v>0</v>
      </c>
      <c r="S533" s="43">
        <f>+S551+S561</f>
        <v>0</v>
      </c>
      <c r="T533" s="43">
        <f>+T551+T561</f>
        <v>0</v>
      </c>
      <c r="U533" s="43">
        <f>+U551+U561</f>
        <v>0</v>
      </c>
      <c r="V533" s="43">
        <f>+V551+V561</f>
        <v>0</v>
      </c>
      <c r="W533" s="43">
        <f>+W551+W561</f>
        <v>0</v>
      </c>
      <c r="X533" s="3606"/>
      <c r="Y533" s="3651"/>
    </row>
    <row r="534" spans="1:26" ht="12" hidden="1" customHeight="1" thickBot="1">
      <c r="A534" s="3649"/>
      <c r="B534" s="2139" t="s">
        <v>93</v>
      </c>
      <c r="C534" s="2110"/>
      <c r="D534" s="163">
        <f>+D552</f>
        <v>0</v>
      </c>
      <c r="E534" s="163">
        <f>+E552</f>
        <v>0</v>
      </c>
      <c r="F534" s="163">
        <f t="shared" ref="F534:R534" si="315">+F552</f>
        <v>0</v>
      </c>
      <c r="G534" s="163">
        <f t="shared" si="315"/>
        <v>0</v>
      </c>
      <c r="H534" s="163">
        <f t="shared" si="315"/>
        <v>0</v>
      </c>
      <c r="I534" s="163">
        <f t="shared" si="315"/>
        <v>0</v>
      </c>
      <c r="J534" s="163">
        <f t="shared" si="315"/>
        <v>0</v>
      </c>
      <c r="K534" s="163">
        <f t="shared" si="315"/>
        <v>0</v>
      </c>
      <c r="L534" s="163">
        <f t="shared" si="315"/>
        <v>0</v>
      </c>
      <c r="M534" s="163">
        <f>+M552</f>
        <v>0</v>
      </c>
      <c r="N534" s="163">
        <f t="shared" si="315"/>
        <v>0</v>
      </c>
      <c r="O534" s="163">
        <f t="shared" si="315"/>
        <v>0</v>
      </c>
      <c r="P534" s="163">
        <f t="shared" si="315"/>
        <v>0</v>
      </c>
      <c r="Q534" s="163">
        <f t="shared" si="315"/>
        <v>0</v>
      </c>
      <c r="R534" s="163">
        <f t="shared" si="315"/>
        <v>0</v>
      </c>
      <c r="S534" s="335">
        <f>+S552</f>
        <v>0</v>
      </c>
      <c r="T534" s="336">
        <f>+T552</f>
        <v>0</v>
      </c>
      <c r="U534" s="336">
        <f>+U552</f>
        <v>0</v>
      </c>
      <c r="V534" s="336">
        <f>+V552</f>
        <v>0</v>
      </c>
      <c r="W534" s="336">
        <f>+W552</f>
        <v>0</v>
      </c>
      <c r="X534" s="3607"/>
      <c r="Y534" s="2140"/>
    </row>
    <row r="535" spans="1:26" hidden="1">
      <c r="A535" s="3600"/>
      <c r="B535" s="1291"/>
      <c r="C535" s="73" t="s">
        <v>95</v>
      </c>
      <c r="D535" s="135"/>
      <c r="E535" s="136"/>
      <c r="F535" s="136"/>
      <c r="G535" s="136"/>
      <c r="H535" s="136"/>
      <c r="I535" s="136"/>
      <c r="J535" s="136"/>
      <c r="K535" s="136"/>
      <c r="L535" s="136"/>
      <c r="M535" s="137"/>
      <c r="N535" s="137"/>
      <c r="O535" s="136"/>
      <c r="P535" s="136"/>
      <c r="Q535" s="136"/>
      <c r="R535" s="1292"/>
      <c r="S535" s="1292"/>
      <c r="T535" s="1292"/>
      <c r="U535" s="1292"/>
      <c r="V535" s="1292"/>
      <c r="W535" s="1292"/>
      <c r="X535" s="53"/>
      <c r="Y535" s="3617" t="s">
        <v>121</v>
      </c>
    </row>
    <row r="536" spans="1:26" ht="15" hidden="1" customHeight="1">
      <c r="A536" s="3601"/>
      <c r="B536" s="25" t="s">
        <v>21</v>
      </c>
      <c r="C536" s="26"/>
      <c r="D536" s="138">
        <f>+D537+D541</f>
        <v>0</v>
      </c>
      <c r="E536" s="138">
        <f t="shared" ref="E536:P536" si="316">+E537+E541</f>
        <v>0</v>
      </c>
      <c r="F536" s="138">
        <f t="shared" si="316"/>
        <v>0</v>
      </c>
      <c r="G536" s="138">
        <f t="shared" si="316"/>
        <v>0</v>
      </c>
      <c r="H536" s="138">
        <f t="shared" si="316"/>
        <v>0</v>
      </c>
      <c r="I536" s="138">
        <f t="shared" si="316"/>
        <v>0</v>
      </c>
      <c r="J536" s="138">
        <f t="shared" si="316"/>
        <v>0</v>
      </c>
      <c r="K536" s="138">
        <f t="shared" si="316"/>
        <v>0</v>
      </c>
      <c r="L536" s="138">
        <f t="shared" si="316"/>
        <v>0</v>
      </c>
      <c r="M536" s="138">
        <f>+M537+M541</f>
        <v>0</v>
      </c>
      <c r="N536" s="138">
        <f t="shared" si="316"/>
        <v>0</v>
      </c>
      <c r="O536" s="138">
        <f t="shared" si="316"/>
        <v>0</v>
      </c>
      <c r="P536" s="138">
        <f t="shared" si="316"/>
        <v>0</v>
      </c>
      <c r="Q536" s="138">
        <f>+Q537+Q541</f>
        <v>0</v>
      </c>
      <c r="R536" s="138">
        <f>+R537+R541</f>
        <v>0</v>
      </c>
      <c r="S536" s="138">
        <f>+S537+S541</f>
        <v>0</v>
      </c>
      <c r="T536" s="138">
        <f>+T537+T541</f>
        <v>0</v>
      </c>
      <c r="U536" s="138"/>
      <c r="V536" s="138"/>
      <c r="W536" s="138"/>
      <c r="X536" s="40">
        <f>+X537+X541</f>
        <v>0</v>
      </c>
      <c r="Y536" s="3618"/>
      <c r="Z536" s="864">
        <f>+O536+P536</f>
        <v>0</v>
      </c>
    </row>
    <row r="537" spans="1:26" hidden="1">
      <c r="A537" s="3601"/>
      <c r="B537" s="217" t="s">
        <v>35</v>
      </c>
      <c r="C537" s="3624" t="s">
        <v>114</v>
      </c>
      <c r="D537" s="139">
        <f>+D538+D539+D540</f>
        <v>0</v>
      </c>
      <c r="E537" s="139">
        <f>+E538+E539+E540</f>
        <v>0</v>
      </c>
      <c r="F537" s="139">
        <f t="shared" ref="F537:P537" si="317">+F538+F539+F540</f>
        <v>0</v>
      </c>
      <c r="G537" s="139">
        <f t="shared" si="317"/>
        <v>0</v>
      </c>
      <c r="H537" s="139">
        <f t="shared" si="317"/>
        <v>0</v>
      </c>
      <c r="I537" s="139">
        <f t="shared" si="317"/>
        <v>0</v>
      </c>
      <c r="J537" s="139">
        <f t="shared" si="317"/>
        <v>0</v>
      </c>
      <c r="K537" s="139">
        <f t="shared" si="317"/>
        <v>0</v>
      </c>
      <c r="L537" s="140">
        <f t="shared" si="317"/>
        <v>0</v>
      </c>
      <c r="M537" s="140">
        <f>+M538+M539+M540</f>
        <v>0</v>
      </c>
      <c r="N537" s="140">
        <f t="shared" si="317"/>
        <v>0</v>
      </c>
      <c r="O537" s="140">
        <f t="shared" si="317"/>
        <v>0</v>
      </c>
      <c r="P537" s="139">
        <f t="shared" si="317"/>
        <v>0</v>
      </c>
      <c r="Q537" s="139">
        <f>+Q538+Q539+Q540</f>
        <v>0</v>
      </c>
      <c r="R537" s="139">
        <f>+R538+R539+R540</f>
        <v>0</v>
      </c>
      <c r="S537" s="139">
        <f>+S538+S539+S540</f>
        <v>0</v>
      </c>
      <c r="T537" s="139">
        <f>+T538+T539+T540</f>
        <v>0</v>
      </c>
      <c r="U537" s="142"/>
      <c r="V537" s="142"/>
      <c r="W537" s="142"/>
      <c r="X537" s="99">
        <f>+X538+X539+X540</f>
        <v>0</v>
      </c>
      <c r="Y537" s="3618"/>
    </row>
    <row r="538" spans="1:26" ht="11.25" hidden="1" customHeight="1">
      <c r="A538" s="3601"/>
      <c r="B538" s="811" t="s">
        <v>23</v>
      </c>
      <c r="C538" s="3612"/>
      <c r="D538" s="325">
        <f>M538+O538+P538+Q538+R538+S538+T538+U538+V538+W538</f>
        <v>0</v>
      </c>
      <c r="E538" s="1293">
        <v>0</v>
      </c>
      <c r="F538" s="1294"/>
      <c r="G538" s="1293"/>
      <c r="H538" s="1293"/>
      <c r="I538" s="1293">
        <v>0</v>
      </c>
      <c r="J538" s="1293">
        <v>0</v>
      </c>
      <c r="K538" s="1293">
        <v>0</v>
      </c>
      <c r="L538" s="1295"/>
      <c r="M538" s="387">
        <f>+E538+I538+J538+K538+L538+N538</f>
        <v>0</v>
      </c>
      <c r="N538" s="1295">
        <f>9467714-8240000+5220000-6447714</f>
        <v>0</v>
      </c>
      <c r="O538" s="1295">
        <f>6456250+880000-5220000+12500-2128750</f>
        <v>0</v>
      </c>
      <c r="P538" s="1293">
        <v>0</v>
      </c>
      <c r="Q538" s="1293">
        <v>0</v>
      </c>
      <c r="R538" s="1293">
        <v>0</v>
      </c>
      <c r="S538" s="1293">
        <v>0</v>
      </c>
      <c r="T538" s="1293">
        <v>0</v>
      </c>
      <c r="U538" s="1294"/>
      <c r="V538" s="1294"/>
      <c r="W538" s="1294"/>
      <c r="X538" s="44">
        <f>SUM(P538:T538)</f>
        <v>0</v>
      </c>
      <c r="Y538" s="3618"/>
      <c r="Z538" s="864"/>
    </row>
    <row r="539" spans="1:26" hidden="1">
      <c r="A539" s="3601"/>
      <c r="B539" s="174" t="s">
        <v>92</v>
      </c>
      <c r="C539" s="3612"/>
      <c r="D539" s="325">
        <f>M539+O539+P539+Q539+R539+S539+T539+U539+V539+W539</f>
        <v>0</v>
      </c>
      <c r="E539" s="175">
        <v>0</v>
      </c>
      <c r="F539" s="1293"/>
      <c r="G539" s="1293"/>
      <c r="H539" s="1293"/>
      <c r="I539" s="1293">
        <v>0</v>
      </c>
      <c r="J539" s="148">
        <v>0</v>
      </c>
      <c r="K539" s="175">
        <v>0</v>
      </c>
      <c r="L539" s="148">
        <v>0</v>
      </c>
      <c r="M539" s="387">
        <f>+E539+I539+J539+K539+L539+N539</f>
        <v>0</v>
      </c>
      <c r="N539" s="148"/>
      <c r="O539" s="148"/>
      <c r="P539" s="175">
        <v>0</v>
      </c>
      <c r="Q539" s="175">
        <v>0</v>
      </c>
      <c r="R539" s="175">
        <v>0</v>
      </c>
      <c r="S539" s="175">
        <v>0</v>
      </c>
      <c r="T539" s="175">
        <v>0</v>
      </c>
      <c r="U539" s="149"/>
      <c r="V539" s="149"/>
      <c r="W539" s="149"/>
      <c r="X539" s="44">
        <f>SUM(P539:T539)</f>
        <v>0</v>
      </c>
      <c r="Y539" s="3618"/>
    </row>
    <row r="540" spans="1:26" ht="12" hidden="1" customHeight="1">
      <c r="A540" s="3601"/>
      <c r="B540" s="1182" t="s">
        <v>122</v>
      </c>
      <c r="C540" s="3640"/>
      <c r="D540" s="325">
        <f>M540+O540+P540+Q540+R540+S540+T540+U540+V540+W540</f>
        <v>0</v>
      </c>
      <c r="E540" s="59">
        <v>0</v>
      </c>
      <c r="F540" s="149"/>
      <c r="G540" s="175"/>
      <c r="H540" s="176"/>
      <c r="I540" s="176">
        <v>0</v>
      </c>
      <c r="J540" s="1295">
        <v>0</v>
      </c>
      <c r="K540" s="1295">
        <v>0</v>
      </c>
      <c r="L540" s="1295"/>
      <c r="M540" s="387">
        <f>+E540+I540+J540+K540+L540+N540</f>
        <v>0</v>
      </c>
      <c r="N540" s="1295"/>
      <c r="O540" s="1295"/>
      <c r="P540" s="1293">
        <v>0</v>
      </c>
      <c r="Q540" s="1293">
        <v>0</v>
      </c>
      <c r="R540" s="1293">
        <v>0</v>
      </c>
      <c r="S540" s="1293">
        <v>0</v>
      </c>
      <c r="T540" s="1293">
        <v>0</v>
      </c>
      <c r="U540" s="1294"/>
      <c r="V540" s="1294"/>
      <c r="W540" s="1294"/>
      <c r="X540" s="44">
        <f>SUM(P540:T540)</f>
        <v>0</v>
      </c>
      <c r="Y540" s="3618"/>
    </row>
    <row r="541" spans="1:26" s="2133" customFormat="1" hidden="1">
      <c r="A541" s="3601"/>
      <c r="B541" s="885" t="s">
        <v>29</v>
      </c>
      <c r="C541" s="1296"/>
      <c r="D541" s="61">
        <f>+D542+D543</f>
        <v>0</v>
      </c>
      <c r="E541" s="1297">
        <f>+E542</f>
        <v>0</v>
      </c>
      <c r="F541" s="1297">
        <f t="shared" ref="F541:K541" si="318">+F542</f>
        <v>0</v>
      </c>
      <c r="G541" s="1297">
        <f t="shared" si="318"/>
        <v>0</v>
      </c>
      <c r="H541" s="1297">
        <f t="shared" si="318"/>
        <v>0</v>
      </c>
      <c r="I541" s="1297">
        <f t="shared" si="318"/>
        <v>0</v>
      </c>
      <c r="J541" s="1297">
        <f t="shared" si="318"/>
        <v>0</v>
      </c>
      <c r="K541" s="1297">
        <f t="shared" si="318"/>
        <v>0</v>
      </c>
      <c r="L541" s="1297">
        <f t="shared" ref="L541:X541" si="319">+L542+L543</f>
        <v>0</v>
      </c>
      <c r="M541" s="1297">
        <f t="shared" si="319"/>
        <v>0</v>
      </c>
      <c r="N541" s="1297">
        <f t="shared" si="319"/>
        <v>0</v>
      </c>
      <c r="O541" s="1297">
        <f t="shared" si="319"/>
        <v>0</v>
      </c>
      <c r="P541" s="1297">
        <f t="shared" si="319"/>
        <v>0</v>
      </c>
      <c r="Q541" s="1297">
        <f t="shared" si="319"/>
        <v>0</v>
      </c>
      <c r="R541" s="1297">
        <f t="shared" si="319"/>
        <v>0</v>
      </c>
      <c r="S541" s="1297">
        <f t="shared" si="319"/>
        <v>0</v>
      </c>
      <c r="T541" s="1297">
        <f t="shared" si="319"/>
        <v>0</v>
      </c>
      <c r="U541" s="1297"/>
      <c r="V541" s="1297"/>
      <c r="W541" s="1297"/>
      <c r="X541" s="99">
        <f t="shared" si="319"/>
        <v>0</v>
      </c>
      <c r="Y541" s="3618"/>
    </row>
    <row r="542" spans="1:26" hidden="1">
      <c r="A542" s="3601"/>
      <c r="B542" s="2058" t="s">
        <v>32</v>
      </c>
      <c r="C542" s="3192"/>
      <c r="D542" s="325">
        <f>M542+O542+P542+Q542+R542+S542+T542+U542+V542+W542</f>
        <v>0</v>
      </c>
      <c r="E542" s="60">
        <v>0</v>
      </c>
      <c r="F542" s="149"/>
      <c r="G542" s="149"/>
      <c r="H542" s="1298"/>
      <c r="I542" s="1294">
        <v>0</v>
      </c>
      <c r="J542" s="1299">
        <v>0</v>
      </c>
      <c r="K542" s="1299">
        <v>0</v>
      </c>
      <c r="L542" s="1299"/>
      <c r="M542" s="387">
        <f>+E542+I542+J542+K542+L542+N542</f>
        <v>0</v>
      </c>
      <c r="N542" s="1299"/>
      <c r="O542" s="1299"/>
      <c r="P542" s="1294">
        <v>0</v>
      </c>
      <c r="Q542" s="1294">
        <v>0</v>
      </c>
      <c r="R542" s="1294">
        <v>0</v>
      </c>
      <c r="S542" s="1294">
        <v>0</v>
      </c>
      <c r="T542" s="1294">
        <v>0</v>
      </c>
      <c r="U542" s="1294"/>
      <c r="V542" s="1294"/>
      <c r="W542" s="1294"/>
      <c r="X542" s="44">
        <f>SUM(P542:T542)</f>
        <v>0</v>
      </c>
      <c r="Y542" s="3618"/>
    </row>
    <row r="543" spans="1:26" ht="12" hidden="1" customHeight="1">
      <c r="A543" s="3601"/>
      <c r="B543" s="2058" t="s">
        <v>93</v>
      </c>
      <c r="C543" s="3192"/>
      <c r="D543" s="325">
        <f>M543+O543+P543+Q543+R543+S543+T543+U543+V543+W543</f>
        <v>0</v>
      </c>
      <c r="E543" s="60">
        <v>0</v>
      </c>
      <c r="F543" s="149"/>
      <c r="G543" s="149"/>
      <c r="H543" s="1298"/>
      <c r="I543" s="1294">
        <v>0</v>
      </c>
      <c r="J543" s="1299">
        <v>0</v>
      </c>
      <c r="K543" s="1299">
        <v>0</v>
      </c>
      <c r="L543" s="1299">
        <f>1023120-1023120</f>
        <v>0</v>
      </c>
      <c r="M543" s="387">
        <f>+E543+I543+J543+K543+L543+N543</f>
        <v>0</v>
      </c>
      <c r="N543" s="1299">
        <v>0</v>
      </c>
      <c r="O543" s="1299">
        <v>0</v>
      </c>
      <c r="P543" s="1294">
        <v>0</v>
      </c>
      <c r="Q543" s="1294">
        <v>0</v>
      </c>
      <c r="R543" s="1294">
        <v>0</v>
      </c>
      <c r="S543" s="1294">
        <v>0</v>
      </c>
      <c r="T543" s="1294">
        <v>0</v>
      </c>
      <c r="U543" s="1294"/>
      <c r="V543" s="1294"/>
      <c r="W543" s="1294"/>
      <c r="X543" s="44">
        <f>SUM(P543:T543)</f>
        <v>0</v>
      </c>
      <c r="Y543" s="3618"/>
    </row>
    <row r="544" spans="1:26" ht="14.25" hidden="1" customHeight="1">
      <c r="A544" s="3601"/>
      <c r="B544" s="25" t="s">
        <v>33</v>
      </c>
      <c r="C544" s="26"/>
      <c r="D544" s="258">
        <f>+D545+D549</f>
        <v>0</v>
      </c>
      <c r="E544" s="258">
        <f t="shared" ref="E544:P544" si="320">+E545+E549</f>
        <v>0</v>
      </c>
      <c r="F544" s="258">
        <f t="shared" si="320"/>
        <v>0</v>
      </c>
      <c r="G544" s="258">
        <f t="shared" si="320"/>
        <v>0</v>
      </c>
      <c r="H544" s="258">
        <f t="shared" si="320"/>
        <v>0</v>
      </c>
      <c r="I544" s="258">
        <f t="shared" si="320"/>
        <v>0</v>
      </c>
      <c r="J544" s="258">
        <f t="shared" si="320"/>
        <v>0</v>
      </c>
      <c r="K544" s="258">
        <f t="shared" si="320"/>
        <v>0</v>
      </c>
      <c r="L544" s="258">
        <f>+L545+L549</f>
        <v>0</v>
      </c>
      <c r="M544" s="258">
        <f>+M545+M549</f>
        <v>0</v>
      </c>
      <c r="N544" s="258">
        <f t="shared" si="320"/>
        <v>0</v>
      </c>
      <c r="O544" s="258">
        <f t="shared" si="320"/>
        <v>0</v>
      </c>
      <c r="P544" s="258">
        <f t="shared" si="320"/>
        <v>0</v>
      </c>
      <c r="Q544" s="258">
        <f>+Q545+Q549</f>
        <v>0</v>
      </c>
      <c r="R544" s="258">
        <f>+R545+R549</f>
        <v>0</v>
      </c>
      <c r="S544" s="258">
        <f>+S545+S549</f>
        <v>0</v>
      </c>
      <c r="T544" s="258">
        <f>+T545+T549</f>
        <v>0</v>
      </c>
      <c r="U544" s="258"/>
      <c r="V544" s="258"/>
      <c r="W544" s="258"/>
      <c r="X544" s="3666" t="s">
        <v>34</v>
      </c>
      <c r="Y544" s="3618"/>
      <c r="Z544" s="864"/>
    </row>
    <row r="545" spans="1:29" s="2141" customFormat="1" ht="12.75" hidden="1" customHeight="1">
      <c r="A545" s="3601"/>
      <c r="B545" s="217" t="s">
        <v>35</v>
      </c>
      <c r="C545" s="3624" t="s">
        <v>114</v>
      </c>
      <c r="D545" s="1907">
        <f>+D546+D547+D548</f>
        <v>0</v>
      </c>
      <c r="E545" s="1907">
        <f>+E546+E548</f>
        <v>0</v>
      </c>
      <c r="F545" s="1907">
        <f t="shared" ref="F545:P545" si="321">+F546+F548</f>
        <v>0</v>
      </c>
      <c r="G545" s="1907">
        <f t="shared" si="321"/>
        <v>0</v>
      </c>
      <c r="H545" s="1907">
        <f t="shared" si="321"/>
        <v>0</v>
      </c>
      <c r="I545" s="2053">
        <f t="shared" si="321"/>
        <v>0</v>
      </c>
      <c r="J545" s="1907">
        <f t="shared" si="321"/>
        <v>0</v>
      </c>
      <c r="K545" s="1907">
        <f t="shared" si="321"/>
        <v>0</v>
      </c>
      <c r="L545" s="1907">
        <f>SUM(L546:L548)</f>
        <v>0</v>
      </c>
      <c r="M545" s="1907">
        <f>SUM(M546:M548)</f>
        <v>0</v>
      </c>
      <c r="N545" s="2053">
        <f t="shared" si="321"/>
        <v>0</v>
      </c>
      <c r="O545" s="1907">
        <f t="shared" si="321"/>
        <v>0</v>
      </c>
      <c r="P545" s="1907">
        <f t="shared" si="321"/>
        <v>0</v>
      </c>
      <c r="Q545" s="1907">
        <f>+Q546+Q548</f>
        <v>0</v>
      </c>
      <c r="R545" s="1907">
        <f>+R546+R548</f>
        <v>0</v>
      </c>
      <c r="S545" s="1907">
        <f>+S546+S548</f>
        <v>0</v>
      </c>
      <c r="T545" s="1907">
        <f>+T546+T548</f>
        <v>0</v>
      </c>
      <c r="U545" s="1907"/>
      <c r="V545" s="1907"/>
      <c r="W545" s="1907"/>
      <c r="X545" s="3606"/>
      <c r="Y545" s="3618"/>
    </row>
    <row r="546" spans="1:29" s="353" customFormat="1" hidden="1">
      <c r="A546" s="3601"/>
      <c r="B546" s="174" t="s">
        <v>123</v>
      </c>
      <c r="C546" s="3612"/>
      <c r="D546" s="325">
        <f>M546+O546+P546+Q546+R546+S546+T546+U546+V546+W546</f>
        <v>0</v>
      </c>
      <c r="E546" s="2142">
        <v>0</v>
      </c>
      <c r="F546" s="2142"/>
      <c r="G546" s="2142"/>
      <c r="H546" s="2142"/>
      <c r="I546" s="2143">
        <v>0</v>
      </c>
      <c r="J546" s="2144">
        <v>0</v>
      </c>
      <c r="K546" s="2145">
        <v>0</v>
      </c>
      <c r="L546" s="2142">
        <v>0</v>
      </c>
      <c r="M546" s="387">
        <f>+E546+I546+J546+K546+L546+N546</f>
        <v>0</v>
      </c>
      <c r="N546" s="2146"/>
      <c r="O546" s="2142"/>
      <c r="P546" s="2142">
        <v>0</v>
      </c>
      <c r="Q546" s="2142">
        <v>0</v>
      </c>
      <c r="R546" s="2142">
        <v>0</v>
      </c>
      <c r="S546" s="2142">
        <v>0</v>
      </c>
      <c r="T546" s="2142">
        <v>0</v>
      </c>
      <c r="U546" s="2142"/>
      <c r="V546" s="2142"/>
      <c r="W546" s="2142"/>
      <c r="X546" s="3606"/>
      <c r="Y546" s="3618"/>
      <c r="Z546" s="2096">
        <v>-14575000</v>
      </c>
    </row>
    <row r="547" spans="1:29" s="353" customFormat="1" ht="10.5" hidden="1" customHeight="1">
      <c r="A547" s="3601"/>
      <c r="B547" s="2147" t="s">
        <v>124</v>
      </c>
      <c r="C547" s="3612"/>
      <c r="D547" s="325">
        <f>SUM(M547:T547)</f>
        <v>0</v>
      </c>
      <c r="E547" s="2142"/>
      <c r="F547" s="2142"/>
      <c r="G547" s="2142"/>
      <c r="H547" s="2142"/>
      <c r="I547" s="2148"/>
      <c r="J547" s="2149"/>
      <c r="K547" s="2150"/>
      <c r="L547" s="2142">
        <v>0</v>
      </c>
      <c r="M547" s="387">
        <f>+E547+I547+J547+K547+L547</f>
        <v>0</v>
      </c>
      <c r="N547" s="2146"/>
      <c r="O547" s="2142"/>
      <c r="P547" s="2142"/>
      <c r="Q547" s="2142"/>
      <c r="R547" s="2142"/>
      <c r="S547" s="2142"/>
      <c r="T547" s="2142"/>
      <c r="U547" s="2142"/>
      <c r="V547" s="2142"/>
      <c r="W547" s="2142"/>
      <c r="X547" s="3606"/>
      <c r="Y547" s="3618"/>
    </row>
    <row r="548" spans="1:29" s="353" customFormat="1" hidden="1">
      <c r="A548" s="3601"/>
      <c r="B548" s="1182" t="s">
        <v>122</v>
      </c>
      <c r="C548" s="3612"/>
      <c r="D548" s="2047">
        <f>M548+O548+P548+Q548+R548+S548+T548+U548+V548+W548</f>
        <v>0</v>
      </c>
      <c r="E548" s="2151">
        <v>0</v>
      </c>
      <c r="F548" s="2145"/>
      <c r="G548" s="2151"/>
      <c r="H548" s="2151"/>
      <c r="I548" s="147">
        <f>8238536-8238536</f>
        <v>0</v>
      </c>
      <c r="J548" s="176"/>
      <c r="K548" s="176"/>
      <c r="L548" s="1293"/>
      <c r="M548" s="387">
        <f>+E548+I548+J548+K548+L548+N548</f>
        <v>0</v>
      </c>
      <c r="N548" s="1295">
        <f>6250000-6250000</f>
        <v>0</v>
      </c>
      <c r="O548" s="1293">
        <f>6250000-6250000</f>
        <v>0</v>
      </c>
      <c r="P548" s="1293">
        <v>0</v>
      </c>
      <c r="Q548" s="1293">
        <v>0</v>
      </c>
      <c r="R548" s="1293">
        <v>0</v>
      </c>
      <c r="S548" s="1293">
        <v>0</v>
      </c>
      <c r="T548" s="1293">
        <v>0</v>
      </c>
      <c r="U548" s="1293"/>
      <c r="V548" s="1293"/>
      <c r="W548" s="1293"/>
      <c r="X548" s="3606"/>
      <c r="Y548" s="3618"/>
      <c r="Z548" s="2096"/>
    </row>
    <row r="549" spans="1:29" s="2141" customFormat="1" hidden="1">
      <c r="A549" s="3601"/>
      <c r="B549" s="2152" t="s">
        <v>29</v>
      </c>
      <c r="C549" s="3612"/>
      <c r="D549" s="65">
        <f>+D550+D551+D552</f>
        <v>0</v>
      </c>
      <c r="E549" s="1912">
        <f>+E551</f>
        <v>0</v>
      </c>
      <c r="F549" s="1912">
        <f t="shared" ref="F549:K549" si="322">+F551</f>
        <v>0</v>
      </c>
      <c r="G549" s="1912">
        <f t="shared" si="322"/>
        <v>0</v>
      </c>
      <c r="H549" s="1912">
        <f t="shared" si="322"/>
        <v>0</v>
      </c>
      <c r="I549" s="1912">
        <f t="shared" si="322"/>
        <v>0</v>
      </c>
      <c r="J549" s="1912">
        <f t="shared" si="322"/>
        <v>0</v>
      </c>
      <c r="K549" s="1912">
        <f t="shared" si="322"/>
        <v>0</v>
      </c>
      <c r="L549" s="1912">
        <f>+L550+L551+L552</f>
        <v>0</v>
      </c>
      <c r="M549" s="1912">
        <f>+M550+M551+M552</f>
        <v>0</v>
      </c>
      <c r="N549" s="1912">
        <f>+N550+N551+N552</f>
        <v>0</v>
      </c>
      <c r="O549" s="1912">
        <f>+O550+O551+O552</f>
        <v>0</v>
      </c>
      <c r="P549" s="1912">
        <f>+P550+P551+P552</f>
        <v>0</v>
      </c>
      <c r="Q549" s="1912">
        <f>+Q551</f>
        <v>0</v>
      </c>
      <c r="R549" s="1912">
        <f>+R551</f>
        <v>0</v>
      </c>
      <c r="S549" s="1912">
        <f>+S551</f>
        <v>0</v>
      </c>
      <c r="T549" s="1912">
        <f>+T551</f>
        <v>0</v>
      </c>
      <c r="U549" s="1912"/>
      <c r="V549" s="1912"/>
      <c r="W549" s="1912"/>
      <c r="X549" s="3606"/>
      <c r="Y549" s="3618"/>
    </row>
    <row r="550" spans="1:29" s="2141" customFormat="1" ht="10.5" hidden="1" customHeight="1">
      <c r="A550" s="3601"/>
      <c r="B550" s="2147" t="s">
        <v>124</v>
      </c>
      <c r="C550" s="3612"/>
      <c r="D550" s="67">
        <f>+E550+I550+J550+K550+L550+N550+O550+P550</f>
        <v>0</v>
      </c>
      <c r="E550" s="1912"/>
      <c r="F550" s="1907"/>
      <c r="G550" s="1912"/>
      <c r="H550" s="1912"/>
      <c r="I550" s="1912"/>
      <c r="J550" s="1912"/>
      <c r="K550" s="1912"/>
      <c r="L550" s="2151">
        <v>0</v>
      </c>
      <c r="M550" s="2153"/>
      <c r="N550" s="2154"/>
      <c r="O550" s="2155"/>
      <c r="P550" s="2155"/>
      <c r="Q550" s="2155"/>
      <c r="R550" s="2155"/>
      <c r="S550" s="2155"/>
      <c r="T550" s="2155"/>
      <c r="U550" s="2155"/>
      <c r="V550" s="2155"/>
      <c r="W550" s="2155"/>
      <c r="X550" s="3606"/>
      <c r="Y550" s="3618"/>
    </row>
    <row r="551" spans="1:29" s="353" customFormat="1" hidden="1">
      <c r="A551" s="3601"/>
      <c r="B551" s="811" t="s">
        <v>32</v>
      </c>
      <c r="C551" s="3612"/>
      <c r="D551" s="325">
        <f>M551+O551+P551+Q551+R551+S551+T551+U551+V551+W551</f>
        <v>0</v>
      </c>
      <c r="E551" s="2151">
        <v>0</v>
      </c>
      <c r="F551" s="2145"/>
      <c r="G551" s="2151"/>
      <c r="H551" s="2151"/>
      <c r="I551" s="1293">
        <v>0</v>
      </c>
      <c r="J551" s="1293">
        <v>0</v>
      </c>
      <c r="K551" s="1293">
        <v>0</v>
      </c>
      <c r="L551" s="1293"/>
      <c r="M551" s="387">
        <f>+E551+I551+J551+K551+L551+N551</f>
        <v>0</v>
      </c>
      <c r="N551" s="1300"/>
      <c r="O551" s="1301"/>
      <c r="P551" s="1301"/>
      <c r="Q551" s="1301">
        <v>0</v>
      </c>
      <c r="R551" s="1301">
        <v>0</v>
      </c>
      <c r="S551" s="1301">
        <v>0</v>
      </c>
      <c r="T551" s="1301">
        <v>0</v>
      </c>
      <c r="U551" s="1301"/>
      <c r="V551" s="1301"/>
      <c r="W551" s="1301"/>
      <c r="X551" s="3606"/>
      <c r="Y551" s="3618"/>
      <c r="Z551" s="2096"/>
    </row>
    <row r="552" spans="1:29" s="353" customFormat="1" ht="11.25" hidden="1" customHeight="1" thickBot="1">
      <c r="A552" s="3602"/>
      <c r="B552" s="93" t="s">
        <v>93</v>
      </c>
      <c r="C552" s="3613"/>
      <c r="D552" s="325">
        <f>M552+O552+P552+Q552+R552+S552+T552+U552+V552+W552</f>
        <v>0</v>
      </c>
      <c r="E552" s="2156">
        <v>0</v>
      </c>
      <c r="F552" s="2157"/>
      <c r="G552" s="2156"/>
      <c r="H552" s="2156"/>
      <c r="I552" s="151">
        <v>0</v>
      </c>
      <c r="J552" s="151">
        <v>0</v>
      </c>
      <c r="K552" s="151">
        <v>0</v>
      </c>
      <c r="L552" s="151">
        <f>1023120-1023120</f>
        <v>0</v>
      </c>
      <c r="M552" s="70">
        <f>L552+E552+I552+J552+K552</f>
        <v>0</v>
      </c>
      <c r="N552" s="1302">
        <v>0</v>
      </c>
      <c r="O552" s="1303">
        <v>0</v>
      </c>
      <c r="P552" s="1303">
        <v>0</v>
      </c>
      <c r="Q552" s="1303">
        <v>0</v>
      </c>
      <c r="R552" s="1303">
        <v>0</v>
      </c>
      <c r="S552" s="1304">
        <v>0</v>
      </c>
      <c r="T552" s="224">
        <v>0</v>
      </c>
      <c r="U552" s="224"/>
      <c r="V552" s="224"/>
      <c r="W552" s="224"/>
      <c r="X552" s="3607"/>
      <c r="Y552" s="3190"/>
    </row>
    <row r="553" spans="1:29" hidden="1">
      <c r="A553" s="3600"/>
      <c r="B553" s="382"/>
      <c r="C553" s="73" t="s">
        <v>125</v>
      </c>
      <c r="D553" s="2069"/>
      <c r="E553" s="121"/>
      <c r="F553" s="122"/>
      <c r="G553" s="121"/>
      <c r="H553" s="121"/>
      <c r="I553" s="121"/>
      <c r="J553" s="121"/>
      <c r="K553" s="121"/>
      <c r="L553" s="121"/>
      <c r="M553" s="121"/>
      <c r="N553" s="121"/>
      <c r="O553" s="121"/>
      <c r="P553" s="123"/>
      <c r="Q553" s="123"/>
      <c r="R553" s="123"/>
      <c r="S553" s="123"/>
      <c r="T553" s="123"/>
      <c r="U553" s="123"/>
      <c r="V553" s="123"/>
      <c r="W553" s="123"/>
      <c r="X553" s="53"/>
      <c r="Y553" s="3597" t="s">
        <v>118</v>
      </c>
      <c r="AC553" s="2057"/>
    </row>
    <row r="554" spans="1:29" ht="14.25" hidden="1" customHeight="1">
      <c r="A554" s="3601"/>
      <c r="B554" s="25" t="s">
        <v>21</v>
      </c>
      <c r="C554" s="26"/>
      <c r="D554" s="78">
        <f t="shared" ref="D554:P554" si="323">+D555+D557</f>
        <v>0</v>
      </c>
      <c r="E554" s="78">
        <f t="shared" si="323"/>
        <v>0</v>
      </c>
      <c r="F554" s="78">
        <f t="shared" si="323"/>
        <v>0</v>
      </c>
      <c r="G554" s="78">
        <f t="shared" si="323"/>
        <v>0</v>
      </c>
      <c r="H554" s="78">
        <f t="shared" si="323"/>
        <v>0</v>
      </c>
      <c r="I554" s="78">
        <f t="shared" si="323"/>
        <v>0</v>
      </c>
      <c r="J554" s="78">
        <f t="shared" si="323"/>
        <v>0</v>
      </c>
      <c r="K554" s="78">
        <f t="shared" si="323"/>
        <v>0</v>
      </c>
      <c r="L554" s="78">
        <f t="shared" si="323"/>
        <v>0</v>
      </c>
      <c r="M554" s="78">
        <f>+M555+M557</f>
        <v>0</v>
      </c>
      <c r="N554" s="78">
        <f t="shared" si="323"/>
        <v>0</v>
      </c>
      <c r="O554" s="78">
        <f t="shared" si="323"/>
        <v>0</v>
      </c>
      <c r="P554" s="78">
        <f t="shared" si="323"/>
        <v>0</v>
      </c>
      <c r="Q554" s="78"/>
      <c r="R554" s="78"/>
      <c r="S554" s="79"/>
      <c r="T554" s="78"/>
      <c r="U554" s="78"/>
      <c r="V554" s="78"/>
      <c r="W554" s="78"/>
      <c r="X554" s="80">
        <f>+X555+X557</f>
        <v>0</v>
      </c>
      <c r="Y554" s="3598"/>
      <c r="Z554" s="864">
        <f>+O554+P554+Q554+R554</f>
        <v>0</v>
      </c>
      <c r="AA554" s="864"/>
      <c r="AB554" s="864"/>
      <c r="AC554" s="864"/>
    </row>
    <row r="555" spans="1:29" ht="14.25" hidden="1" customHeight="1">
      <c r="A555" s="3601"/>
      <c r="B555" s="217" t="s">
        <v>35</v>
      </c>
      <c r="C555" s="3624" t="s">
        <v>114</v>
      </c>
      <c r="D555" s="81">
        <f>+D556</f>
        <v>0</v>
      </c>
      <c r="E555" s="81">
        <f t="shared" ref="E555:P555" si="324">+E556</f>
        <v>0</v>
      </c>
      <c r="F555" s="81">
        <f t="shared" si="324"/>
        <v>0</v>
      </c>
      <c r="G555" s="81">
        <f t="shared" si="324"/>
        <v>0</v>
      </c>
      <c r="H555" s="81">
        <f t="shared" si="324"/>
        <v>0</v>
      </c>
      <c r="I555" s="81">
        <f t="shared" si="324"/>
        <v>0</v>
      </c>
      <c r="J555" s="81">
        <f t="shared" si="324"/>
        <v>0</v>
      </c>
      <c r="K555" s="81">
        <f t="shared" si="324"/>
        <v>0</v>
      </c>
      <c r="L555" s="81">
        <f t="shared" si="324"/>
        <v>0</v>
      </c>
      <c r="M555" s="81">
        <f t="shared" si="324"/>
        <v>0</v>
      </c>
      <c r="N555" s="81">
        <f t="shared" si="324"/>
        <v>0</v>
      </c>
      <c r="O555" s="81">
        <f t="shared" si="324"/>
        <v>0</v>
      </c>
      <c r="P555" s="81">
        <f t="shared" si="324"/>
        <v>0</v>
      </c>
      <c r="Q555" s="81"/>
      <c r="R555" s="81"/>
      <c r="S555" s="126"/>
      <c r="T555" s="81"/>
      <c r="U555" s="81"/>
      <c r="V555" s="81"/>
      <c r="W555" s="81"/>
      <c r="X555" s="99">
        <f>+X556</f>
        <v>0</v>
      </c>
      <c r="Y555" s="3598"/>
      <c r="Z555" s="864"/>
    </row>
    <row r="556" spans="1:29" hidden="1">
      <c r="A556" s="3601"/>
      <c r="B556" s="727" t="s">
        <v>23</v>
      </c>
      <c r="C556" s="3625"/>
      <c r="D556" s="325">
        <f>M556+O556+P556+Q556+R556+S556+T556+U556+V556+W556</f>
        <v>0</v>
      </c>
      <c r="E556" s="92">
        <f>+F556+G556+H556</f>
        <v>0</v>
      </c>
      <c r="F556" s="110">
        <v>0</v>
      </c>
      <c r="G556" s="92">
        <v>0</v>
      </c>
      <c r="H556" s="92">
        <v>0</v>
      </c>
      <c r="I556" s="92">
        <f>140382-140382</f>
        <v>0</v>
      </c>
      <c r="J556" s="112"/>
      <c r="K556" s="92"/>
      <c r="L556" s="92"/>
      <c r="M556" s="387">
        <f>+E556+I556+J556+K556+L556+N556</f>
        <v>0</v>
      </c>
      <c r="N556" s="110"/>
      <c r="O556" s="110"/>
      <c r="P556" s="60">
        <v>0</v>
      </c>
      <c r="Q556" s="60"/>
      <c r="R556" s="60"/>
      <c r="S556" s="59"/>
      <c r="T556" s="60"/>
      <c r="U556" s="60"/>
      <c r="V556" s="60"/>
      <c r="W556" s="60"/>
      <c r="X556" s="44">
        <f>SUM(P556:T556)</f>
        <v>0</v>
      </c>
      <c r="Y556" s="3598"/>
    </row>
    <row r="557" spans="1:29" ht="14.25" hidden="1" customHeight="1">
      <c r="A557" s="3601"/>
      <c r="B557" s="885" t="s">
        <v>29</v>
      </c>
      <c r="C557" s="3625"/>
      <c r="D557" s="61">
        <f>+D558</f>
        <v>0</v>
      </c>
      <c r="E557" s="61">
        <f t="shared" ref="E557:P557" si="325">+E558</f>
        <v>0</v>
      </c>
      <c r="F557" s="61">
        <f t="shared" si="325"/>
        <v>0</v>
      </c>
      <c r="G557" s="61">
        <f t="shared" si="325"/>
        <v>0</v>
      </c>
      <c r="H557" s="61">
        <f t="shared" si="325"/>
        <v>0</v>
      </c>
      <c r="I557" s="61">
        <f t="shared" si="325"/>
        <v>0</v>
      </c>
      <c r="J557" s="61">
        <f t="shared" si="325"/>
        <v>0</v>
      </c>
      <c r="K557" s="61">
        <f t="shared" si="325"/>
        <v>0</v>
      </c>
      <c r="L557" s="61">
        <f t="shared" si="325"/>
        <v>0</v>
      </c>
      <c r="M557" s="61">
        <f t="shared" si="325"/>
        <v>0</v>
      </c>
      <c r="N557" s="61">
        <f t="shared" si="325"/>
        <v>0</v>
      </c>
      <c r="O557" s="61">
        <f t="shared" si="325"/>
        <v>0</v>
      </c>
      <c r="P557" s="61">
        <f t="shared" si="325"/>
        <v>0</v>
      </c>
      <c r="Q557" s="61"/>
      <c r="R557" s="61"/>
      <c r="S557" s="62"/>
      <c r="T557" s="61"/>
      <c r="U557" s="61"/>
      <c r="V557" s="61"/>
      <c r="W557" s="61"/>
      <c r="X557" s="99">
        <f>+X558</f>
        <v>0</v>
      </c>
      <c r="Y557" s="3598"/>
    </row>
    <row r="558" spans="1:29" hidden="1">
      <c r="A558" s="3601"/>
      <c r="B558" s="2085" t="s">
        <v>32</v>
      </c>
      <c r="C558" s="3625"/>
      <c r="D558" s="325">
        <f>M558+O558+P558+Q558+R558+S558+T558+U558+V558+W558</f>
        <v>0</v>
      </c>
      <c r="E558" s="59">
        <f>+F558+G558+H558</f>
        <v>0</v>
      </c>
      <c r="F558" s="60">
        <v>0</v>
      </c>
      <c r="G558" s="60">
        <v>0</v>
      </c>
      <c r="H558" s="59">
        <v>0</v>
      </c>
      <c r="I558" s="59">
        <f>163508-163508</f>
        <v>0</v>
      </c>
      <c r="J558" s="59"/>
      <c r="K558" s="59"/>
      <c r="L558" s="59">
        <v>0</v>
      </c>
      <c r="M558" s="387">
        <f>+E558+I558+J558+K558+L558+N558</f>
        <v>0</v>
      </c>
      <c r="N558" s="59"/>
      <c r="O558" s="59"/>
      <c r="P558" s="60">
        <v>0</v>
      </c>
      <c r="Q558" s="60"/>
      <c r="R558" s="60"/>
      <c r="S558" s="59"/>
      <c r="T558" s="60"/>
      <c r="U558" s="60"/>
      <c r="V558" s="60"/>
      <c r="W558" s="60"/>
      <c r="X558" s="44">
        <f>SUM(P558:T558)</f>
        <v>0</v>
      </c>
      <c r="Y558" s="3598"/>
    </row>
    <row r="559" spans="1:29" ht="14.25" hidden="1" customHeight="1">
      <c r="A559" s="3637"/>
      <c r="B559" s="25" t="s">
        <v>33</v>
      </c>
      <c r="C559" s="26"/>
      <c r="D559" s="258">
        <f>+D560</f>
        <v>0</v>
      </c>
      <c r="E559" s="258">
        <f t="shared" ref="E559:P560" si="326">+E560</f>
        <v>0</v>
      </c>
      <c r="F559" s="258">
        <f t="shared" si="326"/>
        <v>0</v>
      </c>
      <c r="G559" s="258">
        <f t="shared" si="326"/>
        <v>0</v>
      </c>
      <c r="H559" s="258">
        <f t="shared" si="326"/>
        <v>0</v>
      </c>
      <c r="I559" s="258">
        <f t="shared" si="326"/>
        <v>0</v>
      </c>
      <c r="J559" s="258">
        <f t="shared" si="326"/>
        <v>0</v>
      </c>
      <c r="K559" s="258">
        <f t="shared" si="326"/>
        <v>0</v>
      </c>
      <c r="L559" s="258">
        <f t="shared" si="326"/>
        <v>0</v>
      </c>
      <c r="M559" s="258">
        <f t="shared" si="326"/>
        <v>0</v>
      </c>
      <c r="N559" s="258">
        <f t="shared" si="326"/>
        <v>0</v>
      </c>
      <c r="O559" s="258">
        <f t="shared" si="326"/>
        <v>0</v>
      </c>
      <c r="P559" s="258">
        <f t="shared" si="326"/>
        <v>0</v>
      </c>
      <c r="Q559" s="258"/>
      <c r="R559" s="258"/>
      <c r="S559" s="259"/>
      <c r="T559" s="258"/>
      <c r="U559" s="258"/>
      <c r="V559" s="258"/>
      <c r="W559" s="258"/>
      <c r="X559" s="3667" t="s">
        <v>34</v>
      </c>
      <c r="Y559" s="3622"/>
      <c r="Z559" s="864"/>
    </row>
    <row r="560" spans="1:29" s="353" customFormat="1" ht="14.25" hidden="1" customHeight="1">
      <c r="A560" s="3637"/>
      <c r="B560" s="885" t="s">
        <v>29</v>
      </c>
      <c r="C560" s="3624" t="s">
        <v>114</v>
      </c>
      <c r="D560" s="1907">
        <f>+D561</f>
        <v>0</v>
      </c>
      <c r="E560" s="1907">
        <f t="shared" si="326"/>
        <v>0</v>
      </c>
      <c r="F560" s="1907">
        <f t="shared" si="326"/>
        <v>0</v>
      </c>
      <c r="G560" s="1907">
        <f t="shared" si="326"/>
        <v>0</v>
      </c>
      <c r="H560" s="1907">
        <f t="shared" si="326"/>
        <v>0</v>
      </c>
      <c r="I560" s="1907">
        <f t="shared" si="326"/>
        <v>0</v>
      </c>
      <c r="J560" s="1907">
        <f t="shared" si="326"/>
        <v>0</v>
      </c>
      <c r="K560" s="1907">
        <f t="shared" si="326"/>
        <v>0</v>
      </c>
      <c r="L560" s="1907">
        <f t="shared" si="326"/>
        <v>0</v>
      </c>
      <c r="M560" s="1907">
        <f t="shared" si="326"/>
        <v>0</v>
      </c>
      <c r="N560" s="2053">
        <f t="shared" si="326"/>
        <v>0</v>
      </c>
      <c r="O560" s="2053">
        <f t="shared" si="326"/>
        <v>0</v>
      </c>
      <c r="P560" s="1907">
        <f t="shared" si="326"/>
        <v>0</v>
      </c>
      <c r="Q560" s="1907"/>
      <c r="R560" s="1907"/>
      <c r="S560" s="1912"/>
      <c r="T560" s="1907"/>
      <c r="U560" s="1907"/>
      <c r="V560" s="1907"/>
      <c r="W560" s="1907"/>
      <c r="X560" s="3635"/>
      <c r="Y560" s="3622"/>
    </row>
    <row r="561" spans="1:29" s="353" customFormat="1" ht="14.25" hidden="1" customHeight="1" thickBot="1">
      <c r="A561" s="3638"/>
      <c r="B561" s="68" t="s">
        <v>32</v>
      </c>
      <c r="C561" s="3626"/>
      <c r="D561" s="2077">
        <f>M561+O561+P561+Q561+R561+S561+T561+U561+V561+W561</f>
        <v>0</v>
      </c>
      <c r="E561" s="936">
        <f>+F561+G561+H561</f>
        <v>0</v>
      </c>
      <c r="F561" s="937">
        <v>0</v>
      </c>
      <c r="G561" s="936">
        <v>0</v>
      </c>
      <c r="H561" s="936">
        <v>0</v>
      </c>
      <c r="I561" s="936">
        <v>0</v>
      </c>
      <c r="J561" s="936">
        <v>0</v>
      </c>
      <c r="K561" s="936"/>
      <c r="L561" s="936">
        <v>0</v>
      </c>
      <c r="M561" s="2077">
        <f>+E561+I561+J561+K561+L561+N561</f>
        <v>0</v>
      </c>
      <c r="N561" s="938"/>
      <c r="O561" s="938"/>
      <c r="P561" s="940"/>
      <c r="Q561" s="940"/>
      <c r="R561" s="940"/>
      <c r="S561" s="940"/>
      <c r="T561" s="940"/>
      <c r="U561" s="940"/>
      <c r="V561" s="940"/>
      <c r="W561" s="940"/>
      <c r="X561" s="3636"/>
      <c r="Y561" s="3623"/>
    </row>
    <row r="562" spans="1:29" ht="27.75" hidden="1" customHeight="1">
      <c r="A562" s="3768" t="s">
        <v>346</v>
      </c>
      <c r="B562" s="275" t="s">
        <v>295</v>
      </c>
      <c r="C562" s="2158"/>
      <c r="D562" s="2123"/>
      <c r="E562" s="2123"/>
      <c r="F562" s="2123"/>
      <c r="G562" s="2123"/>
      <c r="H562" s="2123"/>
      <c r="I562" s="2123"/>
      <c r="J562" s="2123"/>
      <c r="K562" s="2123"/>
      <c r="L562" s="2124"/>
      <c r="M562" s="2124"/>
      <c r="N562" s="2124"/>
      <c r="O562" s="2124"/>
      <c r="P562" s="2124"/>
      <c r="Q562" s="2124"/>
      <c r="R562" s="2124"/>
      <c r="S562" s="2124"/>
      <c r="T562" s="2124"/>
      <c r="U562" s="2124"/>
      <c r="V562" s="2124"/>
      <c r="W562" s="2124"/>
      <c r="X562" s="416"/>
      <c r="Y562" s="3738"/>
    </row>
    <row r="563" spans="1:29" ht="14.25" hidden="1" customHeight="1">
      <c r="A563" s="3769"/>
      <c r="B563" s="25" t="s">
        <v>21</v>
      </c>
      <c r="C563" s="178"/>
      <c r="D563" s="170">
        <f>+D564+D566</f>
        <v>0</v>
      </c>
      <c r="E563" s="170"/>
      <c r="F563" s="170"/>
      <c r="G563" s="170"/>
      <c r="H563" s="170"/>
      <c r="I563" s="170"/>
      <c r="J563" s="170"/>
      <c r="K563" s="170"/>
      <c r="L563" s="170"/>
      <c r="M563" s="170">
        <f t="shared" ref="M563:X563" si="327">+M564+M566</f>
        <v>0</v>
      </c>
      <c r="N563" s="170">
        <f t="shared" si="327"/>
        <v>0</v>
      </c>
      <c r="O563" s="170">
        <f t="shared" si="327"/>
        <v>0</v>
      </c>
      <c r="P563" s="170">
        <f t="shared" si="327"/>
        <v>0</v>
      </c>
      <c r="Q563" s="170">
        <f t="shared" si="327"/>
        <v>0</v>
      </c>
      <c r="R563" s="170">
        <f t="shared" si="327"/>
        <v>0</v>
      </c>
      <c r="S563" s="170">
        <f t="shared" si="327"/>
        <v>0</v>
      </c>
      <c r="T563" s="170">
        <f t="shared" si="327"/>
        <v>0</v>
      </c>
      <c r="U563" s="170">
        <f t="shared" si="327"/>
        <v>0</v>
      </c>
      <c r="V563" s="170">
        <f t="shared" si="327"/>
        <v>0</v>
      </c>
      <c r="W563" s="170">
        <f t="shared" si="327"/>
        <v>0</v>
      </c>
      <c r="X563" s="80">
        <f t="shared" si="327"/>
        <v>0</v>
      </c>
      <c r="Y563" s="3739"/>
      <c r="Z563" s="864">
        <f>+O563+P563+Q563+R563</f>
        <v>0</v>
      </c>
    </row>
    <row r="564" spans="1:29" ht="13.5" hidden="1" customHeight="1">
      <c r="A564" s="3769"/>
      <c r="B564" s="2159" t="s">
        <v>35</v>
      </c>
      <c r="C564" s="179"/>
      <c r="D564" s="160">
        <f>+D565</f>
        <v>0</v>
      </c>
      <c r="E564" s="160"/>
      <c r="F564" s="160"/>
      <c r="G564" s="160"/>
      <c r="H564" s="160"/>
      <c r="I564" s="160"/>
      <c r="J564" s="160"/>
      <c r="K564" s="160"/>
      <c r="L564" s="160"/>
      <c r="M564" s="160">
        <f t="shared" ref="M564:X564" si="328">+M565</f>
        <v>0</v>
      </c>
      <c r="N564" s="160">
        <f t="shared" si="328"/>
        <v>0</v>
      </c>
      <c r="O564" s="160">
        <f t="shared" si="328"/>
        <v>0</v>
      </c>
      <c r="P564" s="160">
        <f t="shared" si="328"/>
        <v>0</v>
      </c>
      <c r="Q564" s="160">
        <f t="shared" si="328"/>
        <v>0</v>
      </c>
      <c r="R564" s="160">
        <f t="shared" si="328"/>
        <v>0</v>
      </c>
      <c r="S564" s="160">
        <f t="shared" si="328"/>
        <v>0</v>
      </c>
      <c r="T564" s="160">
        <f t="shared" si="328"/>
        <v>0</v>
      </c>
      <c r="U564" s="160">
        <f t="shared" si="328"/>
        <v>0</v>
      </c>
      <c r="V564" s="160">
        <f t="shared" si="328"/>
        <v>0</v>
      </c>
      <c r="W564" s="160">
        <f t="shared" si="328"/>
        <v>0</v>
      </c>
      <c r="X564" s="82">
        <f t="shared" si="328"/>
        <v>0</v>
      </c>
      <c r="Y564" s="3739"/>
    </row>
    <row r="565" spans="1:29" hidden="1">
      <c r="A565" s="3769"/>
      <c r="B565" s="351" t="s">
        <v>23</v>
      </c>
      <c r="C565" s="180"/>
      <c r="D565" s="43">
        <f>+D574</f>
        <v>0</v>
      </c>
      <c r="E565" s="43"/>
      <c r="F565" s="43"/>
      <c r="G565" s="43"/>
      <c r="H565" s="43"/>
      <c r="I565" s="43"/>
      <c r="J565" s="43"/>
      <c r="K565" s="43"/>
      <c r="L565" s="43"/>
      <c r="M565" s="43">
        <f>+M574</f>
        <v>0</v>
      </c>
      <c r="N565" s="43">
        <f t="shared" ref="N565:T565" si="329">+N574</f>
        <v>0</v>
      </c>
      <c r="O565" s="43">
        <f t="shared" si="329"/>
        <v>0</v>
      </c>
      <c r="P565" s="43">
        <f t="shared" si="329"/>
        <v>0</v>
      </c>
      <c r="Q565" s="43">
        <f t="shared" si="329"/>
        <v>0</v>
      </c>
      <c r="R565" s="43">
        <f t="shared" si="329"/>
        <v>0</v>
      </c>
      <c r="S565" s="43">
        <f t="shared" si="329"/>
        <v>0</v>
      </c>
      <c r="T565" s="43">
        <f t="shared" si="329"/>
        <v>0</v>
      </c>
      <c r="U565" s="43">
        <f>+U574</f>
        <v>0</v>
      </c>
      <c r="V565" s="43">
        <f>+V574</f>
        <v>0</v>
      </c>
      <c r="W565" s="43">
        <f>+W574</f>
        <v>0</v>
      </c>
      <c r="X565" s="44">
        <f>SUM(P565:T565)</f>
        <v>0</v>
      </c>
      <c r="Y565" s="3739"/>
    </row>
    <row r="566" spans="1:29" ht="14.25" hidden="1" customHeight="1">
      <c r="A566" s="3769"/>
      <c r="B566" s="2160" t="s">
        <v>29</v>
      </c>
      <c r="C566" s="181"/>
      <c r="D566" s="41">
        <f>+D567</f>
        <v>0</v>
      </c>
      <c r="E566" s="41"/>
      <c r="F566" s="41"/>
      <c r="G566" s="41"/>
      <c r="H566" s="41"/>
      <c r="I566" s="41"/>
      <c r="J566" s="41"/>
      <c r="K566" s="41"/>
      <c r="L566" s="41"/>
      <c r="M566" s="41">
        <f t="shared" ref="M566:X566" si="330">+M567</f>
        <v>0</v>
      </c>
      <c r="N566" s="41">
        <f t="shared" si="330"/>
        <v>0</v>
      </c>
      <c r="O566" s="41">
        <f t="shared" si="330"/>
        <v>0</v>
      </c>
      <c r="P566" s="41">
        <f t="shared" si="330"/>
        <v>0</v>
      </c>
      <c r="Q566" s="41">
        <f t="shared" si="330"/>
        <v>0</v>
      </c>
      <c r="R566" s="41">
        <f t="shared" si="330"/>
        <v>0</v>
      </c>
      <c r="S566" s="41">
        <f t="shared" si="330"/>
        <v>0</v>
      </c>
      <c r="T566" s="41">
        <f t="shared" si="330"/>
        <v>0</v>
      </c>
      <c r="U566" s="41">
        <f t="shared" si="330"/>
        <v>0</v>
      </c>
      <c r="V566" s="41">
        <f t="shared" si="330"/>
        <v>0</v>
      </c>
      <c r="W566" s="41">
        <f t="shared" si="330"/>
        <v>0</v>
      </c>
      <c r="X566" s="82">
        <f t="shared" si="330"/>
        <v>0</v>
      </c>
      <c r="Y566" s="3739"/>
    </row>
    <row r="567" spans="1:29" ht="11.25" hidden="1" customHeight="1">
      <c r="A567" s="3769"/>
      <c r="B567" s="352" t="s">
        <v>31</v>
      </c>
      <c r="C567" s="180"/>
      <c r="D567" s="43">
        <f>+D576</f>
        <v>0</v>
      </c>
      <c r="E567" s="43"/>
      <c r="F567" s="43"/>
      <c r="G567" s="43"/>
      <c r="H567" s="43"/>
      <c r="I567" s="43"/>
      <c r="J567" s="43"/>
      <c r="K567" s="43"/>
      <c r="L567" s="43"/>
      <c r="M567" s="43">
        <f t="shared" ref="M567:T567" si="331">+M576</f>
        <v>0</v>
      </c>
      <c r="N567" s="43">
        <f t="shared" si="331"/>
        <v>0</v>
      </c>
      <c r="O567" s="43">
        <f t="shared" si="331"/>
        <v>0</v>
      </c>
      <c r="P567" s="43">
        <f t="shared" si="331"/>
        <v>0</v>
      </c>
      <c r="Q567" s="43">
        <f t="shared" si="331"/>
        <v>0</v>
      </c>
      <c r="R567" s="43">
        <f t="shared" si="331"/>
        <v>0</v>
      </c>
      <c r="S567" s="43">
        <f t="shared" si="331"/>
        <v>0</v>
      </c>
      <c r="T567" s="43">
        <f t="shared" si="331"/>
        <v>0</v>
      </c>
      <c r="U567" s="43">
        <f>+U576</f>
        <v>0</v>
      </c>
      <c r="V567" s="43">
        <f>+V576</f>
        <v>0</v>
      </c>
      <c r="W567" s="43">
        <f>+W576</f>
        <v>0</v>
      </c>
      <c r="X567" s="44">
        <f>SUM(P567:T567)</f>
        <v>0</v>
      </c>
      <c r="Y567" s="3739"/>
    </row>
    <row r="568" spans="1:29" ht="13.5" hidden="1" customHeight="1">
      <c r="A568" s="3769"/>
      <c r="B568" s="25" t="s">
        <v>33</v>
      </c>
      <c r="C568" s="178"/>
      <c r="D568" s="170">
        <f>+D569</f>
        <v>0</v>
      </c>
      <c r="E568" s="170"/>
      <c r="F568" s="170"/>
      <c r="G568" s="170"/>
      <c r="H568" s="170"/>
      <c r="I568" s="170"/>
      <c r="J568" s="170"/>
      <c r="K568" s="170"/>
      <c r="L568" s="170"/>
      <c r="M568" s="170">
        <f>+M569</f>
        <v>0</v>
      </c>
      <c r="N568" s="170">
        <f>+N569</f>
        <v>0</v>
      </c>
      <c r="O568" s="170">
        <f t="shared" ref="O568:W569" si="332">+O569</f>
        <v>0</v>
      </c>
      <c r="P568" s="170">
        <f t="shared" si="332"/>
        <v>0</v>
      </c>
      <c r="Q568" s="170">
        <f t="shared" si="332"/>
        <v>0</v>
      </c>
      <c r="R568" s="170">
        <f t="shared" si="332"/>
        <v>0</v>
      </c>
      <c r="S568" s="170">
        <f t="shared" si="332"/>
        <v>0</v>
      </c>
      <c r="T568" s="170">
        <f t="shared" si="332"/>
        <v>0</v>
      </c>
      <c r="U568" s="170">
        <f t="shared" si="332"/>
        <v>0</v>
      </c>
      <c r="V568" s="170">
        <f t="shared" si="332"/>
        <v>0</v>
      </c>
      <c r="W568" s="170">
        <f t="shared" si="332"/>
        <v>0</v>
      </c>
      <c r="X568" s="3667" t="s">
        <v>34</v>
      </c>
      <c r="Y568" s="3739"/>
    </row>
    <row r="569" spans="1:29" ht="12" hidden="1" customHeight="1">
      <c r="A569" s="3769"/>
      <c r="B569" s="2161" t="s">
        <v>29</v>
      </c>
      <c r="C569" s="179"/>
      <c r="D569" s="160">
        <f>+D570</f>
        <v>0</v>
      </c>
      <c r="E569" s="160"/>
      <c r="F569" s="160"/>
      <c r="G569" s="160"/>
      <c r="H569" s="160"/>
      <c r="I569" s="160"/>
      <c r="J569" s="160"/>
      <c r="K569" s="160"/>
      <c r="L569" s="160"/>
      <c r="M569" s="160">
        <f>+M570</f>
        <v>0</v>
      </c>
      <c r="N569" s="160">
        <f>+N570</f>
        <v>0</v>
      </c>
      <c r="O569" s="160">
        <f t="shared" si="332"/>
        <v>0</v>
      </c>
      <c r="P569" s="160">
        <f t="shared" si="332"/>
        <v>0</v>
      </c>
      <c r="Q569" s="160">
        <f t="shared" si="332"/>
        <v>0</v>
      </c>
      <c r="R569" s="160">
        <f t="shared" si="332"/>
        <v>0</v>
      </c>
      <c r="S569" s="160">
        <f t="shared" si="332"/>
        <v>0</v>
      </c>
      <c r="T569" s="160">
        <f t="shared" si="332"/>
        <v>0</v>
      </c>
      <c r="U569" s="160">
        <f t="shared" si="332"/>
        <v>0</v>
      </c>
      <c r="V569" s="160">
        <f t="shared" si="332"/>
        <v>0</v>
      </c>
      <c r="W569" s="160">
        <f t="shared" si="332"/>
        <v>0</v>
      </c>
      <c r="X569" s="3635"/>
      <c r="Y569" s="3739"/>
    </row>
    <row r="570" spans="1:29" ht="13.5" hidden="1" customHeight="1" thickBot="1">
      <c r="A570" s="3770"/>
      <c r="B570" s="352" t="s">
        <v>31</v>
      </c>
      <c r="C570" s="180"/>
      <c r="D570" s="43">
        <f>+D579</f>
        <v>0</v>
      </c>
      <c r="E570" s="43"/>
      <c r="F570" s="43"/>
      <c r="G570" s="43"/>
      <c r="H570" s="43"/>
      <c r="I570" s="43"/>
      <c r="J570" s="43"/>
      <c r="K570" s="43"/>
      <c r="L570" s="43"/>
      <c r="M570" s="43">
        <f t="shared" ref="M570:T570" si="333">+M579</f>
        <v>0</v>
      </c>
      <c r="N570" s="43">
        <f t="shared" si="333"/>
        <v>0</v>
      </c>
      <c r="O570" s="43">
        <f t="shared" si="333"/>
        <v>0</v>
      </c>
      <c r="P570" s="43">
        <f t="shared" si="333"/>
        <v>0</v>
      </c>
      <c r="Q570" s="43">
        <f t="shared" si="333"/>
        <v>0</v>
      </c>
      <c r="R570" s="43">
        <f t="shared" si="333"/>
        <v>0</v>
      </c>
      <c r="S570" s="335">
        <f t="shared" si="333"/>
        <v>0</v>
      </c>
      <c r="T570" s="336">
        <f t="shared" si="333"/>
        <v>0</v>
      </c>
      <c r="U570" s="336">
        <f>+U579</f>
        <v>0</v>
      </c>
      <c r="V570" s="336">
        <f>+V579</f>
        <v>0</v>
      </c>
      <c r="W570" s="336">
        <f>+W579</f>
        <v>0</v>
      </c>
      <c r="X570" s="3636"/>
      <c r="Y570" s="3740"/>
    </row>
    <row r="571" spans="1:29" hidden="1">
      <c r="A571" s="3600" t="s">
        <v>363</v>
      </c>
      <c r="B571" s="382"/>
      <c r="C571" s="73" t="s">
        <v>125</v>
      </c>
      <c r="D571" s="2069"/>
      <c r="E571" s="121"/>
      <c r="F571" s="122"/>
      <c r="G571" s="121"/>
      <c r="H571" s="121"/>
      <c r="I571" s="121"/>
      <c r="J571" s="121"/>
      <c r="K571" s="121"/>
      <c r="L571" s="121"/>
      <c r="M571" s="121"/>
      <c r="N571" s="121"/>
      <c r="O571" s="121"/>
      <c r="P571" s="123"/>
      <c r="Q571" s="123"/>
      <c r="R571" s="123"/>
      <c r="S571" s="321"/>
      <c r="T571" s="321"/>
      <c r="U571" s="321"/>
      <c r="V571" s="321"/>
      <c r="W571" s="321"/>
      <c r="X571" s="124"/>
      <c r="Y571" s="3597" t="s">
        <v>126</v>
      </c>
      <c r="AC571" s="2057"/>
    </row>
    <row r="572" spans="1:29" ht="14.25" hidden="1" customHeight="1">
      <c r="A572" s="3601"/>
      <c r="B572" s="25" t="s">
        <v>21</v>
      </c>
      <c r="C572" s="26"/>
      <c r="D572" s="78">
        <f>+D573+D575</f>
        <v>0</v>
      </c>
      <c r="E572" s="78"/>
      <c r="F572" s="78"/>
      <c r="G572" s="78"/>
      <c r="H572" s="78"/>
      <c r="I572" s="78"/>
      <c r="J572" s="78"/>
      <c r="K572" s="78"/>
      <c r="L572" s="78"/>
      <c r="M572" s="78">
        <f t="shared" ref="M572:X572" si="334">+M573+M575</f>
        <v>0</v>
      </c>
      <c r="N572" s="78">
        <f t="shared" si="334"/>
        <v>0</v>
      </c>
      <c r="O572" s="78">
        <f t="shared" si="334"/>
        <v>0</v>
      </c>
      <c r="P572" s="383">
        <f t="shared" si="334"/>
        <v>0</v>
      </c>
      <c r="Q572" s="383">
        <f t="shared" si="334"/>
        <v>0</v>
      </c>
      <c r="R572" s="383">
        <f t="shared" si="334"/>
        <v>0</v>
      </c>
      <c r="S572" s="383">
        <f t="shared" si="334"/>
        <v>0</v>
      </c>
      <c r="T572" s="383">
        <f t="shared" si="334"/>
        <v>0</v>
      </c>
      <c r="U572" s="383">
        <f t="shared" si="334"/>
        <v>0</v>
      </c>
      <c r="V572" s="383">
        <f t="shared" si="334"/>
        <v>0</v>
      </c>
      <c r="W572" s="383">
        <f t="shared" si="334"/>
        <v>0</v>
      </c>
      <c r="X572" s="80">
        <f t="shared" si="334"/>
        <v>0</v>
      </c>
      <c r="Y572" s="3598"/>
      <c r="Z572" s="864">
        <f>+O572+P572+Q572+R572</f>
        <v>0</v>
      </c>
      <c r="AA572" s="864"/>
      <c r="AB572" s="864"/>
      <c r="AC572" s="864"/>
    </row>
    <row r="573" spans="1:29" ht="14.25" hidden="1" customHeight="1">
      <c r="A573" s="3601"/>
      <c r="B573" s="217" t="s">
        <v>35</v>
      </c>
      <c r="C573" s="3624" t="s">
        <v>127</v>
      </c>
      <c r="D573" s="81">
        <f>+D574</f>
        <v>0</v>
      </c>
      <c r="E573" s="81"/>
      <c r="F573" s="81"/>
      <c r="G573" s="81"/>
      <c r="H573" s="81"/>
      <c r="I573" s="81"/>
      <c r="J573" s="81"/>
      <c r="K573" s="81"/>
      <c r="L573" s="81"/>
      <c r="M573" s="81">
        <f t="shared" ref="M573:X573" si="335">+M574</f>
        <v>0</v>
      </c>
      <c r="N573" s="81">
        <f t="shared" si="335"/>
        <v>0</v>
      </c>
      <c r="O573" s="81">
        <f t="shared" si="335"/>
        <v>0</v>
      </c>
      <c r="P573" s="384">
        <f t="shared" si="335"/>
        <v>0</v>
      </c>
      <c r="Q573" s="384">
        <f t="shared" si="335"/>
        <v>0</v>
      </c>
      <c r="R573" s="384">
        <f t="shared" si="335"/>
        <v>0</v>
      </c>
      <c r="S573" s="384">
        <f t="shared" si="335"/>
        <v>0</v>
      </c>
      <c r="T573" s="384">
        <f t="shared" si="335"/>
        <v>0</v>
      </c>
      <c r="U573" s="384">
        <f t="shared" si="335"/>
        <v>0</v>
      </c>
      <c r="V573" s="384">
        <f t="shared" si="335"/>
        <v>0</v>
      </c>
      <c r="W573" s="384">
        <f t="shared" si="335"/>
        <v>0</v>
      </c>
      <c r="X573" s="99">
        <f t="shared" si="335"/>
        <v>0</v>
      </c>
      <c r="Y573" s="3598"/>
      <c r="Z573" s="864"/>
    </row>
    <row r="574" spans="1:29" ht="14.25" hidden="1" customHeight="1">
      <c r="A574" s="3601"/>
      <c r="B574" s="727" t="s">
        <v>23</v>
      </c>
      <c r="C574" s="3625"/>
      <c r="D574" s="325">
        <f>M574+O574+P574+Q574+R574+S574+T574+U574+V574+W574</f>
        <v>0</v>
      </c>
      <c r="E574" s="59"/>
      <c r="F574" s="60"/>
      <c r="G574" s="59"/>
      <c r="H574" s="59"/>
      <c r="I574" s="59"/>
      <c r="J574" s="112"/>
      <c r="K574" s="92"/>
      <c r="L574" s="59"/>
      <c r="M574" s="387">
        <f>+E574+I574+J574+K574+L574+N574</f>
        <v>0</v>
      </c>
      <c r="N574" s="60">
        <f>4240-4240</f>
        <v>0</v>
      </c>
      <c r="O574" s="60">
        <v>0</v>
      </c>
      <c r="P574" s="709">
        <v>0</v>
      </c>
      <c r="Q574" s="709">
        <v>0</v>
      </c>
      <c r="R574" s="709">
        <v>0</v>
      </c>
      <c r="S574" s="709">
        <v>0</v>
      </c>
      <c r="T574" s="709">
        <v>0</v>
      </c>
      <c r="U574" s="709">
        <v>0</v>
      </c>
      <c r="V574" s="709">
        <v>0</v>
      </c>
      <c r="W574" s="709">
        <v>0</v>
      </c>
      <c r="X574" s="44">
        <f>SUM(P574:T574)</f>
        <v>0</v>
      </c>
      <c r="Y574" s="3598"/>
    </row>
    <row r="575" spans="1:29" ht="14.25" hidden="1" customHeight="1">
      <c r="A575" s="3601"/>
      <c r="B575" s="885" t="s">
        <v>29</v>
      </c>
      <c r="C575" s="3625"/>
      <c r="D575" s="61">
        <f t="shared" ref="D575:X575" si="336">+D576</f>
        <v>0</v>
      </c>
      <c r="E575" s="61"/>
      <c r="F575" s="61"/>
      <c r="G575" s="61"/>
      <c r="H575" s="61"/>
      <c r="I575" s="61"/>
      <c r="J575" s="61"/>
      <c r="K575" s="61"/>
      <c r="L575" s="61"/>
      <c r="M575" s="61">
        <f t="shared" si="336"/>
        <v>0</v>
      </c>
      <c r="N575" s="61">
        <f t="shared" si="336"/>
        <v>0</v>
      </c>
      <c r="O575" s="61">
        <f t="shared" si="336"/>
        <v>0</v>
      </c>
      <c r="P575" s="355">
        <f t="shared" si="336"/>
        <v>0</v>
      </c>
      <c r="Q575" s="355">
        <f t="shared" si="336"/>
        <v>0</v>
      </c>
      <c r="R575" s="355">
        <f t="shared" si="336"/>
        <v>0</v>
      </c>
      <c r="S575" s="355">
        <f t="shared" si="336"/>
        <v>0</v>
      </c>
      <c r="T575" s="355">
        <f t="shared" si="336"/>
        <v>0</v>
      </c>
      <c r="U575" s="355">
        <f t="shared" si="336"/>
        <v>0</v>
      </c>
      <c r="V575" s="355">
        <f t="shared" si="336"/>
        <v>0</v>
      </c>
      <c r="W575" s="355">
        <f t="shared" si="336"/>
        <v>0</v>
      </c>
      <c r="X575" s="99">
        <f t="shared" si="336"/>
        <v>0</v>
      </c>
      <c r="Y575" s="3598"/>
    </row>
    <row r="576" spans="1:29" ht="14.25" hidden="1" customHeight="1">
      <c r="A576" s="3601"/>
      <c r="B576" s="2085" t="s">
        <v>31</v>
      </c>
      <c r="C576" s="3625"/>
      <c r="D576" s="325">
        <f>M576+O576+P576+Q576+R576+S576+T576+U576+V576+W576</f>
        <v>0</v>
      </c>
      <c r="E576" s="59"/>
      <c r="F576" s="60"/>
      <c r="G576" s="60"/>
      <c r="H576" s="59"/>
      <c r="I576" s="59"/>
      <c r="J576" s="59"/>
      <c r="K576" s="59"/>
      <c r="L576" s="59"/>
      <c r="M576" s="387">
        <v>0</v>
      </c>
      <c r="N576" s="59"/>
      <c r="O576" s="59">
        <v>0</v>
      </c>
      <c r="P576" s="709">
        <v>0</v>
      </c>
      <c r="Q576" s="709">
        <v>0</v>
      </c>
      <c r="R576" s="709">
        <v>0</v>
      </c>
      <c r="S576" s="709">
        <v>0</v>
      </c>
      <c r="T576" s="709">
        <v>0</v>
      </c>
      <c r="U576" s="709">
        <v>0</v>
      </c>
      <c r="V576" s="709">
        <v>0</v>
      </c>
      <c r="W576" s="709">
        <v>0</v>
      </c>
      <c r="X576" s="44">
        <f>SUM(P576:T576)</f>
        <v>0</v>
      </c>
      <c r="Y576" s="3598"/>
    </row>
    <row r="577" spans="1:27" ht="14.25" hidden="1" customHeight="1">
      <c r="A577" s="3637"/>
      <c r="B577" s="25" t="s">
        <v>33</v>
      </c>
      <c r="C577" s="26"/>
      <c r="D577" s="258">
        <f>+D578</f>
        <v>0</v>
      </c>
      <c r="E577" s="258"/>
      <c r="F577" s="258"/>
      <c r="G577" s="258"/>
      <c r="H577" s="258"/>
      <c r="I577" s="258"/>
      <c r="J577" s="258"/>
      <c r="K577" s="258"/>
      <c r="L577" s="258"/>
      <c r="M577" s="258">
        <f t="shared" ref="M577:W578" si="337">+M578</f>
        <v>0</v>
      </c>
      <c r="N577" s="258">
        <f t="shared" si="337"/>
        <v>0</v>
      </c>
      <c r="O577" s="258">
        <f t="shared" si="337"/>
        <v>0</v>
      </c>
      <c r="P577" s="2086">
        <f t="shared" si="337"/>
        <v>0</v>
      </c>
      <c r="Q577" s="2086">
        <f t="shared" si="337"/>
        <v>0</v>
      </c>
      <c r="R577" s="2086">
        <f t="shared" si="337"/>
        <v>0</v>
      </c>
      <c r="S577" s="2086">
        <f t="shared" si="337"/>
        <v>0</v>
      </c>
      <c r="T577" s="2086">
        <f t="shared" si="337"/>
        <v>0</v>
      </c>
      <c r="U577" s="2086">
        <f t="shared" si="337"/>
        <v>0</v>
      </c>
      <c r="V577" s="2086">
        <f t="shared" si="337"/>
        <v>0</v>
      </c>
      <c r="W577" s="2086">
        <f t="shared" si="337"/>
        <v>0</v>
      </c>
      <c r="X577" s="3667" t="s">
        <v>34</v>
      </c>
      <c r="Y577" s="3622"/>
    </row>
    <row r="578" spans="1:27" s="353" customFormat="1" ht="14.25" hidden="1" customHeight="1">
      <c r="A578" s="3637"/>
      <c r="B578" s="885" t="s">
        <v>29</v>
      </c>
      <c r="C578" s="3624" t="s">
        <v>128</v>
      </c>
      <c r="D578" s="1907">
        <f>+D579</f>
        <v>0</v>
      </c>
      <c r="E578" s="1907"/>
      <c r="F578" s="1907"/>
      <c r="G578" s="1907"/>
      <c r="H578" s="1907"/>
      <c r="I578" s="1907"/>
      <c r="J578" s="1907"/>
      <c r="K578" s="1907"/>
      <c r="L578" s="1907"/>
      <c r="M578" s="2053">
        <f t="shared" si="337"/>
        <v>0</v>
      </c>
      <c r="N578" s="2053">
        <f t="shared" si="337"/>
        <v>0</v>
      </c>
      <c r="O578" s="2053">
        <f t="shared" si="337"/>
        <v>0</v>
      </c>
      <c r="P578" s="2087">
        <f t="shared" si="337"/>
        <v>0</v>
      </c>
      <c r="Q578" s="2087">
        <f t="shared" si="337"/>
        <v>0</v>
      </c>
      <c r="R578" s="2087">
        <f t="shared" si="337"/>
        <v>0</v>
      </c>
      <c r="S578" s="2087">
        <f t="shared" si="337"/>
        <v>0</v>
      </c>
      <c r="T578" s="2087">
        <f t="shared" si="337"/>
        <v>0</v>
      </c>
      <c r="U578" s="2087">
        <f t="shared" si="337"/>
        <v>0</v>
      </c>
      <c r="V578" s="2087">
        <f t="shared" si="337"/>
        <v>0</v>
      </c>
      <c r="W578" s="2087">
        <f t="shared" si="337"/>
        <v>0</v>
      </c>
      <c r="X578" s="3635"/>
      <c r="Y578" s="3622"/>
    </row>
    <row r="579" spans="1:27" s="353" customFormat="1" ht="14.25" hidden="1" customHeight="1" thickBot="1">
      <c r="A579" s="3638"/>
      <c r="B579" s="68" t="s">
        <v>31</v>
      </c>
      <c r="C579" s="3626"/>
      <c r="D579" s="2076">
        <f>M579+O579+P579+Q579+R579+S579+T579+U579+V579+W579</f>
        <v>0</v>
      </c>
      <c r="E579" s="936"/>
      <c r="F579" s="937"/>
      <c r="G579" s="936"/>
      <c r="H579" s="936"/>
      <c r="I579" s="936"/>
      <c r="J579" s="936"/>
      <c r="K579" s="936"/>
      <c r="L579" s="936"/>
      <c r="M579" s="2076">
        <v>0</v>
      </c>
      <c r="N579" s="938"/>
      <c r="O579" s="938">
        <v>0</v>
      </c>
      <c r="P579" s="2162">
        <v>0</v>
      </c>
      <c r="Q579" s="2162">
        <v>0</v>
      </c>
      <c r="R579" s="2162">
        <v>0</v>
      </c>
      <c r="S579" s="2162">
        <v>0</v>
      </c>
      <c r="T579" s="2162">
        <v>0</v>
      </c>
      <c r="U579" s="2162">
        <v>0</v>
      </c>
      <c r="V579" s="2162">
        <v>0</v>
      </c>
      <c r="W579" s="2162">
        <v>0</v>
      </c>
      <c r="X579" s="3636"/>
      <c r="Y579" s="3623"/>
      <c r="Z579" s="2096">
        <f>D579-D576</f>
        <v>0</v>
      </c>
    </row>
    <row r="580" spans="1:27" ht="27" customHeight="1" thickBot="1">
      <c r="A580" s="182" t="s">
        <v>129</v>
      </c>
      <c r="B580" s="183"/>
      <c r="C580" s="184"/>
      <c r="D580" s="185"/>
      <c r="E580" s="184"/>
      <c r="F580" s="184"/>
      <c r="G580" s="184"/>
      <c r="H580" s="184"/>
      <c r="I580" s="184"/>
      <c r="J580" s="184"/>
      <c r="K580" s="184"/>
      <c r="L580" s="184"/>
      <c r="M580" s="184"/>
      <c r="N580" s="184"/>
      <c r="O580" s="185"/>
      <c r="P580" s="184"/>
      <c r="Q580" s="184"/>
      <c r="R580" s="184"/>
      <c r="S580" s="184"/>
      <c r="T580" s="184"/>
      <c r="U580" s="184"/>
      <c r="V580" s="184"/>
      <c r="W580" s="184"/>
      <c r="X580" s="184"/>
      <c r="Y580" s="186"/>
    </row>
    <row r="581" spans="1:27" s="2165" customFormat="1" ht="15.75" customHeight="1">
      <c r="A581" s="3658"/>
      <c r="B581" s="285" t="s">
        <v>90</v>
      </c>
      <c r="C581" s="277"/>
      <c r="D581" s="286">
        <f>+D582+D583</f>
        <v>994466077</v>
      </c>
      <c r="E581" s="286">
        <f t="shared" ref="E581:Q581" si="338">+E582+E583</f>
        <v>7519680</v>
      </c>
      <c r="F581" s="286">
        <f t="shared" si="338"/>
        <v>0</v>
      </c>
      <c r="G581" s="286">
        <f t="shared" si="338"/>
        <v>5300000</v>
      </c>
      <c r="H581" s="286">
        <f t="shared" si="338"/>
        <v>2219680</v>
      </c>
      <c r="I581" s="286">
        <f t="shared" si="338"/>
        <v>3741741</v>
      </c>
      <c r="J581" s="286">
        <f t="shared" si="338"/>
        <v>3653057</v>
      </c>
      <c r="K581" s="286">
        <f t="shared" si="338"/>
        <v>5095845</v>
      </c>
      <c r="L581" s="286">
        <f t="shared" si="338"/>
        <v>82811330</v>
      </c>
      <c r="M581" s="286">
        <f>+M582+M583</f>
        <v>278621986</v>
      </c>
      <c r="N581" s="286">
        <f t="shared" si="338"/>
        <v>86237458</v>
      </c>
      <c r="O581" s="286">
        <f t="shared" si="338"/>
        <v>89562875</v>
      </c>
      <c r="P581" s="286">
        <f t="shared" si="338"/>
        <v>93670552</v>
      </c>
      <c r="Q581" s="286">
        <f t="shared" si="338"/>
        <v>165790140</v>
      </c>
      <c r="R581" s="286">
        <f t="shared" ref="R581:X581" si="339">+R582+R583</f>
        <v>167312801</v>
      </c>
      <c r="S581" s="286">
        <f t="shared" si="339"/>
        <v>146170500</v>
      </c>
      <c r="T581" s="286">
        <f t="shared" si="339"/>
        <v>142900098</v>
      </c>
      <c r="U581" s="286">
        <f t="shared" si="339"/>
        <v>0</v>
      </c>
      <c r="V581" s="286">
        <f t="shared" si="339"/>
        <v>0</v>
      </c>
      <c r="W581" s="286">
        <f t="shared" si="339"/>
        <v>0</v>
      </c>
      <c r="X581" s="20">
        <f t="shared" si="339"/>
        <v>399709085</v>
      </c>
      <c r="Y581" s="2163"/>
      <c r="Z581" s="2164"/>
    </row>
    <row r="582" spans="1:27" s="2165" customFormat="1" ht="11.25" customHeight="1">
      <c r="A582" s="3659"/>
      <c r="B582" s="279" t="s">
        <v>91</v>
      </c>
      <c r="C582" s="819"/>
      <c r="D582" s="281">
        <f>D597+D652+D656+D669+D677+D689+D693+D701</f>
        <v>814182456</v>
      </c>
      <c r="E582" s="281">
        <f t="shared" ref="E582:W582" si="340">E597+E652+E656+E669+E677+E689+E693+E701</f>
        <v>0</v>
      </c>
      <c r="F582" s="281">
        <f t="shared" si="340"/>
        <v>0</v>
      </c>
      <c r="G582" s="281">
        <f t="shared" si="340"/>
        <v>0</v>
      </c>
      <c r="H582" s="281">
        <f t="shared" si="340"/>
        <v>0</v>
      </c>
      <c r="I582" s="281">
        <f t="shared" si="340"/>
        <v>0</v>
      </c>
      <c r="J582" s="281">
        <f t="shared" si="340"/>
        <v>951324</v>
      </c>
      <c r="K582" s="281">
        <f t="shared" si="340"/>
        <v>919494</v>
      </c>
      <c r="L582" s="281">
        <f t="shared" si="340"/>
        <v>78172620</v>
      </c>
      <c r="M582" s="281">
        <f t="shared" si="340"/>
        <v>245016434</v>
      </c>
      <c r="N582" s="281">
        <f t="shared" si="340"/>
        <v>80954281</v>
      </c>
      <c r="O582" s="281">
        <f t="shared" si="340"/>
        <v>84018715</v>
      </c>
      <c r="P582" s="281">
        <f t="shared" si="340"/>
        <v>83462510</v>
      </c>
      <c r="Q582" s="281">
        <f t="shared" si="340"/>
        <v>134261813</v>
      </c>
      <c r="R582" s="281">
        <f t="shared" si="340"/>
        <v>132491601</v>
      </c>
      <c r="S582" s="281">
        <f t="shared" si="340"/>
        <v>110900000</v>
      </c>
      <c r="T582" s="281">
        <f t="shared" si="340"/>
        <v>108050098</v>
      </c>
      <c r="U582" s="281">
        <f t="shared" si="340"/>
        <v>0</v>
      </c>
      <c r="V582" s="281">
        <f t="shared" si="340"/>
        <v>0</v>
      </c>
      <c r="W582" s="281">
        <f t="shared" si="340"/>
        <v>0</v>
      </c>
      <c r="X582" s="22">
        <f>+X652+X656+X665+X669+X677+X693+X597</f>
        <v>378437794</v>
      </c>
      <c r="Y582" s="2163"/>
    </row>
    <row r="583" spans="1:27" s="2165" customFormat="1" ht="13.5" customHeight="1">
      <c r="A583" s="3659"/>
      <c r="B583" s="2000" t="s">
        <v>20</v>
      </c>
      <c r="C583" s="2166"/>
      <c r="D583" s="2167">
        <f>D605+D613+D617+D633+D645+D685+D697+D705</f>
        <v>180283621</v>
      </c>
      <c r="E583" s="2167">
        <f t="shared" ref="E583:W583" si="341">E605+E613+E617+E633+E645+E685+E697+E705</f>
        <v>7519680</v>
      </c>
      <c r="F583" s="2167">
        <f t="shared" si="341"/>
        <v>0</v>
      </c>
      <c r="G583" s="2167">
        <f t="shared" si="341"/>
        <v>5300000</v>
      </c>
      <c r="H583" s="2167">
        <f t="shared" si="341"/>
        <v>2219680</v>
      </c>
      <c r="I583" s="2167">
        <f t="shared" si="341"/>
        <v>3741741</v>
      </c>
      <c r="J583" s="2167">
        <f t="shared" si="341"/>
        <v>2701733</v>
      </c>
      <c r="K583" s="2167">
        <f t="shared" si="341"/>
        <v>4176351</v>
      </c>
      <c r="L583" s="2167">
        <f t="shared" si="341"/>
        <v>4638710</v>
      </c>
      <c r="M583" s="2167">
        <f t="shared" si="341"/>
        <v>33605552</v>
      </c>
      <c r="N583" s="2167">
        <f t="shared" si="341"/>
        <v>5283177</v>
      </c>
      <c r="O583" s="2167">
        <f t="shared" si="341"/>
        <v>5544160</v>
      </c>
      <c r="P583" s="2167">
        <f t="shared" si="341"/>
        <v>10208042</v>
      </c>
      <c r="Q583" s="2167">
        <f t="shared" si="341"/>
        <v>31528327</v>
      </c>
      <c r="R583" s="2167">
        <f t="shared" si="341"/>
        <v>34821200</v>
      </c>
      <c r="S583" s="2167">
        <f t="shared" si="341"/>
        <v>35270500</v>
      </c>
      <c r="T583" s="2167">
        <f t="shared" si="341"/>
        <v>34850000</v>
      </c>
      <c r="U583" s="2167">
        <f t="shared" si="341"/>
        <v>0</v>
      </c>
      <c r="V583" s="2167">
        <f t="shared" si="341"/>
        <v>0</v>
      </c>
      <c r="W583" s="2167">
        <f t="shared" si="341"/>
        <v>0</v>
      </c>
      <c r="X583" s="22">
        <f>+X601+X605+X613+X617+X621+X625+X633+X637+X685+X645</f>
        <v>21271291</v>
      </c>
      <c r="Y583" s="2163"/>
      <c r="Z583" s="2164"/>
    </row>
    <row r="584" spans="1:27" s="2165" customFormat="1" ht="14.25" customHeight="1">
      <c r="A584" s="3659"/>
      <c r="B584" s="38" t="s">
        <v>21</v>
      </c>
      <c r="C584" s="26"/>
      <c r="D584" s="39">
        <f>+D585</f>
        <v>994466077</v>
      </c>
      <c r="E584" s="39">
        <f t="shared" ref="E584:W585" si="342">+E585</f>
        <v>7519680</v>
      </c>
      <c r="F584" s="39">
        <f t="shared" si="342"/>
        <v>0</v>
      </c>
      <c r="G584" s="39">
        <f t="shared" si="342"/>
        <v>5300000</v>
      </c>
      <c r="H584" s="39">
        <f t="shared" si="342"/>
        <v>2219680</v>
      </c>
      <c r="I584" s="39">
        <f t="shared" si="342"/>
        <v>3741741</v>
      </c>
      <c r="J584" s="39">
        <f t="shared" si="342"/>
        <v>3653057</v>
      </c>
      <c r="K584" s="39">
        <f t="shared" si="342"/>
        <v>5095845</v>
      </c>
      <c r="L584" s="39">
        <f t="shared" si="342"/>
        <v>82811330</v>
      </c>
      <c r="M584" s="39">
        <f t="shared" si="342"/>
        <v>278621986</v>
      </c>
      <c r="N584" s="39">
        <f t="shared" si="342"/>
        <v>86237458</v>
      </c>
      <c r="O584" s="39">
        <f t="shared" si="342"/>
        <v>89562875</v>
      </c>
      <c r="P584" s="39">
        <f t="shared" si="342"/>
        <v>93670552</v>
      </c>
      <c r="Q584" s="39">
        <f t="shared" si="342"/>
        <v>165790140</v>
      </c>
      <c r="R584" s="39">
        <f t="shared" si="342"/>
        <v>167312801</v>
      </c>
      <c r="S584" s="39">
        <f t="shared" si="342"/>
        <v>146170500</v>
      </c>
      <c r="T584" s="39">
        <f t="shared" si="342"/>
        <v>142900098</v>
      </c>
      <c r="U584" s="39">
        <f t="shared" si="342"/>
        <v>0</v>
      </c>
      <c r="V584" s="39">
        <f t="shared" si="342"/>
        <v>0</v>
      </c>
      <c r="W584" s="39">
        <f t="shared" si="342"/>
        <v>0</v>
      </c>
      <c r="X584" s="40">
        <f>+X585</f>
        <v>715844091</v>
      </c>
      <c r="Y584" s="2168"/>
      <c r="Z584" s="2164"/>
    </row>
    <row r="585" spans="1:27" s="2172" customFormat="1" ht="12">
      <c r="A585" s="3659"/>
      <c r="B585" s="2169" t="s">
        <v>35</v>
      </c>
      <c r="C585" s="2170"/>
      <c r="D585" s="820">
        <f>SUM(D586:D589)</f>
        <v>994466077</v>
      </c>
      <c r="E585" s="820">
        <f t="shared" ref="E585:Q585" si="343">SUM(E586:E589)</f>
        <v>7519680</v>
      </c>
      <c r="F585" s="820">
        <f t="shared" si="343"/>
        <v>0</v>
      </c>
      <c r="G585" s="820">
        <f t="shared" si="343"/>
        <v>5300000</v>
      </c>
      <c r="H585" s="820">
        <f t="shared" si="343"/>
        <v>2219680</v>
      </c>
      <c r="I585" s="820">
        <f t="shared" si="343"/>
        <v>3741741</v>
      </c>
      <c r="J585" s="820">
        <f t="shared" si="343"/>
        <v>3653057</v>
      </c>
      <c r="K585" s="820">
        <f t="shared" si="343"/>
        <v>5095845</v>
      </c>
      <c r="L585" s="820">
        <f t="shared" si="343"/>
        <v>82811330</v>
      </c>
      <c r="M585" s="820">
        <f>SUM(M586:M589)</f>
        <v>278621986</v>
      </c>
      <c r="N585" s="820">
        <f t="shared" si="343"/>
        <v>86237458</v>
      </c>
      <c r="O585" s="820">
        <f t="shared" si="343"/>
        <v>89562875</v>
      </c>
      <c r="P585" s="820">
        <f t="shared" si="343"/>
        <v>93670552</v>
      </c>
      <c r="Q585" s="820">
        <f t="shared" si="343"/>
        <v>165790140</v>
      </c>
      <c r="R585" s="820">
        <f>SUM(R586:R589)</f>
        <v>167312801</v>
      </c>
      <c r="S585" s="820">
        <f>+S586</f>
        <v>146170500</v>
      </c>
      <c r="T585" s="820">
        <f>+T586</f>
        <v>142900098</v>
      </c>
      <c r="U585" s="820">
        <f t="shared" si="342"/>
        <v>0</v>
      </c>
      <c r="V585" s="820">
        <f t="shared" si="342"/>
        <v>0</v>
      </c>
      <c r="W585" s="820">
        <f t="shared" si="342"/>
        <v>0</v>
      </c>
      <c r="X585" s="99">
        <f>SUM(X586:X588)</f>
        <v>715844091</v>
      </c>
      <c r="Y585" s="3195"/>
      <c r="Z585" s="2171"/>
    </row>
    <row r="586" spans="1:27" s="2165" customFormat="1" ht="12">
      <c r="A586" s="3659"/>
      <c r="B586" s="2023" t="s">
        <v>23</v>
      </c>
      <c r="C586" s="2024"/>
      <c r="D586" s="821">
        <f>+D599+D603+D607+D615+D619+D623+D627+D635+D639+D654+D658+D667+D671+D679+D687+D695+D647+D691+D699+D703+D707</f>
        <v>985530292</v>
      </c>
      <c r="E586" s="821">
        <f t="shared" ref="E586:N586" si="344">+E599+E603+E607+E615+E619+E623+E627+E635+E639+E654+E658+E667+E671+E679+E687+E695+E647+E691+E699</f>
        <v>7239894</v>
      </c>
      <c r="F586" s="821">
        <f t="shared" si="344"/>
        <v>0</v>
      </c>
      <c r="G586" s="821">
        <f t="shared" si="344"/>
        <v>5300000</v>
      </c>
      <c r="H586" s="821">
        <f t="shared" si="344"/>
        <v>1939894</v>
      </c>
      <c r="I586" s="821">
        <f t="shared" si="344"/>
        <v>1247247</v>
      </c>
      <c r="J586" s="821">
        <f t="shared" si="344"/>
        <v>3653057</v>
      </c>
      <c r="K586" s="821">
        <f t="shared" si="344"/>
        <v>5025898</v>
      </c>
      <c r="L586" s="821">
        <f t="shared" si="344"/>
        <v>82605703</v>
      </c>
      <c r="M586" s="821">
        <f>+M599+M603+M607+M615+M619+M623+M627+M635+M639+M654+M658+M667+M671+M679+M687+M695+M647+M691+M699+M703+M707</f>
        <v>272711195</v>
      </c>
      <c r="N586" s="821">
        <f t="shared" si="344"/>
        <v>85027834</v>
      </c>
      <c r="O586" s="821">
        <f t="shared" ref="O586:W586" si="345">+O599+O603+O607+O615+O619+O623+O627+O635+O639+O654+O658+O667+O671+O679+O687+O695+O647+O691+O699+O703+O707</f>
        <v>87911562</v>
      </c>
      <c r="P586" s="821">
        <f t="shared" si="345"/>
        <v>92043352</v>
      </c>
      <c r="Q586" s="821">
        <f t="shared" si="345"/>
        <v>164392346</v>
      </c>
      <c r="R586" s="821">
        <f t="shared" si="345"/>
        <v>167312801</v>
      </c>
      <c r="S586" s="821">
        <f t="shared" si="345"/>
        <v>146170500</v>
      </c>
      <c r="T586" s="821">
        <f t="shared" si="345"/>
        <v>142900098</v>
      </c>
      <c r="U586" s="821">
        <f t="shared" si="345"/>
        <v>0</v>
      </c>
      <c r="V586" s="821">
        <f t="shared" si="345"/>
        <v>0</v>
      </c>
      <c r="W586" s="821">
        <f t="shared" si="345"/>
        <v>0</v>
      </c>
      <c r="X586" s="44">
        <f>SUM(P586:T586)</f>
        <v>712819097</v>
      </c>
      <c r="Y586" s="3660"/>
      <c r="Z586" s="2164"/>
    </row>
    <row r="587" spans="1:27" s="2165" customFormat="1" ht="12" hidden="1">
      <c r="A587" s="3659"/>
      <c r="B587" s="2023" t="s">
        <v>123</v>
      </c>
      <c r="C587" s="2024"/>
      <c r="D587" s="821">
        <f>D672+D680</f>
        <v>0</v>
      </c>
      <c r="E587" s="821">
        <f t="shared" ref="E587:X587" si="346">E672+E680</f>
        <v>0</v>
      </c>
      <c r="F587" s="821">
        <f t="shared" si="346"/>
        <v>0</v>
      </c>
      <c r="G587" s="821">
        <f t="shared" si="346"/>
        <v>0</v>
      </c>
      <c r="H587" s="821">
        <f t="shared" si="346"/>
        <v>0</v>
      </c>
      <c r="I587" s="821">
        <f t="shared" si="346"/>
        <v>0</v>
      </c>
      <c r="J587" s="821">
        <f t="shared" si="346"/>
        <v>0</v>
      </c>
      <c r="K587" s="821">
        <f t="shared" si="346"/>
        <v>0</v>
      </c>
      <c r="L587" s="821">
        <f t="shared" si="346"/>
        <v>0</v>
      </c>
      <c r="M587" s="821">
        <f t="shared" si="346"/>
        <v>0</v>
      </c>
      <c r="N587" s="821">
        <f t="shared" si="346"/>
        <v>0</v>
      </c>
      <c r="O587" s="821">
        <f t="shared" si="346"/>
        <v>0</v>
      </c>
      <c r="P587" s="821">
        <f t="shared" si="346"/>
        <v>0</v>
      </c>
      <c r="Q587" s="821">
        <f t="shared" si="346"/>
        <v>0</v>
      </c>
      <c r="R587" s="821">
        <f t="shared" si="346"/>
        <v>0</v>
      </c>
      <c r="S587" s="821">
        <f t="shared" si="346"/>
        <v>0</v>
      </c>
      <c r="T587" s="821">
        <f t="shared" si="346"/>
        <v>0</v>
      </c>
      <c r="U587" s="821">
        <f t="shared" si="346"/>
        <v>0</v>
      </c>
      <c r="V587" s="821">
        <f t="shared" si="346"/>
        <v>0</v>
      </c>
      <c r="W587" s="821">
        <f t="shared" si="346"/>
        <v>0</v>
      </c>
      <c r="X587" s="44">
        <f t="shared" si="346"/>
        <v>0</v>
      </c>
      <c r="Y587" s="3660"/>
      <c r="Z587" s="2164"/>
    </row>
    <row r="588" spans="1:27" s="2165" customFormat="1" ht="12">
      <c r="A588" s="3659"/>
      <c r="B588" s="2023" t="s">
        <v>26</v>
      </c>
      <c r="C588" s="2024"/>
      <c r="D588" s="821">
        <f>+D608+D628+D640+D659</f>
        <v>8935785</v>
      </c>
      <c r="E588" s="821">
        <f t="shared" ref="E588:W588" si="347">+E608+E628+E640+E659</f>
        <v>279786</v>
      </c>
      <c r="F588" s="821">
        <f t="shared" si="347"/>
        <v>0</v>
      </c>
      <c r="G588" s="821">
        <f t="shared" si="347"/>
        <v>0</v>
      </c>
      <c r="H588" s="821">
        <f t="shared" si="347"/>
        <v>279786</v>
      </c>
      <c r="I588" s="821">
        <f t="shared" si="347"/>
        <v>2494494</v>
      </c>
      <c r="J588" s="821">
        <f t="shared" si="347"/>
        <v>0</v>
      </c>
      <c r="K588" s="821">
        <f t="shared" si="347"/>
        <v>69947</v>
      </c>
      <c r="L588" s="821">
        <f t="shared" si="347"/>
        <v>205627</v>
      </c>
      <c r="M588" s="821">
        <f t="shared" si="347"/>
        <v>5910791</v>
      </c>
      <c r="N588" s="821">
        <f t="shared" si="347"/>
        <v>1209624</v>
      </c>
      <c r="O588" s="821">
        <f t="shared" si="347"/>
        <v>1651313</v>
      </c>
      <c r="P588" s="821">
        <f t="shared" si="347"/>
        <v>1627200</v>
      </c>
      <c r="Q588" s="821">
        <f t="shared" si="347"/>
        <v>1397794</v>
      </c>
      <c r="R588" s="821">
        <f t="shared" si="347"/>
        <v>0</v>
      </c>
      <c r="S588" s="821">
        <f t="shared" si="347"/>
        <v>0</v>
      </c>
      <c r="T588" s="821">
        <f t="shared" si="347"/>
        <v>0</v>
      </c>
      <c r="U588" s="821">
        <f t="shared" si="347"/>
        <v>0</v>
      </c>
      <c r="V588" s="821">
        <f t="shared" si="347"/>
        <v>0</v>
      </c>
      <c r="W588" s="821">
        <f t="shared" si="347"/>
        <v>0</v>
      </c>
      <c r="X588" s="44">
        <f>SUM(P588:T588)</f>
        <v>3024994</v>
      </c>
      <c r="Y588" s="3660"/>
      <c r="Z588" s="2164"/>
    </row>
    <row r="589" spans="1:27" s="2165" customFormat="1" ht="13.5" hidden="1" customHeight="1">
      <c r="A589" s="3659"/>
      <c r="B589" s="2023" t="s">
        <v>122</v>
      </c>
      <c r="C589" s="2024"/>
      <c r="D589" s="821"/>
      <c r="E589" s="821">
        <v>0</v>
      </c>
      <c r="F589" s="821">
        <v>0</v>
      </c>
      <c r="G589" s="821">
        <v>0</v>
      </c>
      <c r="H589" s="821">
        <v>0</v>
      </c>
      <c r="I589" s="821">
        <v>0</v>
      </c>
      <c r="J589" s="821">
        <v>0</v>
      </c>
      <c r="K589" s="821">
        <v>0</v>
      </c>
      <c r="L589" s="821">
        <v>0</v>
      </c>
      <c r="M589" s="821">
        <v>0</v>
      </c>
      <c r="N589" s="821">
        <v>0</v>
      </c>
      <c r="O589" s="821">
        <v>0</v>
      </c>
      <c r="P589" s="821">
        <v>0</v>
      </c>
      <c r="Q589" s="821">
        <v>0</v>
      </c>
      <c r="R589" s="821"/>
      <c r="S589" s="821"/>
      <c r="T589" s="821"/>
      <c r="U589" s="822"/>
      <c r="V589" s="822"/>
      <c r="W589" s="822"/>
      <c r="X589" s="85"/>
      <c r="Y589" s="3660"/>
      <c r="Z589" s="2164"/>
    </row>
    <row r="590" spans="1:27" s="2165" customFormat="1" ht="13.5" customHeight="1">
      <c r="A590" s="3659"/>
      <c r="B590" s="103" t="s">
        <v>33</v>
      </c>
      <c r="C590" s="26"/>
      <c r="D590" s="39">
        <f>+D591</f>
        <v>80114736</v>
      </c>
      <c r="E590" s="39">
        <f t="shared" ref="E590:W590" si="348">+E591</f>
        <v>279786</v>
      </c>
      <c r="F590" s="39">
        <f t="shared" si="348"/>
        <v>0</v>
      </c>
      <c r="G590" s="39">
        <f t="shared" si="348"/>
        <v>0</v>
      </c>
      <c r="H590" s="39">
        <f t="shared" si="348"/>
        <v>279786</v>
      </c>
      <c r="I590" s="39">
        <f t="shared" si="348"/>
        <v>2494494</v>
      </c>
      <c r="J590" s="39">
        <f t="shared" si="348"/>
        <v>0</v>
      </c>
      <c r="K590" s="39">
        <f t="shared" si="348"/>
        <v>69947</v>
      </c>
      <c r="L590" s="39">
        <f t="shared" si="348"/>
        <v>205627</v>
      </c>
      <c r="M590" s="39">
        <f>+M591</f>
        <v>16504324</v>
      </c>
      <c r="N590" s="39">
        <f t="shared" si="348"/>
        <v>1209624</v>
      </c>
      <c r="O590" s="39">
        <f t="shared" si="348"/>
        <v>12244846</v>
      </c>
      <c r="P590" s="39">
        <f t="shared" si="348"/>
        <v>14212618</v>
      </c>
      <c r="Q590" s="39">
        <f t="shared" si="348"/>
        <v>13397794</v>
      </c>
      <c r="R590" s="39">
        <f t="shared" si="348"/>
        <v>12000000</v>
      </c>
      <c r="S590" s="39">
        <f t="shared" si="348"/>
        <v>12000000</v>
      </c>
      <c r="T590" s="39">
        <f t="shared" si="348"/>
        <v>12000000</v>
      </c>
      <c r="U590" s="39">
        <f t="shared" si="348"/>
        <v>0</v>
      </c>
      <c r="V590" s="39">
        <f t="shared" si="348"/>
        <v>0</v>
      </c>
      <c r="W590" s="39">
        <f t="shared" si="348"/>
        <v>0</v>
      </c>
      <c r="X590" s="3667" t="s">
        <v>34</v>
      </c>
      <c r="Y590" s="3660"/>
    </row>
    <row r="591" spans="1:27" s="2165" customFormat="1" ht="12" customHeight="1">
      <c r="A591" s="3659"/>
      <c r="B591" s="2169" t="s">
        <v>35</v>
      </c>
      <c r="C591" s="2030"/>
      <c r="D591" s="300">
        <f>+D592+D594+D593</f>
        <v>80114736</v>
      </c>
      <c r="E591" s="300">
        <f t="shared" ref="E591:R591" si="349">+E592+E594+E593</f>
        <v>279786</v>
      </c>
      <c r="F591" s="300">
        <f t="shared" si="349"/>
        <v>0</v>
      </c>
      <c r="G591" s="300">
        <f t="shared" si="349"/>
        <v>0</v>
      </c>
      <c r="H591" s="300">
        <f t="shared" si="349"/>
        <v>279786</v>
      </c>
      <c r="I591" s="300">
        <f t="shared" si="349"/>
        <v>2494494</v>
      </c>
      <c r="J591" s="300">
        <f t="shared" si="349"/>
        <v>0</v>
      </c>
      <c r="K591" s="300">
        <f t="shared" si="349"/>
        <v>69947</v>
      </c>
      <c r="L591" s="300">
        <f t="shared" si="349"/>
        <v>205627</v>
      </c>
      <c r="M591" s="300">
        <f t="shared" si="349"/>
        <v>16504324</v>
      </c>
      <c r="N591" s="300">
        <f t="shared" si="349"/>
        <v>1209624</v>
      </c>
      <c r="O591" s="300">
        <f t="shared" si="349"/>
        <v>12244846</v>
      </c>
      <c r="P591" s="300">
        <f t="shared" si="349"/>
        <v>14212618</v>
      </c>
      <c r="Q591" s="300">
        <f t="shared" si="349"/>
        <v>13397794</v>
      </c>
      <c r="R591" s="300">
        <f t="shared" si="349"/>
        <v>12000000</v>
      </c>
      <c r="S591" s="300">
        <f>+S592+S594+S593</f>
        <v>12000000</v>
      </c>
      <c r="T591" s="300">
        <f>+T592+T594+T593</f>
        <v>12000000</v>
      </c>
      <c r="U591" s="300">
        <f>+U592+U594+U593</f>
        <v>0</v>
      </c>
      <c r="V591" s="300">
        <f>+V592+V594+V593</f>
        <v>0</v>
      </c>
      <c r="W591" s="300">
        <f>+W592+W594+W593</f>
        <v>0</v>
      </c>
      <c r="X591" s="3635"/>
      <c r="Y591" s="3660"/>
    </row>
    <row r="592" spans="1:27" s="2165" customFormat="1" ht="12" customHeight="1">
      <c r="A592" s="3659"/>
      <c r="B592" s="2023" t="s">
        <v>269</v>
      </c>
      <c r="C592" s="823"/>
      <c r="D592" s="191">
        <f>+D662+D650</f>
        <v>71178951</v>
      </c>
      <c r="E592" s="191">
        <f t="shared" ref="E592:T592" si="350">+E662+E650</f>
        <v>0</v>
      </c>
      <c r="F592" s="191">
        <f t="shared" si="350"/>
        <v>0</v>
      </c>
      <c r="G592" s="191">
        <f t="shared" si="350"/>
        <v>0</v>
      </c>
      <c r="H592" s="191">
        <f t="shared" si="350"/>
        <v>0</v>
      </c>
      <c r="I592" s="191">
        <f t="shared" si="350"/>
        <v>0</v>
      </c>
      <c r="J592" s="191">
        <f t="shared" si="350"/>
        <v>0</v>
      </c>
      <c r="K592" s="191">
        <f t="shared" si="350"/>
        <v>0</v>
      </c>
      <c r="L592" s="191">
        <f t="shared" si="350"/>
        <v>0</v>
      </c>
      <c r="M592" s="191">
        <f t="shared" si="350"/>
        <v>10593533</v>
      </c>
      <c r="N592" s="191">
        <f t="shared" si="350"/>
        <v>0</v>
      </c>
      <c r="O592" s="191">
        <f t="shared" si="350"/>
        <v>10593533</v>
      </c>
      <c r="P592" s="191">
        <f t="shared" si="350"/>
        <v>12585418</v>
      </c>
      <c r="Q592" s="191">
        <f t="shared" si="350"/>
        <v>12000000</v>
      </c>
      <c r="R592" s="191">
        <f t="shared" si="350"/>
        <v>12000000</v>
      </c>
      <c r="S592" s="191">
        <f t="shared" si="350"/>
        <v>12000000</v>
      </c>
      <c r="T592" s="191">
        <f t="shared" si="350"/>
        <v>12000000</v>
      </c>
      <c r="U592" s="191">
        <f t="shared" ref="U592:W592" si="351">+U662+U650</f>
        <v>0</v>
      </c>
      <c r="V592" s="191">
        <f t="shared" si="351"/>
        <v>0</v>
      </c>
      <c r="W592" s="191">
        <f t="shared" si="351"/>
        <v>0</v>
      </c>
      <c r="X592" s="3635"/>
      <c r="Y592" s="3660"/>
      <c r="AA592" s="2164">
        <v>28500000</v>
      </c>
    </row>
    <row r="593" spans="1:27" s="2165" customFormat="1" ht="12" hidden="1" customHeight="1">
      <c r="A593" s="3194"/>
      <c r="B593" s="2023" t="s">
        <v>123</v>
      </c>
      <c r="C593" s="823"/>
      <c r="D593" s="821">
        <f>D675+D683</f>
        <v>0</v>
      </c>
      <c r="E593" s="821">
        <f t="shared" ref="E593:P593" si="352">E675+E683</f>
        <v>0</v>
      </c>
      <c r="F593" s="821">
        <f t="shared" si="352"/>
        <v>0</v>
      </c>
      <c r="G593" s="821">
        <f t="shared" si="352"/>
        <v>0</v>
      </c>
      <c r="H593" s="821">
        <f t="shared" si="352"/>
        <v>0</v>
      </c>
      <c r="I593" s="821">
        <f t="shared" si="352"/>
        <v>0</v>
      </c>
      <c r="J593" s="821">
        <f t="shared" si="352"/>
        <v>0</v>
      </c>
      <c r="K593" s="821">
        <f t="shared" si="352"/>
        <v>0</v>
      </c>
      <c r="L593" s="821">
        <f t="shared" si="352"/>
        <v>0</v>
      </c>
      <c r="M593" s="821">
        <f t="shared" si="352"/>
        <v>0</v>
      </c>
      <c r="N593" s="821">
        <f t="shared" si="352"/>
        <v>0</v>
      </c>
      <c r="O593" s="821">
        <f t="shared" si="352"/>
        <v>0</v>
      </c>
      <c r="P593" s="821">
        <f t="shared" si="352"/>
        <v>0</v>
      </c>
      <c r="Q593" s="191">
        <f t="shared" ref="Q593:W593" si="353">+Q675+Q683</f>
        <v>0</v>
      </c>
      <c r="R593" s="191">
        <f t="shared" si="353"/>
        <v>0</v>
      </c>
      <c r="S593" s="191">
        <f t="shared" si="353"/>
        <v>0</v>
      </c>
      <c r="T593" s="191">
        <f t="shared" si="353"/>
        <v>0</v>
      </c>
      <c r="U593" s="191">
        <f t="shared" si="353"/>
        <v>0</v>
      </c>
      <c r="V593" s="191">
        <f t="shared" si="353"/>
        <v>0</v>
      </c>
      <c r="W593" s="191">
        <f t="shared" si="353"/>
        <v>0</v>
      </c>
      <c r="X593" s="3635"/>
      <c r="Y593" s="3660"/>
      <c r="Z593" s="2164">
        <f>D593-D587</f>
        <v>0</v>
      </c>
      <c r="AA593" s="2164">
        <v>4072498</v>
      </c>
    </row>
    <row r="594" spans="1:27" s="2165" customFormat="1" ht="12" customHeight="1" thickBot="1">
      <c r="A594" s="3194"/>
      <c r="B594" s="2023" t="s">
        <v>26</v>
      </c>
      <c r="C594" s="823"/>
      <c r="D594" s="191">
        <f>+D611+D631+D643+D663</f>
        <v>8935785</v>
      </c>
      <c r="E594" s="191">
        <f t="shared" ref="E594:W594" si="354">+E611+E631+E643+E663</f>
        <v>279786</v>
      </c>
      <c r="F594" s="191">
        <f t="shared" si="354"/>
        <v>0</v>
      </c>
      <c r="G594" s="191">
        <f t="shared" si="354"/>
        <v>0</v>
      </c>
      <c r="H594" s="191">
        <f t="shared" si="354"/>
        <v>279786</v>
      </c>
      <c r="I594" s="191">
        <f t="shared" si="354"/>
        <v>2494494</v>
      </c>
      <c r="J594" s="191">
        <f t="shared" si="354"/>
        <v>0</v>
      </c>
      <c r="K594" s="191">
        <f t="shared" si="354"/>
        <v>69947</v>
      </c>
      <c r="L594" s="191">
        <f t="shared" si="354"/>
        <v>205627</v>
      </c>
      <c r="M594" s="191">
        <f>+M611+M631+M643+M663</f>
        <v>5910791</v>
      </c>
      <c r="N594" s="191">
        <f t="shared" si="354"/>
        <v>1209624</v>
      </c>
      <c r="O594" s="191">
        <f t="shared" si="354"/>
        <v>1651313</v>
      </c>
      <c r="P594" s="191">
        <f t="shared" si="354"/>
        <v>1627200</v>
      </c>
      <c r="Q594" s="191">
        <f t="shared" si="354"/>
        <v>1397794</v>
      </c>
      <c r="R594" s="191">
        <f t="shared" si="354"/>
        <v>0</v>
      </c>
      <c r="S594" s="191">
        <f t="shared" si="354"/>
        <v>0</v>
      </c>
      <c r="T594" s="191">
        <f t="shared" si="354"/>
        <v>0</v>
      </c>
      <c r="U594" s="191">
        <f t="shared" si="354"/>
        <v>0</v>
      </c>
      <c r="V594" s="191">
        <f t="shared" si="354"/>
        <v>0</v>
      </c>
      <c r="W594" s="191">
        <f t="shared" si="354"/>
        <v>0</v>
      </c>
      <c r="X594" s="3635"/>
      <c r="Y594" s="3660"/>
      <c r="AA594" s="2164">
        <v>1570791</v>
      </c>
    </row>
    <row r="595" spans="1:27" s="2165" customFormat="1" ht="12" hidden="1" customHeight="1" thickBot="1">
      <c r="A595" s="3194"/>
      <c r="B595" s="2023" t="s">
        <v>122</v>
      </c>
      <c r="C595" s="823"/>
      <c r="D595" s="191">
        <v>0</v>
      </c>
      <c r="E595" s="191">
        <v>0</v>
      </c>
      <c r="F595" s="191">
        <v>0</v>
      </c>
      <c r="G595" s="191">
        <v>0</v>
      </c>
      <c r="H595" s="191">
        <v>0</v>
      </c>
      <c r="I595" s="191">
        <v>0</v>
      </c>
      <c r="J595" s="191">
        <v>0</v>
      </c>
      <c r="K595" s="191">
        <v>0</v>
      </c>
      <c r="L595" s="191">
        <v>0</v>
      </c>
      <c r="M595" s="191"/>
      <c r="N595" s="191">
        <v>0</v>
      </c>
      <c r="O595" s="191">
        <v>0</v>
      </c>
      <c r="P595" s="191">
        <v>0</v>
      </c>
      <c r="Q595" s="191">
        <v>0</v>
      </c>
      <c r="R595" s="191">
        <v>0</v>
      </c>
      <c r="S595" s="824"/>
      <c r="T595" s="824"/>
      <c r="U595" s="824"/>
      <c r="V595" s="824"/>
      <c r="W595" s="824"/>
      <c r="X595" s="3636"/>
      <c r="Y595" s="3661"/>
    </row>
    <row r="596" spans="1:27" s="2165" customFormat="1" ht="26.25" customHeight="1">
      <c r="A596" s="3658" t="s">
        <v>77</v>
      </c>
      <c r="B596" s="91" t="s">
        <v>130</v>
      </c>
      <c r="C596" s="73" t="s">
        <v>125</v>
      </c>
      <c r="D596" s="135"/>
      <c r="E596" s="136"/>
      <c r="F596" s="136"/>
      <c r="G596" s="136"/>
      <c r="H596" s="136"/>
      <c r="I596" s="136"/>
      <c r="J596" s="136"/>
      <c r="K596" s="136"/>
      <c r="L596" s="136"/>
      <c r="M596" s="137"/>
      <c r="N596" s="137"/>
      <c r="O596" s="136"/>
      <c r="P596" s="136"/>
      <c r="Q596" s="136"/>
      <c r="R596" s="136"/>
      <c r="S596" s="316"/>
      <c r="T596" s="316"/>
      <c r="U596" s="316"/>
      <c r="V596" s="316"/>
      <c r="W596" s="316"/>
      <c r="X596" s="53"/>
      <c r="Y596" s="3663" t="s">
        <v>118</v>
      </c>
    </row>
    <row r="597" spans="1:27" s="2165" customFormat="1" ht="14.25" customHeight="1">
      <c r="A597" s="3659"/>
      <c r="B597" s="101" t="s">
        <v>21</v>
      </c>
      <c r="C597" s="26"/>
      <c r="D597" s="138">
        <f>+D598</f>
        <v>44184218</v>
      </c>
      <c r="E597" s="138">
        <f>+E598</f>
        <v>0</v>
      </c>
      <c r="F597" s="138">
        <f t="shared" ref="F597:R597" si="355">+F598</f>
        <v>0</v>
      </c>
      <c r="G597" s="138">
        <f t="shared" si="355"/>
        <v>0</v>
      </c>
      <c r="H597" s="138">
        <f t="shared" si="355"/>
        <v>0</v>
      </c>
      <c r="I597" s="138">
        <f t="shared" si="355"/>
        <v>0</v>
      </c>
      <c r="J597" s="138">
        <f t="shared" si="355"/>
        <v>0</v>
      </c>
      <c r="K597" s="138">
        <f>SUM(K599:K599)</f>
        <v>0</v>
      </c>
      <c r="L597" s="138">
        <f t="shared" si="355"/>
        <v>0</v>
      </c>
      <c r="M597" s="138">
        <f t="shared" si="355"/>
        <v>2184218</v>
      </c>
      <c r="N597" s="138">
        <f t="shared" si="355"/>
        <v>0</v>
      </c>
      <c r="O597" s="138">
        <f t="shared" si="355"/>
        <v>2184218</v>
      </c>
      <c r="P597" s="1183">
        <f t="shared" si="355"/>
        <v>0</v>
      </c>
      <c r="Q597" s="138">
        <f t="shared" si="355"/>
        <v>21000000</v>
      </c>
      <c r="R597" s="138">
        <f t="shared" si="355"/>
        <v>21000000</v>
      </c>
      <c r="S597" s="397">
        <v>0</v>
      </c>
      <c r="T597" s="397">
        <v>0</v>
      </c>
      <c r="U597" s="397">
        <v>0</v>
      </c>
      <c r="V597" s="397">
        <v>0</v>
      </c>
      <c r="W597" s="397">
        <v>0</v>
      </c>
      <c r="X597" s="40">
        <f>+X598</f>
        <v>42000000</v>
      </c>
      <c r="Y597" s="3664"/>
      <c r="Z597" s="2164">
        <f>+O597+P597+Q597+R597</f>
        <v>44184218</v>
      </c>
    </row>
    <row r="598" spans="1:27" s="2165" customFormat="1" ht="14.25" customHeight="1">
      <c r="A598" s="3659"/>
      <c r="B598" s="294" t="s">
        <v>35</v>
      </c>
      <c r="C598" s="3624" t="s">
        <v>114</v>
      </c>
      <c r="D598" s="140">
        <f>D599</f>
        <v>44184218</v>
      </c>
      <c r="E598" s="139">
        <f t="shared" ref="E598:J598" si="356">E599</f>
        <v>0</v>
      </c>
      <c r="F598" s="139">
        <f t="shared" si="356"/>
        <v>0</v>
      </c>
      <c r="G598" s="139">
        <f t="shared" si="356"/>
        <v>0</v>
      </c>
      <c r="H598" s="139">
        <f t="shared" si="356"/>
        <v>0</v>
      </c>
      <c r="I598" s="139">
        <f t="shared" si="356"/>
        <v>0</v>
      </c>
      <c r="J598" s="139">
        <f t="shared" si="356"/>
        <v>0</v>
      </c>
      <c r="K598" s="141">
        <f>SUM(K599:K599)</f>
        <v>0</v>
      </c>
      <c r="L598" s="139">
        <f>SUM(L599:L599)</f>
        <v>0</v>
      </c>
      <c r="M598" s="140">
        <f>SUM(M599:M599)</f>
        <v>2184218</v>
      </c>
      <c r="N598" s="139">
        <v>0</v>
      </c>
      <c r="O598" s="140">
        <f>O599</f>
        <v>2184218</v>
      </c>
      <c r="P598" s="390">
        <f>P599</f>
        <v>0</v>
      </c>
      <c r="Q598" s="139">
        <f>Q599</f>
        <v>21000000</v>
      </c>
      <c r="R598" s="139">
        <f>R599</f>
        <v>21000000</v>
      </c>
      <c r="S598" s="398">
        <v>0</v>
      </c>
      <c r="T598" s="398">
        <v>0</v>
      </c>
      <c r="U598" s="398">
        <v>0</v>
      </c>
      <c r="V598" s="398">
        <v>0</v>
      </c>
      <c r="W598" s="398">
        <v>0</v>
      </c>
      <c r="X598" s="143">
        <f>+X599</f>
        <v>42000000</v>
      </c>
      <c r="Y598" s="3664"/>
    </row>
    <row r="599" spans="1:27" s="2165" customFormat="1" ht="14.25" customHeight="1" thickBot="1">
      <c r="A599" s="3662"/>
      <c r="B599" s="93" t="s">
        <v>23</v>
      </c>
      <c r="C599" s="3613"/>
      <c r="D599" s="2192">
        <f>M599+P599+Q599+R599+S599+T599+U599+V599+W599</f>
        <v>44184218</v>
      </c>
      <c r="E599" s="1184"/>
      <c r="F599" s="1185"/>
      <c r="G599" s="1184"/>
      <c r="H599" s="1184"/>
      <c r="I599" s="1184"/>
      <c r="J599" s="396">
        <v>0</v>
      </c>
      <c r="K599" s="396"/>
      <c r="L599" s="224"/>
      <c r="M599" s="2192">
        <f>+E599+I599+J599+K599+L599+N599+O599</f>
        <v>2184218</v>
      </c>
      <c r="N599" s="1184"/>
      <c r="O599" s="396">
        <f>7380000-4740000-455500-282</f>
        <v>2184218</v>
      </c>
      <c r="P599" s="404">
        <f>17527500-7027500-1759000-8741000</f>
        <v>0</v>
      </c>
      <c r="Q599" s="224">
        <f>23370000-5870000+3500000</f>
        <v>21000000</v>
      </c>
      <c r="R599" s="224">
        <f>29212500-15212500+7000000</f>
        <v>21000000</v>
      </c>
      <c r="S599" s="401">
        <v>0</v>
      </c>
      <c r="T599" s="401">
        <v>0</v>
      </c>
      <c r="U599" s="401">
        <v>0</v>
      </c>
      <c r="V599" s="401">
        <v>0</v>
      </c>
      <c r="W599" s="401">
        <v>0</v>
      </c>
      <c r="X599" s="44">
        <f>SUM(Q599:W599)</f>
        <v>42000000</v>
      </c>
      <c r="Y599" s="3665"/>
      <c r="Z599" s="2164"/>
    </row>
    <row r="600" spans="1:27" s="2165" customFormat="1" ht="14.25" hidden="1" customHeight="1">
      <c r="A600" s="3659"/>
      <c r="B600" s="825"/>
      <c r="C600" s="2173"/>
      <c r="D600" s="105"/>
      <c r="E600" s="106"/>
      <c r="F600" s="105"/>
      <c r="G600" s="106"/>
      <c r="H600" s="106"/>
      <c r="I600" s="107"/>
      <c r="J600" s="107"/>
      <c r="K600" s="107"/>
      <c r="L600" s="107"/>
      <c r="M600" s="342"/>
      <c r="N600" s="342"/>
      <c r="O600" s="342"/>
      <c r="P600" s="1285"/>
      <c r="Q600" s="342"/>
      <c r="R600" s="342"/>
      <c r="S600" s="342"/>
      <c r="T600" s="342"/>
      <c r="U600" s="342"/>
      <c r="V600" s="342"/>
      <c r="W600" s="342"/>
      <c r="X600" s="343"/>
      <c r="Y600" s="3599"/>
    </row>
    <row r="601" spans="1:27" s="2165" customFormat="1" ht="13.5" hidden="1" customHeight="1">
      <c r="A601" s="3659"/>
      <c r="B601" s="38"/>
      <c r="C601" s="116"/>
      <c r="D601" s="274"/>
      <c r="E601" s="274"/>
      <c r="F601" s="274"/>
      <c r="G601" s="274"/>
      <c r="H601" s="274"/>
      <c r="I601" s="274"/>
      <c r="J601" s="274"/>
      <c r="K601" s="274"/>
      <c r="L601" s="274"/>
      <c r="M601" s="274"/>
      <c r="N601" s="274"/>
      <c r="O601" s="274"/>
      <c r="P601" s="1286"/>
      <c r="Q601" s="274"/>
      <c r="R601" s="274"/>
      <c r="S601" s="322"/>
      <c r="T601" s="322"/>
      <c r="U601" s="322"/>
      <c r="V601" s="322"/>
      <c r="W601" s="322"/>
      <c r="X601" s="313"/>
      <c r="Y601" s="3750"/>
    </row>
    <row r="602" spans="1:27" s="2165" customFormat="1" ht="13.5" hidden="1" customHeight="1">
      <c r="A602" s="3659"/>
      <c r="B602" s="1269"/>
      <c r="C602" s="3624"/>
      <c r="D602" s="98"/>
      <c r="E602" s="98"/>
      <c r="F602" s="98"/>
      <c r="G602" s="98"/>
      <c r="H602" s="98"/>
      <c r="I602" s="98"/>
      <c r="J602" s="98"/>
      <c r="K602" s="98"/>
      <c r="L602" s="98"/>
      <c r="M602" s="98"/>
      <c r="N602" s="98"/>
      <c r="O602" s="98"/>
      <c r="P602" s="927"/>
      <c r="Q602" s="98"/>
      <c r="R602" s="98"/>
      <c r="S602" s="318"/>
      <c r="T602" s="318"/>
      <c r="U602" s="318"/>
      <c r="V602" s="318"/>
      <c r="W602" s="318"/>
      <c r="X602" s="314"/>
      <c r="Y602" s="3750"/>
    </row>
    <row r="603" spans="1:27" s="2165" customFormat="1" ht="13.5" hidden="1" customHeight="1" thickBot="1">
      <c r="A603" s="3662"/>
      <c r="B603" s="88"/>
      <c r="C603" s="3626"/>
      <c r="D603" s="113"/>
      <c r="E603" s="89"/>
      <c r="F603" s="90"/>
      <c r="G603" s="89"/>
      <c r="H603" s="89"/>
      <c r="I603" s="89"/>
      <c r="J603" s="95"/>
      <c r="K603" s="95"/>
      <c r="L603" s="89"/>
      <c r="M603" s="90"/>
      <c r="N603" s="90"/>
      <c r="O603" s="90"/>
      <c r="P603" s="1287"/>
      <c r="Q603" s="64"/>
      <c r="R603" s="64"/>
      <c r="S603" s="323"/>
      <c r="T603" s="323"/>
      <c r="U603" s="323"/>
      <c r="V603" s="323"/>
      <c r="W603" s="323"/>
      <c r="X603" s="315"/>
      <c r="Y603" s="3751"/>
      <c r="Z603" s="2164"/>
    </row>
    <row r="604" spans="1:27" s="2165" customFormat="1" ht="35.25" customHeight="1">
      <c r="A604" s="3752" t="s">
        <v>78</v>
      </c>
      <c r="B604" s="91" t="s">
        <v>448</v>
      </c>
      <c r="C604" s="73" t="s">
        <v>95</v>
      </c>
      <c r="D604" s="2069"/>
      <c r="E604" s="122"/>
      <c r="F604" s="122"/>
      <c r="G604" s="121"/>
      <c r="H604" s="121"/>
      <c r="I604" s="121"/>
      <c r="J604" s="121"/>
      <c r="K604" s="121"/>
      <c r="L604" s="121"/>
      <c r="M604" s="123"/>
      <c r="N604" s="123"/>
      <c r="O604" s="123"/>
      <c r="P604" s="1288"/>
      <c r="Q604" s="123"/>
      <c r="R604" s="123"/>
      <c r="S604" s="123"/>
      <c r="T604" s="123"/>
      <c r="U604" s="123"/>
      <c r="V604" s="123"/>
      <c r="W604" s="123"/>
      <c r="X604" s="53"/>
      <c r="Y604" s="3597" t="s">
        <v>118</v>
      </c>
    </row>
    <row r="605" spans="1:27" s="2165" customFormat="1" ht="15" customHeight="1">
      <c r="A605" s="3753"/>
      <c r="B605" s="101" t="s">
        <v>21</v>
      </c>
      <c r="C605" s="26"/>
      <c r="D605" s="79">
        <f>+D606</f>
        <v>4615466</v>
      </c>
      <c r="E605" s="79">
        <f t="shared" ref="E605:X605" si="357">+E606</f>
        <v>419680</v>
      </c>
      <c r="F605" s="79">
        <f t="shared" si="357"/>
        <v>0</v>
      </c>
      <c r="G605" s="79">
        <f t="shared" si="357"/>
        <v>0</v>
      </c>
      <c r="H605" s="79">
        <f t="shared" si="357"/>
        <v>419680</v>
      </c>
      <c r="I605" s="79">
        <f t="shared" si="357"/>
        <v>3741741</v>
      </c>
      <c r="J605" s="79">
        <f t="shared" si="357"/>
        <v>0</v>
      </c>
      <c r="K605" s="79">
        <f t="shared" si="357"/>
        <v>105780</v>
      </c>
      <c r="L605" s="78">
        <f t="shared" si="357"/>
        <v>0</v>
      </c>
      <c r="M605" s="78">
        <f t="shared" si="357"/>
        <v>4482254</v>
      </c>
      <c r="N605" s="78">
        <f t="shared" si="357"/>
        <v>0</v>
      </c>
      <c r="O605" s="78">
        <f t="shared" si="357"/>
        <v>215053</v>
      </c>
      <c r="P605" s="383">
        <f t="shared" si="357"/>
        <v>0</v>
      </c>
      <c r="Q605" s="78">
        <f t="shared" si="357"/>
        <v>133212</v>
      </c>
      <c r="R605" s="397">
        <v>0</v>
      </c>
      <c r="S605" s="397">
        <v>0</v>
      </c>
      <c r="T605" s="397">
        <v>0</v>
      </c>
      <c r="U605" s="397">
        <v>0</v>
      </c>
      <c r="V605" s="397">
        <v>0</v>
      </c>
      <c r="W605" s="397">
        <v>0</v>
      </c>
      <c r="X605" s="80">
        <f t="shared" si="357"/>
        <v>133212</v>
      </c>
      <c r="Y605" s="3756"/>
      <c r="Z605" s="2164">
        <f>+O605+P605+Q605+R605</f>
        <v>348265</v>
      </c>
    </row>
    <row r="606" spans="1:27" s="2165" customFormat="1" ht="13.5" customHeight="1">
      <c r="A606" s="3753"/>
      <c r="B606" s="294" t="s">
        <v>35</v>
      </c>
      <c r="C606" s="3764" t="s">
        <v>127</v>
      </c>
      <c r="D606" s="426">
        <f>+D607+D608</f>
        <v>4615466</v>
      </c>
      <c r="E606" s="426">
        <f>+E607+E608</f>
        <v>419680</v>
      </c>
      <c r="F606" s="426">
        <f t="shared" ref="F606:P606" si="358">+F607+F608</f>
        <v>0</v>
      </c>
      <c r="G606" s="426">
        <f t="shared" si="358"/>
        <v>0</v>
      </c>
      <c r="H606" s="426">
        <f t="shared" si="358"/>
        <v>419680</v>
      </c>
      <c r="I606" s="426">
        <f t="shared" si="358"/>
        <v>3741741</v>
      </c>
      <c r="J606" s="426">
        <f t="shared" si="358"/>
        <v>0</v>
      </c>
      <c r="K606" s="426">
        <f t="shared" si="358"/>
        <v>105780</v>
      </c>
      <c r="L606" s="427">
        <f t="shared" si="358"/>
        <v>0</v>
      </c>
      <c r="M606" s="427">
        <f>+M607+M608</f>
        <v>4482254</v>
      </c>
      <c r="N606" s="427">
        <f t="shared" si="358"/>
        <v>0</v>
      </c>
      <c r="O606" s="427">
        <f t="shared" si="358"/>
        <v>215053</v>
      </c>
      <c r="P606" s="436">
        <f t="shared" si="358"/>
        <v>0</v>
      </c>
      <c r="Q606" s="427">
        <f>+Q607+Q608</f>
        <v>133212</v>
      </c>
      <c r="R606" s="428">
        <v>0</v>
      </c>
      <c r="S606" s="428">
        <v>0</v>
      </c>
      <c r="T606" s="428">
        <v>0</v>
      </c>
      <c r="U606" s="428">
        <v>0</v>
      </c>
      <c r="V606" s="428">
        <v>0</v>
      </c>
      <c r="W606" s="428">
        <v>0</v>
      </c>
      <c r="X606" s="429">
        <f>+X607+X608</f>
        <v>133212</v>
      </c>
      <c r="Y606" s="3756"/>
    </row>
    <row r="607" spans="1:27" s="2165" customFormat="1" ht="13.5" customHeight="1">
      <c r="A607" s="3753"/>
      <c r="B607" s="2174" t="s">
        <v>23</v>
      </c>
      <c r="C607" s="3625"/>
      <c r="D607" s="2192">
        <f t="shared" ref="D607:D608" si="359">M607+P607+Q607+R607+S607+T607+U607+V607+W607</f>
        <v>1771239</v>
      </c>
      <c r="E607" s="430">
        <f>+F607+G607+H607</f>
        <v>139894</v>
      </c>
      <c r="F607" s="430">
        <v>0</v>
      </c>
      <c r="G607" s="430">
        <v>0</v>
      </c>
      <c r="H607" s="430">
        <v>139894</v>
      </c>
      <c r="I607" s="430">
        <v>1247247</v>
      </c>
      <c r="J607" s="430">
        <v>0</v>
      </c>
      <c r="K607" s="430">
        <v>35833</v>
      </c>
      <c r="L607" s="431">
        <v>0</v>
      </c>
      <c r="M607" s="2192">
        <f t="shared" ref="M607:M608" si="360">+E607+I607+J607+K607+L607+N607+O607</f>
        <v>1638027</v>
      </c>
      <c r="N607" s="430">
        <f>50000-50000</f>
        <v>0</v>
      </c>
      <c r="O607" s="430">
        <f>300000+50000-133212-1735</f>
        <v>215053</v>
      </c>
      <c r="P607" s="1289">
        <f>133212-133212</f>
        <v>0</v>
      </c>
      <c r="Q607" s="430">
        <v>133212</v>
      </c>
      <c r="R607" s="432">
        <v>0</v>
      </c>
      <c r="S607" s="432">
        <v>0</v>
      </c>
      <c r="T607" s="432">
        <v>0</v>
      </c>
      <c r="U607" s="432">
        <v>0</v>
      </c>
      <c r="V607" s="432">
        <v>0</v>
      </c>
      <c r="W607" s="432">
        <v>0</v>
      </c>
      <c r="X607" s="44">
        <f>SUM(Q607:W607)</f>
        <v>133212</v>
      </c>
      <c r="Y607" s="3756"/>
    </row>
    <row r="608" spans="1:27" s="2165" customFormat="1" ht="13.5" customHeight="1">
      <c r="A608" s="3753"/>
      <c r="B608" s="811" t="s">
        <v>131</v>
      </c>
      <c r="C608" s="3628"/>
      <c r="D608" s="2192">
        <f t="shared" si="359"/>
        <v>2844227</v>
      </c>
      <c r="E608" s="430">
        <f>+F608+G608+H608</f>
        <v>279786</v>
      </c>
      <c r="F608" s="430">
        <v>0</v>
      </c>
      <c r="G608" s="430">
        <v>0</v>
      </c>
      <c r="H608" s="430">
        <v>279786</v>
      </c>
      <c r="I608" s="430">
        <v>2494494</v>
      </c>
      <c r="J608" s="430">
        <v>0</v>
      </c>
      <c r="K608" s="430">
        <v>69947</v>
      </c>
      <c r="L608" s="433">
        <v>0</v>
      </c>
      <c r="M608" s="2192">
        <f t="shared" si="360"/>
        <v>2844227</v>
      </c>
      <c r="N608" s="433">
        <v>0</v>
      </c>
      <c r="O608" s="434">
        <v>0</v>
      </c>
      <c r="P608" s="435">
        <v>0</v>
      </c>
      <c r="Q608" s="432">
        <v>0</v>
      </c>
      <c r="R608" s="432">
        <v>0</v>
      </c>
      <c r="S608" s="432">
        <v>0</v>
      </c>
      <c r="T608" s="432">
        <v>0</v>
      </c>
      <c r="U608" s="432">
        <v>0</v>
      </c>
      <c r="V608" s="432">
        <v>0</v>
      </c>
      <c r="W608" s="432">
        <v>0</v>
      </c>
      <c r="X608" s="44">
        <f>SUM(Q608:W608)</f>
        <v>0</v>
      </c>
      <c r="Y608" s="3756"/>
    </row>
    <row r="609" spans="1:141" s="2165" customFormat="1" ht="12.75" customHeight="1">
      <c r="A609" s="3754"/>
      <c r="B609" s="25" t="s">
        <v>33</v>
      </c>
      <c r="C609" s="26"/>
      <c r="D609" s="79">
        <f>+D610</f>
        <v>2844227</v>
      </c>
      <c r="E609" s="79">
        <f t="shared" ref="E609:P610" si="361">+E610</f>
        <v>279786</v>
      </c>
      <c r="F609" s="79">
        <f t="shared" si="361"/>
        <v>0</v>
      </c>
      <c r="G609" s="79">
        <f t="shared" si="361"/>
        <v>0</v>
      </c>
      <c r="H609" s="79">
        <f t="shared" si="361"/>
        <v>279786</v>
      </c>
      <c r="I609" s="79">
        <f t="shared" si="361"/>
        <v>2494494</v>
      </c>
      <c r="J609" s="79">
        <f t="shared" si="361"/>
        <v>0</v>
      </c>
      <c r="K609" s="79">
        <f t="shared" si="361"/>
        <v>69947</v>
      </c>
      <c r="L609" s="79">
        <f t="shared" si="361"/>
        <v>0</v>
      </c>
      <c r="M609" s="79">
        <f t="shared" si="361"/>
        <v>2844227</v>
      </c>
      <c r="N609" s="2175">
        <f t="shared" si="361"/>
        <v>0</v>
      </c>
      <c r="O609" s="2176">
        <f t="shared" si="361"/>
        <v>0</v>
      </c>
      <c r="P609" s="2176">
        <f t="shared" si="361"/>
        <v>0</v>
      </c>
      <c r="Q609" s="397">
        <v>0</v>
      </c>
      <c r="R609" s="397">
        <v>0</v>
      </c>
      <c r="S609" s="397">
        <v>0</v>
      </c>
      <c r="T609" s="397">
        <v>0</v>
      </c>
      <c r="U609" s="397">
        <v>0</v>
      </c>
      <c r="V609" s="397">
        <v>0</v>
      </c>
      <c r="W609" s="397">
        <v>0</v>
      </c>
      <c r="X609" s="3765" t="s">
        <v>34</v>
      </c>
      <c r="Y609" s="3756"/>
    </row>
    <row r="610" spans="1:141" s="2165" customFormat="1" ht="13.5" customHeight="1">
      <c r="A610" s="3754"/>
      <c r="B610" s="217" t="s">
        <v>35</v>
      </c>
      <c r="C610" s="3764" t="s">
        <v>127</v>
      </c>
      <c r="D610" s="427">
        <f>+D611</f>
        <v>2844227</v>
      </c>
      <c r="E610" s="430">
        <f t="shared" si="361"/>
        <v>279786</v>
      </c>
      <c r="F610" s="430">
        <f t="shared" si="361"/>
        <v>0</v>
      </c>
      <c r="G610" s="430">
        <f t="shared" si="361"/>
        <v>0</v>
      </c>
      <c r="H610" s="430">
        <f t="shared" si="361"/>
        <v>279786</v>
      </c>
      <c r="I610" s="430">
        <f t="shared" si="361"/>
        <v>2494494</v>
      </c>
      <c r="J610" s="430">
        <f t="shared" si="361"/>
        <v>0</v>
      </c>
      <c r="K610" s="427">
        <f t="shared" si="361"/>
        <v>69947</v>
      </c>
      <c r="L610" s="427">
        <f t="shared" si="361"/>
        <v>0</v>
      </c>
      <c r="M610" s="427">
        <f t="shared" si="361"/>
        <v>2844227</v>
      </c>
      <c r="N610" s="427">
        <f t="shared" si="361"/>
        <v>0</v>
      </c>
      <c r="O610" s="2197">
        <f t="shared" si="361"/>
        <v>0</v>
      </c>
      <c r="P610" s="436">
        <f t="shared" si="361"/>
        <v>0</v>
      </c>
      <c r="Q610" s="428">
        <v>0</v>
      </c>
      <c r="R610" s="428">
        <v>0</v>
      </c>
      <c r="S610" s="428">
        <v>0</v>
      </c>
      <c r="T610" s="428">
        <v>0</v>
      </c>
      <c r="U610" s="428">
        <v>0</v>
      </c>
      <c r="V610" s="428">
        <v>0</v>
      </c>
      <c r="W610" s="428">
        <v>0</v>
      </c>
      <c r="X610" s="3766"/>
      <c r="Y610" s="3756"/>
    </row>
    <row r="611" spans="1:141" s="2165" customFormat="1" ht="13.5" customHeight="1" thickBot="1">
      <c r="A611" s="3755"/>
      <c r="B611" s="524" t="s">
        <v>131</v>
      </c>
      <c r="C611" s="3626"/>
      <c r="D611" s="2192">
        <f>M611+P611+Q611+R611+S611+T611+U611+V611+W611</f>
        <v>2844227</v>
      </c>
      <c r="E611" s="95">
        <f>+F611+G611+H611</f>
        <v>279786</v>
      </c>
      <c r="F611" s="95">
        <v>0</v>
      </c>
      <c r="G611" s="95">
        <v>0</v>
      </c>
      <c r="H611" s="95">
        <v>279786</v>
      </c>
      <c r="I611" s="95">
        <v>2494494</v>
      </c>
      <c r="J611" s="95">
        <v>0</v>
      </c>
      <c r="K611" s="95">
        <v>69947</v>
      </c>
      <c r="L611" s="89">
        <v>0</v>
      </c>
      <c r="M611" s="2192">
        <f>+E611+I611+J611+K611+L611+N611+O611</f>
        <v>2844227</v>
      </c>
      <c r="N611" s="89">
        <v>0</v>
      </c>
      <c r="O611" s="389">
        <v>0</v>
      </c>
      <c r="P611" s="389">
        <v>0</v>
      </c>
      <c r="Q611" s="423">
        <v>0</v>
      </c>
      <c r="R611" s="423">
        <v>0</v>
      </c>
      <c r="S611" s="423">
        <v>0</v>
      </c>
      <c r="T611" s="423">
        <v>0</v>
      </c>
      <c r="U611" s="423">
        <v>0</v>
      </c>
      <c r="V611" s="423">
        <v>0</v>
      </c>
      <c r="W611" s="423">
        <v>0</v>
      </c>
      <c r="X611" s="3767"/>
      <c r="Y611" s="3757"/>
    </row>
    <row r="612" spans="1:141" s="2178" customFormat="1" ht="14.25" customHeight="1">
      <c r="A612" s="3614" t="s">
        <v>79</v>
      </c>
      <c r="B612" s="91" t="s">
        <v>456</v>
      </c>
      <c r="C612" s="73" t="s">
        <v>95</v>
      </c>
      <c r="D612" s="713"/>
      <c r="E612" s="76"/>
      <c r="F612" s="76"/>
      <c r="G612" s="76"/>
      <c r="H612" s="76"/>
      <c r="I612" s="76"/>
      <c r="J612" s="76"/>
      <c r="K612" s="76"/>
      <c r="L612" s="76"/>
      <c r="M612" s="714"/>
      <c r="N612" s="714"/>
      <c r="O612" s="714"/>
      <c r="P612" s="714"/>
      <c r="Q612" s="714"/>
      <c r="R612" s="714"/>
      <c r="S612" s="714"/>
      <c r="T612" s="714"/>
      <c r="U612" s="714"/>
      <c r="V612" s="714"/>
      <c r="W612" s="714"/>
      <c r="X612" s="53"/>
      <c r="Y612" s="3617" t="s">
        <v>101</v>
      </c>
      <c r="Z612" s="2177"/>
      <c r="AA612" s="2177"/>
      <c r="AB612" s="2177"/>
      <c r="AC612" s="2177"/>
      <c r="AD612" s="2177"/>
      <c r="AE612" s="2177"/>
      <c r="AF612" s="2177"/>
      <c r="AG612" s="2177"/>
      <c r="AH612" s="2177"/>
      <c r="AI612" s="2177"/>
      <c r="AJ612" s="2177"/>
      <c r="AK612" s="2177"/>
      <c r="AL612" s="2177"/>
      <c r="AM612" s="2177"/>
      <c r="AN612" s="2177"/>
      <c r="AO612" s="2177"/>
      <c r="AP612" s="2177"/>
      <c r="AQ612" s="2177"/>
      <c r="AR612" s="2177"/>
      <c r="AS612" s="2177"/>
      <c r="AT612" s="2177"/>
      <c r="AU612" s="2177"/>
      <c r="AV612" s="2177"/>
      <c r="AW612" s="2177"/>
      <c r="AX612" s="2177"/>
      <c r="AY612" s="2177"/>
      <c r="AZ612" s="2177"/>
      <c r="BA612" s="2177"/>
      <c r="BB612" s="2177"/>
      <c r="BC612" s="2177"/>
      <c r="BD612" s="2177"/>
      <c r="BE612" s="2177"/>
      <c r="BF612" s="2177"/>
      <c r="BG612" s="2177"/>
      <c r="BH612" s="2177"/>
      <c r="BI612" s="2177"/>
      <c r="BJ612" s="2177"/>
      <c r="BK612" s="2177"/>
      <c r="BL612" s="2177"/>
      <c r="BM612" s="2177"/>
      <c r="BN612" s="2177"/>
      <c r="BO612" s="2177"/>
      <c r="BP612" s="2177"/>
      <c r="BQ612" s="2177"/>
      <c r="BR612" s="2177"/>
      <c r="BS612" s="2177"/>
      <c r="BT612" s="2177"/>
      <c r="BU612" s="2177"/>
      <c r="BV612" s="2177"/>
      <c r="BW612" s="2177"/>
      <c r="BX612" s="2177"/>
      <c r="BY612" s="2177"/>
      <c r="BZ612" s="2177"/>
      <c r="CA612" s="2177"/>
      <c r="CB612" s="2177"/>
      <c r="CC612" s="2177"/>
      <c r="CD612" s="2177"/>
      <c r="CE612" s="2177"/>
      <c r="CF612" s="2177"/>
      <c r="CG612" s="2177"/>
      <c r="CH612" s="2177"/>
      <c r="CI612" s="2177"/>
      <c r="CJ612" s="2177"/>
      <c r="CK612" s="2177"/>
      <c r="CL612" s="2177"/>
      <c r="CM612" s="2177"/>
      <c r="CN612" s="2177"/>
      <c r="CO612" s="2177"/>
      <c r="CP612" s="2177"/>
      <c r="CQ612" s="2177"/>
      <c r="CR612" s="2177"/>
      <c r="CS612" s="2177"/>
      <c r="CT612" s="2177"/>
      <c r="CU612" s="2177"/>
      <c r="CV612" s="2177"/>
      <c r="CW612" s="2177"/>
      <c r="CX612" s="2177"/>
      <c r="CY612" s="2177"/>
      <c r="CZ612" s="2177"/>
      <c r="DA612" s="2177"/>
      <c r="DB612" s="2177"/>
      <c r="DC612" s="2177"/>
      <c r="DD612" s="2177"/>
      <c r="DE612" s="2177"/>
      <c r="DF612" s="2177"/>
      <c r="DG612" s="2177"/>
      <c r="DH612" s="2177"/>
      <c r="DI612" s="2177"/>
      <c r="DJ612" s="2177"/>
      <c r="DK612" s="2177"/>
      <c r="DL612" s="2177"/>
      <c r="DM612" s="2177"/>
      <c r="DN612" s="2177"/>
      <c r="DO612" s="2177"/>
      <c r="DP612" s="2177"/>
      <c r="DQ612" s="2177"/>
      <c r="DR612" s="2177"/>
      <c r="DS612" s="2177"/>
      <c r="DT612" s="2177"/>
      <c r="DU612" s="2177"/>
      <c r="DV612" s="2177"/>
      <c r="DW612" s="2177"/>
      <c r="DX612" s="2177"/>
      <c r="DY612" s="2177"/>
      <c r="DZ612" s="2177"/>
      <c r="EA612" s="2177"/>
      <c r="EB612" s="2177"/>
      <c r="EC612" s="2177"/>
      <c r="ED612" s="2177"/>
      <c r="EE612" s="2177"/>
      <c r="EF612" s="2177"/>
      <c r="EG612" s="2177"/>
      <c r="EH612" s="2177"/>
      <c r="EI612" s="2177"/>
      <c r="EJ612" s="2177"/>
      <c r="EK612" s="2177"/>
    </row>
    <row r="613" spans="1:141" s="2177" customFormat="1" ht="12.75" customHeight="1">
      <c r="A613" s="3615"/>
      <c r="B613" s="101" t="s">
        <v>21</v>
      </c>
      <c r="C613" s="26"/>
      <c r="D613" s="170">
        <f>+D614</f>
        <v>8828560</v>
      </c>
      <c r="E613" s="165"/>
      <c r="F613" s="165"/>
      <c r="G613" s="165"/>
      <c r="H613" s="165"/>
      <c r="I613" s="165"/>
      <c r="J613" s="165">
        <f>+J614</f>
        <v>901733</v>
      </c>
      <c r="K613" s="165">
        <f t="shared" ref="K613:T614" si="362">+K614</f>
        <v>415162</v>
      </c>
      <c r="L613" s="165">
        <f t="shared" si="362"/>
        <v>438710</v>
      </c>
      <c r="M613" s="165">
        <f t="shared" si="362"/>
        <v>2218389</v>
      </c>
      <c r="N613" s="165">
        <f t="shared" si="362"/>
        <v>283177</v>
      </c>
      <c r="O613" s="165">
        <f t="shared" si="362"/>
        <v>179607</v>
      </c>
      <c r="P613" s="165">
        <f t="shared" si="362"/>
        <v>911778</v>
      </c>
      <c r="Q613" s="165">
        <f t="shared" si="362"/>
        <v>986693</v>
      </c>
      <c r="R613" s="165">
        <f t="shared" si="362"/>
        <v>621200</v>
      </c>
      <c r="S613" s="165">
        <f t="shared" si="362"/>
        <v>2020500</v>
      </c>
      <c r="T613" s="165">
        <f t="shared" si="362"/>
        <v>2070000</v>
      </c>
      <c r="U613" s="397">
        <v>0</v>
      </c>
      <c r="V613" s="397">
        <v>0</v>
      </c>
      <c r="W613" s="397">
        <v>0</v>
      </c>
      <c r="X613" s="80">
        <f>+X614</f>
        <v>5698393</v>
      </c>
      <c r="Y613" s="3618"/>
      <c r="Z613" s="2164">
        <f>+O613+P613+Q613+R613</f>
        <v>2699278</v>
      </c>
    </row>
    <row r="614" spans="1:141" s="2177" customFormat="1" ht="14.25" customHeight="1">
      <c r="A614" s="3615"/>
      <c r="B614" s="294" t="s">
        <v>35</v>
      </c>
      <c r="C614" s="3624" t="s">
        <v>98</v>
      </c>
      <c r="D614" s="145">
        <f>+D615</f>
        <v>8828560</v>
      </c>
      <c r="E614" s="166"/>
      <c r="F614" s="166"/>
      <c r="G614" s="166"/>
      <c r="H614" s="166"/>
      <c r="I614" s="166"/>
      <c r="J614" s="166">
        <f>+J615</f>
        <v>901733</v>
      </c>
      <c r="K614" s="166">
        <f t="shared" si="362"/>
        <v>415162</v>
      </c>
      <c r="L614" s="166">
        <f t="shared" si="362"/>
        <v>438710</v>
      </c>
      <c r="M614" s="166">
        <f t="shared" si="362"/>
        <v>2218389</v>
      </c>
      <c r="N614" s="166">
        <f t="shared" si="362"/>
        <v>283177</v>
      </c>
      <c r="O614" s="166">
        <f t="shared" si="362"/>
        <v>179607</v>
      </c>
      <c r="P614" s="166">
        <f t="shared" si="362"/>
        <v>911778</v>
      </c>
      <c r="Q614" s="166">
        <f t="shared" si="362"/>
        <v>986693</v>
      </c>
      <c r="R614" s="166">
        <f t="shared" si="362"/>
        <v>621200</v>
      </c>
      <c r="S614" s="166">
        <f t="shared" si="362"/>
        <v>2020500</v>
      </c>
      <c r="T614" s="166">
        <f t="shared" si="362"/>
        <v>2070000</v>
      </c>
      <c r="U614" s="398">
        <v>0</v>
      </c>
      <c r="V614" s="398">
        <v>0</v>
      </c>
      <c r="W614" s="398">
        <v>0</v>
      </c>
      <c r="X614" s="99">
        <f>+X615</f>
        <v>5698393</v>
      </c>
      <c r="Y614" s="3618"/>
    </row>
    <row r="615" spans="1:141" s="2177" customFormat="1" ht="13.5" customHeight="1" thickBot="1">
      <c r="A615" s="3616"/>
      <c r="B615" s="88" t="s">
        <v>23</v>
      </c>
      <c r="C615" s="3626"/>
      <c r="D615" s="2192">
        <f>M615+P615+Q615+R615+S615+T615+U615+V615+W615</f>
        <v>8828560</v>
      </c>
      <c r="E615" s="89"/>
      <c r="F615" s="89"/>
      <c r="G615" s="89"/>
      <c r="H615" s="89"/>
      <c r="I615" s="89"/>
      <c r="J615" s="273">
        <v>901733</v>
      </c>
      <c r="K615" s="95">
        <v>415162</v>
      </c>
      <c r="L615" s="89">
        <v>438710</v>
      </c>
      <c r="M615" s="2192">
        <f>+E615+I615+J615+K615+L615+N615+O615</f>
        <v>2218389</v>
      </c>
      <c r="N615" s="89">
        <f>559146-55736-156764-63469</f>
        <v>283177</v>
      </c>
      <c r="O615" s="89">
        <f>1368555-500000-428903-11000-249045</f>
        <v>179607</v>
      </c>
      <c r="P615" s="89">
        <f>3469876-2050000+555736+68465+63469-260054-47960-646412-241342</f>
        <v>911778</v>
      </c>
      <c r="Q615" s="89">
        <f>1925000+100000-1300000+50351+160000+51342</f>
        <v>986693</v>
      </c>
      <c r="R615" s="89">
        <f>1971200-850000-500000</f>
        <v>621200</v>
      </c>
      <c r="S615" s="89">
        <v>2020500</v>
      </c>
      <c r="T615" s="89">
        <v>2070000</v>
      </c>
      <c r="U615" s="401">
        <v>0</v>
      </c>
      <c r="V615" s="401">
        <v>0</v>
      </c>
      <c r="W615" s="401">
        <v>0</v>
      </c>
      <c r="X615" s="44">
        <f>SUM(Q615:W615)</f>
        <v>5698393</v>
      </c>
      <c r="Y615" s="3619"/>
      <c r="Z615" s="2179"/>
    </row>
    <row r="616" spans="1:141" s="2165" customFormat="1" ht="23.25" customHeight="1">
      <c r="A616" s="3743" t="s">
        <v>80</v>
      </c>
      <c r="B616" s="3240" t="s">
        <v>267</v>
      </c>
      <c r="C616" s="73" t="s">
        <v>95</v>
      </c>
      <c r="D616" s="135"/>
      <c r="E616" s="136"/>
      <c r="F616" s="3241"/>
      <c r="G616" s="136"/>
      <c r="H616" s="136"/>
      <c r="I616" s="136"/>
      <c r="J616" s="136"/>
      <c r="K616" s="136"/>
      <c r="L616" s="136"/>
      <c r="M616" s="316"/>
      <c r="N616" s="316"/>
      <c r="O616" s="316"/>
      <c r="P616" s="316"/>
      <c r="Q616" s="316"/>
      <c r="R616" s="316"/>
      <c r="S616" s="316"/>
      <c r="T616" s="316"/>
      <c r="U616" s="316"/>
      <c r="V616" s="316"/>
      <c r="W616" s="316"/>
      <c r="X616" s="53"/>
      <c r="Y616" s="3746" t="s">
        <v>283</v>
      </c>
    </row>
    <row r="617" spans="1:141" s="2165" customFormat="1" ht="12">
      <c r="A617" s="3744"/>
      <c r="B617" s="101" t="s">
        <v>21</v>
      </c>
      <c r="C617" s="26"/>
      <c r="D617" s="170">
        <f>+D618</f>
        <v>45601289</v>
      </c>
      <c r="E617" s="138">
        <f>+E618</f>
        <v>7100000</v>
      </c>
      <c r="F617" s="138">
        <f t="shared" ref="F617:X618" si="363">+F618</f>
        <v>0</v>
      </c>
      <c r="G617" s="138">
        <f t="shared" si="363"/>
        <v>5300000</v>
      </c>
      <c r="H617" s="138">
        <f t="shared" si="363"/>
        <v>1800000</v>
      </c>
      <c r="I617" s="138">
        <f t="shared" si="363"/>
        <v>0</v>
      </c>
      <c r="J617" s="138">
        <f t="shared" si="363"/>
        <v>1800000</v>
      </c>
      <c r="K617" s="138">
        <f t="shared" si="363"/>
        <v>3301289</v>
      </c>
      <c r="L617" s="138">
        <f t="shared" si="363"/>
        <v>4200000</v>
      </c>
      <c r="M617" s="138">
        <f t="shared" si="363"/>
        <v>26401289</v>
      </c>
      <c r="N617" s="138">
        <f t="shared" si="363"/>
        <v>5000000</v>
      </c>
      <c r="O617" s="138">
        <f t="shared" si="363"/>
        <v>5000000</v>
      </c>
      <c r="P617" s="138">
        <f t="shared" si="363"/>
        <v>5000000</v>
      </c>
      <c r="Q617" s="138">
        <f t="shared" si="363"/>
        <v>5000000</v>
      </c>
      <c r="R617" s="138">
        <f t="shared" si="363"/>
        <v>5000000</v>
      </c>
      <c r="S617" s="138">
        <f t="shared" si="363"/>
        <v>2700000</v>
      </c>
      <c r="T617" s="138">
        <f t="shared" si="363"/>
        <v>1500000</v>
      </c>
      <c r="U617" s="138"/>
      <c r="V617" s="138"/>
      <c r="W617" s="138"/>
      <c r="X617" s="40">
        <f t="shared" si="363"/>
        <v>14200000</v>
      </c>
      <c r="Y617" s="3747"/>
      <c r="Z617" s="2164">
        <f>+O617+P617+Q617+R617+4200000</f>
        <v>24200000</v>
      </c>
    </row>
    <row r="618" spans="1:141" s="2165" customFormat="1" ht="12">
      <c r="A618" s="3744"/>
      <c r="B618" s="294" t="s">
        <v>35</v>
      </c>
      <c r="C618" s="3624" t="s">
        <v>127</v>
      </c>
      <c r="D618" s="145">
        <f>+D619</f>
        <v>45601289</v>
      </c>
      <c r="E618" s="139">
        <f>+E619</f>
        <v>7100000</v>
      </c>
      <c r="F618" s="139">
        <f t="shared" si="363"/>
        <v>0</v>
      </c>
      <c r="G618" s="139">
        <f t="shared" si="363"/>
        <v>5300000</v>
      </c>
      <c r="H618" s="139">
        <f t="shared" si="363"/>
        <v>1800000</v>
      </c>
      <c r="I618" s="139">
        <f t="shared" si="363"/>
        <v>0</v>
      </c>
      <c r="J618" s="139">
        <f t="shared" si="363"/>
        <v>1800000</v>
      </c>
      <c r="K618" s="140">
        <f t="shared" si="363"/>
        <v>3301289</v>
      </c>
      <c r="L618" s="140">
        <f t="shared" si="363"/>
        <v>4200000</v>
      </c>
      <c r="M618" s="140">
        <f t="shared" si="363"/>
        <v>26401289</v>
      </c>
      <c r="N618" s="140">
        <f t="shared" si="363"/>
        <v>5000000</v>
      </c>
      <c r="O618" s="140">
        <f t="shared" si="363"/>
        <v>5000000</v>
      </c>
      <c r="P618" s="140">
        <f t="shared" si="363"/>
        <v>5000000</v>
      </c>
      <c r="Q618" s="140">
        <f t="shared" si="363"/>
        <v>5000000</v>
      </c>
      <c r="R618" s="140">
        <f t="shared" si="363"/>
        <v>5000000</v>
      </c>
      <c r="S618" s="140">
        <f t="shared" si="363"/>
        <v>2700000</v>
      </c>
      <c r="T618" s="140">
        <f t="shared" si="363"/>
        <v>1500000</v>
      </c>
      <c r="U618" s="3242"/>
      <c r="V618" s="3242"/>
      <c r="W618" s="3242"/>
      <c r="X618" s="143">
        <f>+X619</f>
        <v>14200000</v>
      </c>
      <c r="Y618" s="3747"/>
    </row>
    <row r="619" spans="1:141" s="2165" customFormat="1" thickBot="1">
      <c r="A619" s="3745"/>
      <c r="B619" s="407" t="s">
        <v>23</v>
      </c>
      <c r="C619" s="3749"/>
      <c r="D619" s="2192">
        <f>M619+P619+Q619+R619+S619+T619+U619+V619+W619</f>
        <v>45601289</v>
      </c>
      <c r="E619" s="89">
        <f>+F619+G619+H619</f>
        <v>7100000</v>
      </c>
      <c r="F619" s="3243">
        <v>0</v>
      </c>
      <c r="G619" s="224">
        <v>5300000</v>
      </c>
      <c r="H619" s="396">
        <v>1800000</v>
      </c>
      <c r="I619" s="396">
        <v>0</v>
      </c>
      <c r="J619" s="224">
        <v>1800000</v>
      </c>
      <c r="K619" s="396">
        <f>1502000+1800000-711</f>
        <v>3301289</v>
      </c>
      <c r="L619" s="396">
        <f>1502000+2700000-2000</f>
        <v>4200000</v>
      </c>
      <c r="M619" s="2192">
        <f>+E619+I619+J619+K619+L619+N619+O619</f>
        <v>26401289</v>
      </c>
      <c r="N619" s="3244">
        <f>5002000-2000</f>
        <v>5000000</v>
      </c>
      <c r="O619" s="3244">
        <f>5002000-2000</f>
        <v>5000000</v>
      </c>
      <c r="P619" s="3244">
        <f>5002000-2000</f>
        <v>5000000</v>
      </c>
      <c r="Q619" s="3244">
        <v>5000000</v>
      </c>
      <c r="R619" s="3244">
        <v>5000000</v>
      </c>
      <c r="S619" s="3244">
        <v>2700000</v>
      </c>
      <c r="T619" s="3244">
        <v>1500000</v>
      </c>
      <c r="U619" s="3245"/>
      <c r="V619" s="3245"/>
      <c r="W619" s="3245"/>
      <c r="X619" s="44">
        <f>SUM(Q619:W619)</f>
        <v>14200000</v>
      </c>
      <c r="Y619" s="3748"/>
      <c r="Z619" s="2164"/>
    </row>
    <row r="620" spans="1:141" s="2165" customFormat="1" ht="24" hidden="1" customHeight="1">
      <c r="A620" s="3614" t="s">
        <v>81</v>
      </c>
      <c r="B620" s="382" t="s">
        <v>132</v>
      </c>
      <c r="C620" s="73" t="s">
        <v>95</v>
      </c>
      <c r="D620" s="168"/>
      <c r="E620" s="50"/>
      <c r="F620" s="51"/>
      <c r="G620" s="51"/>
      <c r="H620" s="50"/>
      <c r="I620" s="50"/>
      <c r="J620" s="50"/>
      <c r="K620" s="50"/>
      <c r="L620" s="50"/>
      <c r="M620" s="52"/>
      <c r="N620" s="52"/>
      <c r="O620" s="52"/>
      <c r="P620" s="52"/>
      <c r="Q620" s="52"/>
      <c r="R620" s="52"/>
      <c r="S620" s="52"/>
      <c r="T620" s="52"/>
      <c r="U620" s="52"/>
      <c r="V620" s="52"/>
      <c r="W620" s="52"/>
      <c r="X620" s="53"/>
      <c r="Y620" s="3617" t="s">
        <v>101</v>
      </c>
    </row>
    <row r="621" spans="1:141" s="2165" customFormat="1" ht="12" hidden="1" customHeight="1">
      <c r="A621" s="3615"/>
      <c r="B621" s="25" t="s">
        <v>21</v>
      </c>
      <c r="C621" s="26"/>
      <c r="D621" s="165"/>
      <c r="E621" s="165"/>
      <c r="F621" s="165"/>
      <c r="G621" s="165"/>
      <c r="H621" s="165"/>
      <c r="I621" s="165"/>
      <c r="J621" s="165"/>
      <c r="K621" s="165"/>
      <c r="L621" s="165"/>
      <c r="M621" s="165"/>
      <c r="N621" s="165"/>
      <c r="O621" s="165"/>
      <c r="P621" s="165"/>
      <c r="Q621" s="165"/>
      <c r="R621" s="165"/>
      <c r="S621" s="165"/>
      <c r="T621" s="165"/>
      <c r="U621" s="410"/>
      <c r="V621" s="410"/>
      <c r="W621" s="410"/>
      <c r="X621" s="117"/>
      <c r="Y621" s="3618"/>
    </row>
    <row r="622" spans="1:141" s="2165" customFormat="1" ht="11.25" hidden="1" customHeight="1">
      <c r="A622" s="3615"/>
      <c r="B622" s="217" t="s">
        <v>35</v>
      </c>
      <c r="C622" s="3624" t="s">
        <v>98</v>
      </c>
      <c r="D622" s="166"/>
      <c r="E622" s="166"/>
      <c r="F622" s="166"/>
      <c r="G622" s="166"/>
      <c r="H622" s="166"/>
      <c r="I622" s="166"/>
      <c r="J622" s="166"/>
      <c r="K622" s="166"/>
      <c r="L622" s="166"/>
      <c r="M622" s="166"/>
      <c r="N622" s="166"/>
      <c r="O622" s="166"/>
      <c r="P622" s="166"/>
      <c r="Q622" s="166"/>
      <c r="R622" s="166"/>
      <c r="S622" s="166"/>
      <c r="T622" s="166"/>
      <c r="U622" s="409"/>
      <c r="V622" s="409"/>
      <c r="W622" s="409"/>
      <c r="X622" s="83"/>
      <c r="Y622" s="3618"/>
    </row>
    <row r="623" spans="1:141" s="2165" customFormat="1" hidden="1" thickBot="1">
      <c r="A623" s="3616"/>
      <c r="B623" s="826" t="s">
        <v>23</v>
      </c>
      <c r="C623" s="3749"/>
      <c r="D623" s="113"/>
      <c r="E623" s="89"/>
      <c r="F623" s="310"/>
      <c r="G623" s="310"/>
      <c r="H623" s="310"/>
      <c r="I623" s="311"/>
      <c r="J623" s="311"/>
      <c r="K623" s="311"/>
      <c r="L623" s="310"/>
      <c r="M623" s="310"/>
      <c r="N623" s="310"/>
      <c r="O623" s="310"/>
      <c r="P623" s="310"/>
      <c r="Q623" s="310"/>
      <c r="R623" s="310"/>
      <c r="S623" s="310"/>
      <c r="T623" s="310"/>
      <c r="U623" s="827"/>
      <c r="V623" s="827"/>
      <c r="W623" s="827"/>
      <c r="X623" s="828"/>
      <c r="Y623" s="3619"/>
    </row>
    <row r="624" spans="1:141" s="2165" customFormat="1" ht="14.25" hidden="1" customHeight="1">
      <c r="A624" s="3614" t="s">
        <v>81</v>
      </c>
      <c r="B624" s="382"/>
      <c r="C624" s="73" t="s">
        <v>95</v>
      </c>
      <c r="D624" s="168"/>
      <c r="E624" s="50"/>
      <c r="F624" s="51"/>
      <c r="G624" s="51"/>
      <c r="H624" s="50"/>
      <c r="I624" s="50"/>
      <c r="J624" s="50"/>
      <c r="K624" s="50"/>
      <c r="L624" s="50"/>
      <c r="M624" s="52"/>
      <c r="N624" s="52"/>
      <c r="O624" s="52"/>
      <c r="P624" s="52"/>
      <c r="Q624" s="711"/>
      <c r="R624" s="711"/>
      <c r="S624" s="711"/>
      <c r="T624" s="711"/>
      <c r="U624" s="52"/>
      <c r="V624" s="52"/>
      <c r="W624" s="52"/>
      <c r="X624" s="53"/>
      <c r="Y624" s="3617" t="s">
        <v>101</v>
      </c>
    </row>
    <row r="625" spans="1:26" s="2165" customFormat="1" ht="13.5" hidden="1" customHeight="1">
      <c r="A625" s="3615"/>
      <c r="B625" s="25" t="s">
        <v>21</v>
      </c>
      <c r="C625" s="26"/>
      <c r="D625" s="165">
        <f>+D626</f>
        <v>0</v>
      </c>
      <c r="E625" s="165">
        <f t="shared" ref="E625:O625" si="364">+E626</f>
        <v>0</v>
      </c>
      <c r="F625" s="165">
        <f t="shared" si="364"/>
        <v>0</v>
      </c>
      <c r="G625" s="165">
        <f t="shared" si="364"/>
        <v>0</v>
      </c>
      <c r="H625" s="165">
        <f t="shared" si="364"/>
        <v>0</v>
      </c>
      <c r="I625" s="165">
        <f t="shared" si="364"/>
        <v>0</v>
      </c>
      <c r="J625" s="165">
        <f t="shared" si="364"/>
        <v>0</v>
      </c>
      <c r="K625" s="165">
        <f t="shared" si="364"/>
        <v>0</v>
      </c>
      <c r="L625" s="165">
        <f>+L626</f>
        <v>0</v>
      </c>
      <c r="M625" s="165">
        <f t="shared" si="364"/>
        <v>0</v>
      </c>
      <c r="N625" s="165">
        <f t="shared" si="364"/>
        <v>0</v>
      </c>
      <c r="O625" s="165">
        <f t="shared" si="364"/>
        <v>0</v>
      </c>
      <c r="P625" s="397">
        <v>0</v>
      </c>
      <c r="Q625" s="397">
        <v>0</v>
      </c>
      <c r="R625" s="397">
        <v>0</v>
      </c>
      <c r="S625" s="397">
        <v>0</v>
      </c>
      <c r="T625" s="397">
        <v>0</v>
      </c>
      <c r="U625" s="397">
        <v>0</v>
      </c>
      <c r="V625" s="397">
        <v>0</v>
      </c>
      <c r="W625" s="397">
        <v>0</v>
      </c>
      <c r="X625" s="80">
        <f>+X626</f>
        <v>0</v>
      </c>
      <c r="Y625" s="3618"/>
      <c r="Z625" s="2164">
        <f>+O625+P625+Q625+R625</f>
        <v>0</v>
      </c>
    </row>
    <row r="626" spans="1:26" s="2165" customFormat="1" ht="12.75" hidden="1" customHeight="1">
      <c r="A626" s="3615"/>
      <c r="B626" s="217" t="s">
        <v>35</v>
      </c>
      <c r="C626" s="3624" t="s">
        <v>98</v>
      </c>
      <c r="D626" s="166">
        <f>+D627+D628</f>
        <v>0</v>
      </c>
      <c r="E626" s="166">
        <f t="shared" ref="E626:M626" si="365">+E627+E628</f>
        <v>0</v>
      </c>
      <c r="F626" s="166">
        <f t="shared" si="365"/>
        <v>0</v>
      </c>
      <c r="G626" s="166">
        <f t="shared" si="365"/>
        <v>0</v>
      </c>
      <c r="H626" s="166">
        <f t="shared" si="365"/>
        <v>0</v>
      </c>
      <c r="I626" s="166">
        <f t="shared" si="365"/>
        <v>0</v>
      </c>
      <c r="J626" s="166">
        <f t="shared" si="365"/>
        <v>0</v>
      </c>
      <c r="K626" s="166">
        <f t="shared" si="365"/>
        <v>0</v>
      </c>
      <c r="L626" s="166">
        <f>+L627+L628</f>
        <v>0</v>
      </c>
      <c r="M626" s="166">
        <f t="shared" si="365"/>
        <v>0</v>
      </c>
      <c r="N626" s="166">
        <f>+N627+N628</f>
        <v>0</v>
      </c>
      <c r="O626" s="166">
        <f>+O627+O628</f>
        <v>0</v>
      </c>
      <c r="P626" s="398">
        <v>0</v>
      </c>
      <c r="Q626" s="398">
        <v>0</v>
      </c>
      <c r="R626" s="398">
        <v>0</v>
      </c>
      <c r="S626" s="398">
        <v>0</v>
      </c>
      <c r="T626" s="398">
        <v>0</v>
      </c>
      <c r="U626" s="398">
        <v>0</v>
      </c>
      <c r="V626" s="398">
        <v>0</v>
      </c>
      <c r="W626" s="398">
        <v>0</v>
      </c>
      <c r="X626" s="99">
        <f>+X627+X628</f>
        <v>0</v>
      </c>
      <c r="Y626" s="3618"/>
      <c r="Z626" s="2165" t="s">
        <v>311</v>
      </c>
    </row>
    <row r="627" spans="1:26" s="2165" customFormat="1" ht="12" hidden="1">
      <c r="A627" s="3615"/>
      <c r="B627" s="829" t="s">
        <v>23</v>
      </c>
      <c r="C627" s="3612"/>
      <c r="D627" s="66">
        <f>+M627+O627</f>
        <v>0</v>
      </c>
      <c r="E627" s="59">
        <f>+F627+G627+H627</f>
        <v>0</v>
      </c>
      <c r="F627" s="110">
        <v>0</v>
      </c>
      <c r="G627" s="110"/>
      <c r="H627" s="110">
        <v>0</v>
      </c>
      <c r="I627" s="109">
        <f>9525-9525</f>
        <v>0</v>
      </c>
      <c r="J627" s="109"/>
      <c r="K627" s="109"/>
      <c r="L627" s="110"/>
      <c r="M627" s="110">
        <f>+J627+K627+L627+N627</f>
        <v>0</v>
      </c>
      <c r="N627" s="110"/>
      <c r="O627" s="110"/>
      <c r="P627" s="401">
        <v>0</v>
      </c>
      <c r="Q627" s="401">
        <v>0</v>
      </c>
      <c r="R627" s="401">
        <v>0</v>
      </c>
      <c r="S627" s="401">
        <v>0</v>
      </c>
      <c r="T627" s="401">
        <v>0</v>
      </c>
      <c r="U627" s="401">
        <v>0</v>
      </c>
      <c r="V627" s="401">
        <v>0</v>
      </c>
      <c r="W627" s="401">
        <v>0</v>
      </c>
      <c r="X627" s="44">
        <f>SUM(P627:T627)</f>
        <v>0</v>
      </c>
      <c r="Y627" s="3618"/>
    </row>
    <row r="628" spans="1:26" s="2165" customFormat="1" ht="12" hidden="1">
      <c r="A628" s="3615"/>
      <c r="B628" s="830" t="s">
        <v>26</v>
      </c>
      <c r="C628" s="3670"/>
      <c r="D628" s="66">
        <f>+M628+O628</f>
        <v>0</v>
      </c>
      <c r="E628" s="267"/>
      <c r="F628" s="306"/>
      <c r="G628" s="306"/>
      <c r="H628" s="306"/>
      <c r="I628" s="308"/>
      <c r="J628" s="308"/>
      <c r="K628" s="308"/>
      <c r="L628" s="306"/>
      <c r="M628" s="110">
        <f>+J628+K628+L628+N628</f>
        <v>0</v>
      </c>
      <c r="N628" s="306"/>
      <c r="O628" s="306"/>
      <c r="P628" s="401">
        <v>0</v>
      </c>
      <c r="Q628" s="401">
        <v>0</v>
      </c>
      <c r="R628" s="401">
        <v>0</v>
      </c>
      <c r="S628" s="401">
        <v>0</v>
      </c>
      <c r="T628" s="401">
        <v>0</v>
      </c>
      <c r="U628" s="401">
        <v>0</v>
      </c>
      <c r="V628" s="401">
        <v>0</v>
      </c>
      <c r="W628" s="401">
        <v>0</v>
      </c>
      <c r="X628" s="44">
        <f>SUM(P628:T628)</f>
        <v>0</v>
      </c>
      <c r="Y628" s="3191"/>
    </row>
    <row r="629" spans="1:26" s="2165" customFormat="1" ht="10.5" hidden="1" customHeight="1">
      <c r="A629" s="3615"/>
      <c r="B629" s="25" t="s">
        <v>33</v>
      </c>
      <c r="C629" s="26"/>
      <c r="D629" s="165">
        <f>+D630</f>
        <v>0</v>
      </c>
      <c r="E629" s="165">
        <f t="shared" ref="E629:O630" si="366">+E630</f>
        <v>0</v>
      </c>
      <c r="F629" s="165">
        <f t="shared" si="366"/>
        <v>0</v>
      </c>
      <c r="G629" s="165">
        <f t="shared" si="366"/>
        <v>0</v>
      </c>
      <c r="H629" s="165">
        <f t="shared" si="366"/>
        <v>0</v>
      </c>
      <c r="I629" s="165">
        <f t="shared" si="366"/>
        <v>0</v>
      </c>
      <c r="J629" s="165">
        <f t="shared" si="366"/>
        <v>0</v>
      </c>
      <c r="K629" s="165">
        <f t="shared" si="366"/>
        <v>0</v>
      </c>
      <c r="L629" s="165">
        <f t="shared" si="366"/>
        <v>0</v>
      </c>
      <c r="M629" s="165">
        <f t="shared" si="366"/>
        <v>0</v>
      </c>
      <c r="N629" s="165">
        <f t="shared" si="366"/>
        <v>0</v>
      </c>
      <c r="O629" s="165">
        <f t="shared" si="366"/>
        <v>0</v>
      </c>
      <c r="P629" s="397">
        <v>0</v>
      </c>
      <c r="Q629" s="397">
        <v>0</v>
      </c>
      <c r="R629" s="397">
        <v>0</v>
      </c>
      <c r="S629" s="397">
        <v>0</v>
      </c>
      <c r="T629" s="397">
        <v>0</v>
      </c>
      <c r="U629" s="397">
        <v>0</v>
      </c>
      <c r="V629" s="397">
        <v>0</v>
      </c>
      <c r="W629" s="397">
        <v>0</v>
      </c>
      <c r="X629" s="3783" t="s">
        <v>34</v>
      </c>
      <c r="Y629" s="3742" t="s">
        <v>118</v>
      </c>
    </row>
    <row r="630" spans="1:26" s="2165" customFormat="1" ht="12.75" hidden="1" customHeight="1">
      <c r="A630" s="3615"/>
      <c r="B630" s="217" t="s">
        <v>35</v>
      </c>
      <c r="C630" s="3657" t="s">
        <v>98</v>
      </c>
      <c r="D630" s="166">
        <f>+D631</f>
        <v>0</v>
      </c>
      <c r="E630" s="166">
        <f t="shared" si="366"/>
        <v>0</v>
      </c>
      <c r="F630" s="166">
        <f t="shared" si="366"/>
        <v>0</v>
      </c>
      <c r="G630" s="166">
        <f t="shared" si="366"/>
        <v>0</v>
      </c>
      <c r="H630" s="166">
        <f t="shared" si="366"/>
        <v>0</v>
      </c>
      <c r="I630" s="166">
        <f t="shared" si="366"/>
        <v>0</v>
      </c>
      <c r="J630" s="166">
        <f t="shared" si="366"/>
        <v>0</v>
      </c>
      <c r="K630" s="166">
        <f t="shared" si="366"/>
        <v>0</v>
      </c>
      <c r="L630" s="166">
        <f t="shared" si="366"/>
        <v>0</v>
      </c>
      <c r="M630" s="166">
        <f t="shared" si="366"/>
        <v>0</v>
      </c>
      <c r="N630" s="166">
        <f t="shared" si="366"/>
        <v>0</v>
      </c>
      <c r="O630" s="166">
        <f t="shared" si="366"/>
        <v>0</v>
      </c>
      <c r="P630" s="398">
        <v>0</v>
      </c>
      <c r="Q630" s="398">
        <v>0</v>
      </c>
      <c r="R630" s="398">
        <v>0</v>
      </c>
      <c r="S630" s="398">
        <v>0</v>
      </c>
      <c r="T630" s="398">
        <v>0</v>
      </c>
      <c r="U630" s="398">
        <v>0</v>
      </c>
      <c r="V630" s="398">
        <v>0</v>
      </c>
      <c r="W630" s="398">
        <v>0</v>
      </c>
      <c r="X630" s="3776"/>
      <c r="Y630" s="3618"/>
    </row>
    <row r="631" spans="1:26" s="2165" customFormat="1" ht="13.5" hidden="1" customHeight="1" thickBot="1">
      <c r="A631" s="3616"/>
      <c r="B631" s="826" t="s">
        <v>26</v>
      </c>
      <c r="C631" s="3621"/>
      <c r="D631" s="113">
        <f>+M631+O631</f>
        <v>0</v>
      </c>
      <c r="E631" s="70"/>
      <c r="F631" s="715"/>
      <c r="G631" s="715"/>
      <c r="H631" s="715"/>
      <c r="I631" s="716"/>
      <c r="J631" s="716"/>
      <c r="K631" s="716"/>
      <c r="L631" s="95"/>
      <c r="M631" s="95">
        <f>+L631+N631</f>
        <v>0</v>
      </c>
      <c r="N631" s="95"/>
      <c r="O631" s="95"/>
      <c r="P631" s="401">
        <v>0</v>
      </c>
      <c r="Q631" s="401">
        <v>0</v>
      </c>
      <c r="R631" s="401">
        <v>0</v>
      </c>
      <c r="S631" s="401">
        <v>0</v>
      </c>
      <c r="T631" s="401">
        <v>0</v>
      </c>
      <c r="U631" s="401">
        <v>0</v>
      </c>
      <c r="V631" s="401">
        <v>0</v>
      </c>
      <c r="W631" s="401">
        <v>0</v>
      </c>
      <c r="X631" s="3777"/>
      <c r="Y631" s="3619"/>
    </row>
    <row r="632" spans="1:26" s="2165" customFormat="1" ht="25.5" customHeight="1">
      <c r="A632" s="3614" t="s">
        <v>81</v>
      </c>
      <c r="B632" s="382" t="s">
        <v>576</v>
      </c>
      <c r="C632" s="73" t="s">
        <v>95</v>
      </c>
      <c r="D632" s="50"/>
      <c r="E632" s="50"/>
      <c r="F632" s="51"/>
      <c r="G632" s="51"/>
      <c r="H632" s="50"/>
      <c r="I632" s="50"/>
      <c r="J632" s="50"/>
      <c r="K632" s="50"/>
      <c r="L632" s="50"/>
      <c r="M632" s="50"/>
      <c r="N632" s="50"/>
      <c r="O632" s="50"/>
      <c r="P632" s="52"/>
      <c r="Q632" s="52"/>
      <c r="R632" s="52"/>
      <c r="S632" s="52"/>
      <c r="T632" s="52"/>
      <c r="U632" s="52"/>
      <c r="V632" s="52"/>
      <c r="W632" s="52"/>
      <c r="X632" s="53"/>
      <c r="Y632" s="3617" t="s">
        <v>101</v>
      </c>
    </row>
    <row r="633" spans="1:26" s="2165" customFormat="1" ht="12">
      <c r="A633" s="3615"/>
      <c r="B633" s="25" t="s">
        <v>21</v>
      </c>
      <c r="C633" s="26"/>
      <c r="D633" s="165">
        <f>+D634</f>
        <v>1743306</v>
      </c>
      <c r="E633" s="165">
        <f t="shared" ref="E633:Q634" si="367">+E634</f>
        <v>0</v>
      </c>
      <c r="F633" s="165">
        <f t="shared" si="367"/>
        <v>0</v>
      </c>
      <c r="G633" s="165">
        <f t="shared" si="367"/>
        <v>0</v>
      </c>
      <c r="H633" s="165">
        <f t="shared" si="367"/>
        <v>0</v>
      </c>
      <c r="I633" s="165">
        <f t="shared" si="367"/>
        <v>0</v>
      </c>
      <c r="J633" s="165">
        <f t="shared" si="367"/>
        <v>0</v>
      </c>
      <c r="K633" s="165">
        <f t="shared" si="367"/>
        <v>354120</v>
      </c>
      <c r="L633" s="165">
        <f t="shared" si="367"/>
        <v>0</v>
      </c>
      <c r="M633" s="165">
        <f t="shared" si="367"/>
        <v>503620</v>
      </c>
      <c r="N633" s="165">
        <f t="shared" si="367"/>
        <v>0</v>
      </c>
      <c r="O633" s="165">
        <f t="shared" si="367"/>
        <v>149500</v>
      </c>
      <c r="P633" s="165">
        <f t="shared" si="367"/>
        <v>0</v>
      </c>
      <c r="Q633" s="165">
        <f t="shared" si="367"/>
        <v>1239686</v>
      </c>
      <c r="R633" s="397">
        <v>0</v>
      </c>
      <c r="S633" s="397">
        <v>0</v>
      </c>
      <c r="T633" s="397">
        <v>0</v>
      </c>
      <c r="U633" s="397">
        <v>0</v>
      </c>
      <c r="V633" s="397">
        <v>0</v>
      </c>
      <c r="W633" s="397">
        <v>0</v>
      </c>
      <c r="X633" s="80">
        <f>+X634</f>
        <v>1239686</v>
      </c>
      <c r="Y633" s="3618"/>
      <c r="Z633" s="2164">
        <f>+O633+P633+Q633+R633</f>
        <v>1389186</v>
      </c>
    </row>
    <row r="634" spans="1:26" s="2165" customFormat="1" ht="12">
      <c r="A634" s="3615"/>
      <c r="B634" s="217" t="s">
        <v>35</v>
      </c>
      <c r="C634" s="3624" t="s">
        <v>98</v>
      </c>
      <c r="D634" s="166">
        <f>+D635</f>
        <v>1743306</v>
      </c>
      <c r="E634" s="166">
        <f t="shared" si="367"/>
        <v>0</v>
      </c>
      <c r="F634" s="166">
        <f t="shared" si="367"/>
        <v>0</v>
      </c>
      <c r="G634" s="166">
        <f t="shared" si="367"/>
        <v>0</v>
      </c>
      <c r="H634" s="166">
        <f t="shared" si="367"/>
        <v>0</v>
      </c>
      <c r="I634" s="166">
        <f t="shared" si="367"/>
        <v>0</v>
      </c>
      <c r="J634" s="166">
        <f t="shared" si="367"/>
        <v>0</v>
      </c>
      <c r="K634" s="166">
        <f t="shared" si="367"/>
        <v>354120</v>
      </c>
      <c r="L634" s="166">
        <f t="shared" si="367"/>
        <v>0</v>
      </c>
      <c r="M634" s="166">
        <f t="shared" si="367"/>
        <v>503620</v>
      </c>
      <c r="N634" s="166">
        <f t="shared" si="367"/>
        <v>0</v>
      </c>
      <c r="O634" s="166">
        <f t="shared" si="367"/>
        <v>149500</v>
      </c>
      <c r="P634" s="166">
        <f t="shared" si="367"/>
        <v>0</v>
      </c>
      <c r="Q634" s="166">
        <f t="shared" si="367"/>
        <v>1239686</v>
      </c>
      <c r="R634" s="398">
        <v>0</v>
      </c>
      <c r="S634" s="398">
        <v>0</v>
      </c>
      <c r="T634" s="398">
        <v>0</v>
      </c>
      <c r="U634" s="398">
        <v>0</v>
      </c>
      <c r="V634" s="398">
        <v>0</v>
      </c>
      <c r="W634" s="398">
        <v>0</v>
      </c>
      <c r="X634" s="99">
        <f>+X635</f>
        <v>1239686</v>
      </c>
      <c r="Y634" s="3618"/>
    </row>
    <row r="635" spans="1:26" s="2165" customFormat="1" thickBot="1">
      <c r="A635" s="3616"/>
      <c r="B635" s="826" t="s">
        <v>23</v>
      </c>
      <c r="C635" s="3640"/>
      <c r="D635" s="2192">
        <f>M635+P635+Q635+R635+S635+T635+U635+V635+W635</f>
        <v>1743306</v>
      </c>
      <c r="E635" s="59">
        <f>+F635+G635+H635</f>
        <v>0</v>
      </c>
      <c r="F635" s="110">
        <v>0</v>
      </c>
      <c r="G635" s="110"/>
      <c r="H635" s="110">
        <v>0</v>
      </c>
      <c r="I635" s="109">
        <f>9525-9525</f>
        <v>0</v>
      </c>
      <c r="J635" s="109"/>
      <c r="K635" s="109">
        <v>354120</v>
      </c>
      <c r="L635" s="110">
        <f>1389186-1389186</f>
        <v>0</v>
      </c>
      <c r="M635" s="2192">
        <f>+E635+I635+J635+K635+L635+N635+O635</f>
        <v>503620</v>
      </c>
      <c r="N635" s="110">
        <f>149500-149500</f>
        <v>0</v>
      </c>
      <c r="O635" s="110">
        <f>1200000+39686+149500-1239686</f>
        <v>149500</v>
      </c>
      <c r="P635" s="110">
        <f>1239686-1239686</f>
        <v>0</v>
      </c>
      <c r="Q635" s="110">
        <v>1239686</v>
      </c>
      <c r="R635" s="401">
        <v>0</v>
      </c>
      <c r="S635" s="401">
        <v>0</v>
      </c>
      <c r="T635" s="401">
        <v>0</v>
      </c>
      <c r="U635" s="401">
        <v>0</v>
      </c>
      <c r="V635" s="401">
        <v>0</v>
      </c>
      <c r="W635" s="401">
        <v>0</v>
      </c>
      <c r="X635" s="44">
        <f>SUM(Q635:W635)</f>
        <v>1239686</v>
      </c>
      <c r="Y635" s="3618"/>
    </row>
    <row r="636" spans="1:26" s="2165" customFormat="1" ht="22.5" hidden="1" customHeight="1">
      <c r="A636" s="3614" t="s">
        <v>102</v>
      </c>
      <c r="B636" s="382"/>
      <c r="C636" s="73" t="s">
        <v>95</v>
      </c>
      <c r="D636" s="168"/>
      <c r="E636" s="50"/>
      <c r="F636" s="51"/>
      <c r="G636" s="51"/>
      <c r="H636" s="50"/>
      <c r="I636" s="50"/>
      <c r="J636" s="50"/>
      <c r="K636" s="50"/>
      <c r="L636" s="50"/>
      <c r="M636" s="52"/>
      <c r="N636" s="52"/>
      <c r="O636" s="52"/>
      <c r="P636" s="52"/>
      <c r="Q636" s="52"/>
      <c r="R636" s="52"/>
      <c r="S636" s="309"/>
      <c r="T636" s="128"/>
      <c r="U636" s="309"/>
      <c r="V636" s="309"/>
      <c r="W636" s="309"/>
      <c r="X636" s="53"/>
      <c r="Y636" s="3617" t="s">
        <v>101</v>
      </c>
    </row>
    <row r="637" spans="1:26" s="2165" customFormat="1" ht="12.75" hidden="1" customHeight="1">
      <c r="A637" s="3615"/>
      <c r="B637" s="25" t="s">
        <v>21</v>
      </c>
      <c r="C637" s="26"/>
      <c r="D637" s="165">
        <f>+D638</f>
        <v>0</v>
      </c>
      <c r="E637" s="165">
        <f t="shared" ref="E637:N637" si="368">+E638</f>
        <v>0</v>
      </c>
      <c r="F637" s="165">
        <f t="shared" si="368"/>
        <v>0</v>
      </c>
      <c r="G637" s="165">
        <f t="shared" si="368"/>
        <v>0</v>
      </c>
      <c r="H637" s="165">
        <f t="shared" si="368"/>
        <v>0</v>
      </c>
      <c r="I637" s="165">
        <f t="shared" si="368"/>
        <v>0</v>
      </c>
      <c r="J637" s="165">
        <f t="shared" si="368"/>
        <v>0</v>
      </c>
      <c r="K637" s="165">
        <f t="shared" si="368"/>
        <v>0</v>
      </c>
      <c r="L637" s="165">
        <f t="shared" si="368"/>
        <v>0</v>
      </c>
      <c r="M637" s="165">
        <f t="shared" si="368"/>
        <v>0</v>
      </c>
      <c r="N637" s="165">
        <f t="shared" si="368"/>
        <v>0</v>
      </c>
      <c r="O637" s="397">
        <v>0</v>
      </c>
      <c r="P637" s="397">
        <v>0</v>
      </c>
      <c r="Q637" s="397">
        <v>0</v>
      </c>
      <c r="R637" s="397">
        <v>0</v>
      </c>
      <c r="S637" s="397">
        <v>0</v>
      </c>
      <c r="T637" s="397">
        <v>0</v>
      </c>
      <c r="U637" s="397">
        <v>0</v>
      </c>
      <c r="V637" s="397">
        <v>0</v>
      </c>
      <c r="W637" s="397">
        <v>0</v>
      </c>
      <c r="X637" s="270">
        <f>+X638</f>
        <v>0</v>
      </c>
      <c r="Y637" s="3618"/>
      <c r="Z637" s="2164">
        <f>+O637+P637+Q637+R637</f>
        <v>0</v>
      </c>
    </row>
    <row r="638" spans="1:26" s="2165" customFormat="1" ht="12.75" hidden="1" customHeight="1">
      <c r="A638" s="3615"/>
      <c r="B638" s="217" t="s">
        <v>35</v>
      </c>
      <c r="C638" s="3624" t="s">
        <v>98</v>
      </c>
      <c r="D638" s="166">
        <f>+D639+D640</f>
        <v>0</v>
      </c>
      <c r="E638" s="166">
        <f t="shared" ref="E638:N638" si="369">+E639+E640</f>
        <v>0</v>
      </c>
      <c r="F638" s="166">
        <f t="shared" si="369"/>
        <v>0</v>
      </c>
      <c r="G638" s="166">
        <f t="shared" si="369"/>
        <v>0</v>
      </c>
      <c r="H638" s="166">
        <f t="shared" si="369"/>
        <v>0</v>
      </c>
      <c r="I638" s="166">
        <f t="shared" si="369"/>
        <v>0</v>
      </c>
      <c r="J638" s="166">
        <f t="shared" si="369"/>
        <v>0</v>
      </c>
      <c r="K638" s="166">
        <f t="shared" si="369"/>
        <v>0</v>
      </c>
      <c r="L638" s="166">
        <f t="shared" si="369"/>
        <v>0</v>
      </c>
      <c r="M638" s="166">
        <f>+M639+M640</f>
        <v>0</v>
      </c>
      <c r="N638" s="166">
        <f t="shared" si="369"/>
        <v>0</v>
      </c>
      <c r="O638" s="398">
        <v>0</v>
      </c>
      <c r="P638" s="398">
        <v>0</v>
      </c>
      <c r="Q638" s="398">
        <v>0</v>
      </c>
      <c r="R638" s="398">
        <v>0</v>
      </c>
      <c r="S638" s="398">
        <v>0</v>
      </c>
      <c r="T638" s="398">
        <v>0</v>
      </c>
      <c r="U638" s="398">
        <v>0</v>
      </c>
      <c r="V638" s="398">
        <v>0</v>
      </c>
      <c r="W638" s="398">
        <v>0</v>
      </c>
      <c r="X638" s="99">
        <f>+X639</f>
        <v>0</v>
      </c>
      <c r="Y638" s="3618"/>
    </row>
    <row r="639" spans="1:26" s="2165" customFormat="1" ht="12.75" hidden="1" customHeight="1">
      <c r="A639" s="3615"/>
      <c r="B639" s="829" t="s">
        <v>23</v>
      </c>
      <c r="C639" s="3612"/>
      <c r="D639" s="325">
        <f>M639+O639+P639+Q639+R639+S639+T639+U639+V639+W639</f>
        <v>0</v>
      </c>
      <c r="E639" s="59">
        <f>+F639+G639+H639</f>
        <v>0</v>
      </c>
      <c r="F639" s="110">
        <v>0</v>
      </c>
      <c r="G639" s="110"/>
      <c r="H639" s="110">
        <v>0</v>
      </c>
      <c r="I639" s="167"/>
      <c r="J639" s="92"/>
      <c r="K639" s="109"/>
      <c r="L639" s="110"/>
      <c r="M639" s="387">
        <f>+E639+I639+J639+K639+L639+N639</f>
        <v>0</v>
      </c>
      <c r="N639" s="110"/>
      <c r="O639" s="401">
        <v>0</v>
      </c>
      <c r="P639" s="401">
        <v>0</v>
      </c>
      <c r="Q639" s="401">
        <v>0</v>
      </c>
      <c r="R639" s="401">
        <v>0</v>
      </c>
      <c r="S639" s="401">
        <v>0</v>
      </c>
      <c r="T639" s="401">
        <v>0</v>
      </c>
      <c r="U639" s="401">
        <v>0</v>
      </c>
      <c r="V639" s="401">
        <v>0</v>
      </c>
      <c r="W639" s="401">
        <v>0</v>
      </c>
      <c r="X639" s="44">
        <f>SUM(P639:T639)</f>
        <v>0</v>
      </c>
      <c r="Y639" s="3618"/>
    </row>
    <row r="640" spans="1:26" s="2165" customFormat="1" ht="12.75" hidden="1" customHeight="1">
      <c r="A640" s="3615"/>
      <c r="B640" s="830" t="s">
        <v>26</v>
      </c>
      <c r="C640" s="3670"/>
      <c r="D640" s="325">
        <f>M640+O640+P640+Q640+R640+S640+T640+U640+V640+W640</f>
        <v>0</v>
      </c>
      <c r="E640" s="267"/>
      <c r="F640" s="306"/>
      <c r="G640" s="306"/>
      <c r="H640" s="306"/>
      <c r="I640" s="308"/>
      <c r="J640" s="308"/>
      <c r="K640" s="308"/>
      <c r="L640" s="306"/>
      <c r="M640" s="387">
        <f>+E640+I640+J640+K640+L640+N640</f>
        <v>0</v>
      </c>
      <c r="N640" s="306"/>
      <c r="O640" s="401">
        <v>0</v>
      </c>
      <c r="P640" s="401">
        <v>0</v>
      </c>
      <c r="Q640" s="401">
        <v>0</v>
      </c>
      <c r="R640" s="401">
        <v>0</v>
      </c>
      <c r="S640" s="401">
        <v>0</v>
      </c>
      <c r="T640" s="401">
        <v>0</v>
      </c>
      <c r="U640" s="401">
        <v>0</v>
      </c>
      <c r="V640" s="401">
        <v>0</v>
      </c>
      <c r="W640" s="401">
        <v>0</v>
      </c>
      <c r="X640" s="44">
        <f>SUM(P640:T640)</f>
        <v>0</v>
      </c>
      <c r="Y640" s="3191"/>
    </row>
    <row r="641" spans="1:26" s="2165" customFormat="1" ht="12.75" hidden="1" customHeight="1">
      <c r="A641" s="3615"/>
      <c r="B641" s="25" t="s">
        <v>33</v>
      </c>
      <c r="C641" s="26"/>
      <c r="D641" s="165">
        <f>+D642</f>
        <v>0</v>
      </c>
      <c r="E641" s="165">
        <f t="shared" ref="E641:N642" si="370">+E642</f>
        <v>0</v>
      </c>
      <c r="F641" s="165">
        <f t="shared" si="370"/>
        <v>0</v>
      </c>
      <c r="G641" s="165">
        <f t="shared" si="370"/>
        <v>0</v>
      </c>
      <c r="H641" s="165">
        <f t="shared" si="370"/>
        <v>0</v>
      </c>
      <c r="I641" s="165">
        <f t="shared" si="370"/>
        <v>0</v>
      </c>
      <c r="J641" s="165">
        <f t="shared" si="370"/>
        <v>0</v>
      </c>
      <c r="K641" s="165">
        <f t="shared" si="370"/>
        <v>0</v>
      </c>
      <c r="L641" s="165">
        <f t="shared" si="370"/>
        <v>0</v>
      </c>
      <c r="M641" s="165">
        <f t="shared" si="370"/>
        <v>0</v>
      </c>
      <c r="N641" s="165">
        <f t="shared" si="370"/>
        <v>0</v>
      </c>
      <c r="O641" s="397">
        <v>0</v>
      </c>
      <c r="P641" s="397">
        <v>0</v>
      </c>
      <c r="Q641" s="397">
        <v>0</v>
      </c>
      <c r="R641" s="397">
        <v>0</v>
      </c>
      <c r="S641" s="397">
        <v>0</v>
      </c>
      <c r="T641" s="397">
        <v>0</v>
      </c>
      <c r="U641" s="397">
        <v>0</v>
      </c>
      <c r="V641" s="397">
        <v>0</v>
      </c>
      <c r="W641" s="397">
        <v>0</v>
      </c>
      <c r="X641" s="3784" t="s">
        <v>34</v>
      </c>
      <c r="Y641" s="3742" t="s">
        <v>118</v>
      </c>
    </row>
    <row r="642" spans="1:26" s="2165" customFormat="1" ht="12.75" hidden="1" customHeight="1">
      <c r="A642" s="3615"/>
      <c r="B642" s="217" t="s">
        <v>35</v>
      </c>
      <c r="C642" s="3657" t="s">
        <v>98</v>
      </c>
      <c r="D642" s="166">
        <f>+D643</f>
        <v>0</v>
      </c>
      <c r="E642" s="166">
        <f t="shared" si="370"/>
        <v>0</v>
      </c>
      <c r="F642" s="166">
        <f t="shared" si="370"/>
        <v>0</v>
      </c>
      <c r="G642" s="166">
        <f t="shared" si="370"/>
        <v>0</v>
      </c>
      <c r="H642" s="166">
        <f t="shared" si="370"/>
        <v>0</v>
      </c>
      <c r="I642" s="166">
        <f t="shared" si="370"/>
        <v>0</v>
      </c>
      <c r="J642" s="166">
        <f t="shared" si="370"/>
        <v>0</v>
      </c>
      <c r="K642" s="166">
        <f t="shared" si="370"/>
        <v>0</v>
      </c>
      <c r="L642" s="166">
        <f t="shared" si="370"/>
        <v>0</v>
      </c>
      <c r="M642" s="166">
        <f t="shared" si="370"/>
        <v>0</v>
      </c>
      <c r="N642" s="166">
        <f t="shared" si="370"/>
        <v>0</v>
      </c>
      <c r="O642" s="398">
        <v>0</v>
      </c>
      <c r="P642" s="398">
        <v>0</v>
      </c>
      <c r="Q642" s="398">
        <v>0</v>
      </c>
      <c r="R642" s="398">
        <v>0</v>
      </c>
      <c r="S642" s="398">
        <v>0</v>
      </c>
      <c r="T642" s="398">
        <v>0</v>
      </c>
      <c r="U642" s="398">
        <v>0</v>
      </c>
      <c r="V642" s="398">
        <v>0</v>
      </c>
      <c r="W642" s="398">
        <v>0</v>
      </c>
      <c r="X642" s="3762"/>
      <c r="Y642" s="3618"/>
    </row>
    <row r="643" spans="1:26" s="2165" customFormat="1" ht="13.5" hidden="1" customHeight="1" thickBot="1">
      <c r="A643" s="3616"/>
      <c r="B643" s="826" t="s">
        <v>26</v>
      </c>
      <c r="C643" s="3621"/>
      <c r="D643" s="325">
        <f>M643+O643+P643+Q643+R643+S643+T643+U643+V643+W643</f>
        <v>0</v>
      </c>
      <c r="E643" s="89"/>
      <c r="F643" s="310"/>
      <c r="G643" s="310"/>
      <c r="H643" s="310"/>
      <c r="I643" s="311"/>
      <c r="J643" s="311"/>
      <c r="K643" s="311"/>
      <c r="L643" s="95"/>
      <c r="M643" s="387"/>
      <c r="N643" s="95"/>
      <c r="O643" s="401">
        <v>0</v>
      </c>
      <c r="P643" s="401">
        <v>0</v>
      </c>
      <c r="Q643" s="401">
        <v>0</v>
      </c>
      <c r="R643" s="401">
        <v>0</v>
      </c>
      <c r="S643" s="401">
        <v>0</v>
      </c>
      <c r="T643" s="401">
        <v>0</v>
      </c>
      <c r="U643" s="401">
        <v>0</v>
      </c>
      <c r="V643" s="401">
        <v>0</v>
      </c>
      <c r="W643" s="401">
        <v>0</v>
      </c>
      <c r="X643" s="3763"/>
      <c r="Y643" s="3619"/>
    </row>
    <row r="644" spans="1:26" s="2165" customFormat="1" ht="26.25" hidden="1" customHeight="1">
      <c r="A644" s="3614"/>
      <c r="B644" s="382"/>
      <c r="C644" s="73"/>
      <c r="D644" s="168"/>
      <c r="E644" s="50"/>
      <c r="F644" s="51"/>
      <c r="G644" s="51"/>
      <c r="H644" s="50"/>
      <c r="I644" s="50"/>
      <c r="J644" s="50"/>
      <c r="K644" s="50"/>
      <c r="L644" s="50"/>
      <c r="M644" s="52"/>
      <c r="N644" s="52"/>
      <c r="O644" s="52"/>
      <c r="P644" s="52"/>
      <c r="Q644" s="52"/>
      <c r="R644" s="52"/>
      <c r="S644" s="52"/>
      <c r="T644" s="129"/>
      <c r="U644" s="309"/>
      <c r="V644" s="309"/>
      <c r="W644" s="309"/>
      <c r="X644" s="309"/>
      <c r="Y644" s="3617" t="s">
        <v>101</v>
      </c>
    </row>
    <row r="645" spans="1:26" s="2165" customFormat="1" ht="12" hidden="1">
      <c r="A645" s="3615"/>
      <c r="B645" s="25" t="s">
        <v>21</v>
      </c>
      <c r="C645" s="836"/>
      <c r="D645" s="816"/>
      <c r="E645" s="816"/>
      <c r="F645" s="816"/>
      <c r="G645" s="816"/>
      <c r="H645" s="816"/>
      <c r="I645" s="816"/>
      <c r="J645" s="816"/>
      <c r="K645" s="816"/>
      <c r="L645" s="816"/>
      <c r="M645" s="817"/>
      <c r="N645" s="817"/>
      <c r="O645" s="817"/>
      <c r="P645" s="816"/>
      <c r="Q645" s="817"/>
      <c r="R645" s="817"/>
      <c r="S645" s="817"/>
      <c r="T645" s="817"/>
      <c r="U645" s="817"/>
      <c r="V645" s="817"/>
      <c r="W645" s="817"/>
      <c r="X645" s="859">
        <f>+X646</f>
        <v>0</v>
      </c>
      <c r="Y645" s="3618"/>
    </row>
    <row r="646" spans="1:26" s="2165" customFormat="1" ht="12" hidden="1">
      <c r="A646" s="3615"/>
      <c r="B646" s="217" t="s">
        <v>35</v>
      </c>
      <c r="C646" s="3620" t="s">
        <v>98</v>
      </c>
      <c r="D646" s="858"/>
      <c r="E646" s="858"/>
      <c r="F646" s="858"/>
      <c r="G646" s="858"/>
      <c r="H646" s="858"/>
      <c r="I646" s="858"/>
      <c r="J646" s="858"/>
      <c r="K646" s="858"/>
      <c r="L646" s="858"/>
      <c r="M646" s="860"/>
      <c r="N646" s="860"/>
      <c r="O646" s="860"/>
      <c r="P646" s="858"/>
      <c r="Q646" s="860"/>
      <c r="R646" s="860"/>
      <c r="S646" s="860"/>
      <c r="T646" s="860"/>
      <c r="U646" s="860"/>
      <c r="V646" s="860"/>
      <c r="W646" s="860"/>
      <c r="X646" s="861">
        <f>+X647</f>
        <v>0</v>
      </c>
      <c r="Y646" s="3618"/>
    </row>
    <row r="647" spans="1:26" s="2165" customFormat="1" ht="12" hidden="1">
      <c r="A647" s="3615"/>
      <c r="B647" s="831" t="s">
        <v>23</v>
      </c>
      <c r="C647" s="3774"/>
      <c r="D647" s="2192"/>
      <c r="E647" s="812"/>
      <c r="F647" s="663"/>
      <c r="G647" s="663"/>
      <c r="H647" s="663"/>
      <c r="I647" s="813"/>
      <c r="J647" s="814"/>
      <c r="K647" s="815"/>
      <c r="L647" s="663"/>
      <c r="M647" s="2192"/>
      <c r="N647" s="712"/>
      <c r="O647" s="712"/>
      <c r="P647" s="663"/>
      <c r="Q647" s="712"/>
      <c r="R647" s="712"/>
      <c r="S647" s="712"/>
      <c r="T647" s="712"/>
      <c r="U647" s="712"/>
      <c r="V647" s="712"/>
      <c r="W647" s="712"/>
      <c r="X647" s="44">
        <f>SUM(Q647:W647)</f>
        <v>0</v>
      </c>
      <c r="Y647" s="3618"/>
    </row>
    <row r="648" spans="1:26" s="2165" customFormat="1" ht="12" hidden="1">
      <c r="A648" s="3615"/>
      <c r="B648" s="25" t="s">
        <v>33</v>
      </c>
      <c r="C648" s="836"/>
      <c r="D648" s="816"/>
      <c r="E648" s="816"/>
      <c r="F648" s="816"/>
      <c r="G648" s="816"/>
      <c r="H648" s="816"/>
      <c r="I648" s="816"/>
      <c r="J648" s="816"/>
      <c r="K648" s="816"/>
      <c r="L648" s="816"/>
      <c r="M648" s="817"/>
      <c r="N648" s="816"/>
      <c r="O648" s="817"/>
      <c r="P648" s="816"/>
      <c r="Q648" s="817"/>
      <c r="R648" s="817"/>
      <c r="S648" s="817"/>
      <c r="T648" s="817"/>
      <c r="U648" s="817"/>
      <c r="V648" s="817"/>
      <c r="W648" s="817"/>
      <c r="X648" s="3761" t="s">
        <v>34</v>
      </c>
      <c r="Y648" s="3760" t="s">
        <v>118</v>
      </c>
    </row>
    <row r="649" spans="1:26" s="2165" customFormat="1" ht="12" hidden="1">
      <c r="A649" s="3615"/>
      <c r="B649" s="217" t="s">
        <v>35</v>
      </c>
      <c r="C649" s="3620">
        <v>75802</v>
      </c>
      <c r="D649" s="858"/>
      <c r="E649" s="858"/>
      <c r="F649" s="858"/>
      <c r="G649" s="858"/>
      <c r="H649" s="858"/>
      <c r="I649" s="858"/>
      <c r="J649" s="858"/>
      <c r="K649" s="858"/>
      <c r="L649" s="858"/>
      <c r="M649" s="860"/>
      <c r="N649" s="858"/>
      <c r="O649" s="860"/>
      <c r="P649" s="858"/>
      <c r="Q649" s="860"/>
      <c r="R649" s="860"/>
      <c r="S649" s="860"/>
      <c r="T649" s="860"/>
      <c r="U649" s="860"/>
      <c r="V649" s="860"/>
      <c r="W649" s="860"/>
      <c r="X649" s="3762"/>
      <c r="Y649" s="3618"/>
    </row>
    <row r="650" spans="1:26" s="2165" customFormat="1" hidden="1" thickBot="1">
      <c r="A650" s="3616"/>
      <c r="B650" s="826" t="s">
        <v>389</v>
      </c>
      <c r="C650" s="3621"/>
      <c r="D650" s="2192"/>
      <c r="E650" s="89"/>
      <c r="F650" s="310"/>
      <c r="G650" s="310"/>
      <c r="H650" s="310"/>
      <c r="I650" s="311"/>
      <c r="J650" s="311"/>
      <c r="K650" s="311"/>
      <c r="L650" s="95"/>
      <c r="M650" s="2192"/>
      <c r="N650" s="95"/>
      <c r="O650" s="423"/>
      <c r="P650" s="310"/>
      <c r="Q650" s="423"/>
      <c r="R650" s="423"/>
      <c r="S650" s="423"/>
      <c r="T650" s="423"/>
      <c r="U650" s="423"/>
      <c r="V650" s="423"/>
      <c r="W650" s="423"/>
      <c r="X650" s="3763"/>
      <c r="Y650" s="3619"/>
    </row>
    <row r="651" spans="1:26" s="2165" customFormat="1" ht="15" customHeight="1">
      <c r="A651" s="3614" t="s">
        <v>133</v>
      </c>
      <c r="B651" s="382" t="s">
        <v>408</v>
      </c>
      <c r="C651" s="73" t="s">
        <v>125</v>
      </c>
      <c r="D651" s="168"/>
      <c r="E651" s="50"/>
      <c r="F651" s="51"/>
      <c r="G651" s="51"/>
      <c r="H651" s="50"/>
      <c r="I651" s="50"/>
      <c r="J651" s="50"/>
      <c r="K651" s="50"/>
      <c r="L651" s="50"/>
      <c r="M651" s="52"/>
      <c r="N651" s="52"/>
      <c r="O651" s="52"/>
      <c r="P651" s="52"/>
      <c r="Q651" s="52"/>
      <c r="R651" s="52"/>
      <c r="S651" s="52"/>
      <c r="T651" s="129"/>
      <c r="U651" s="52"/>
      <c r="V651" s="52"/>
      <c r="W651" s="52"/>
      <c r="X651" s="53"/>
      <c r="Y651" s="3617" t="s">
        <v>118</v>
      </c>
    </row>
    <row r="652" spans="1:26" s="2165" customFormat="1" ht="12">
      <c r="A652" s="3615"/>
      <c r="B652" s="1320" t="s">
        <v>21</v>
      </c>
      <c r="C652" s="1881"/>
      <c r="D652" s="1281">
        <f>+D653</f>
        <v>16858217</v>
      </c>
      <c r="E652" s="1281"/>
      <c r="F652" s="1281"/>
      <c r="G652" s="1281"/>
      <c r="H652" s="1281"/>
      <c r="I652" s="1281"/>
      <c r="J652" s="1281">
        <f>+J653</f>
        <v>951324</v>
      </c>
      <c r="K652" s="1281">
        <f t="shared" ref="K652:S653" si="371">+K653</f>
        <v>919494</v>
      </c>
      <c r="L652" s="1281">
        <f t="shared" si="371"/>
        <v>925672</v>
      </c>
      <c r="M652" s="1281">
        <f t="shared" si="371"/>
        <v>5074812</v>
      </c>
      <c r="N652" s="1281">
        <f t="shared" si="371"/>
        <v>1178000</v>
      </c>
      <c r="O652" s="1281">
        <f t="shared" si="371"/>
        <v>1100322</v>
      </c>
      <c r="P652" s="1281">
        <f t="shared" si="371"/>
        <v>1283405</v>
      </c>
      <c r="Q652" s="1281">
        <f t="shared" si="371"/>
        <v>3500000</v>
      </c>
      <c r="R652" s="1281">
        <f t="shared" si="371"/>
        <v>3500000</v>
      </c>
      <c r="S652" s="1281">
        <f t="shared" si="371"/>
        <v>3500000</v>
      </c>
      <c r="T652" s="2313">
        <v>0</v>
      </c>
      <c r="U652" s="2313">
        <v>0</v>
      </c>
      <c r="V652" s="2313">
        <v>0</v>
      </c>
      <c r="W652" s="2313">
        <v>0</v>
      </c>
      <c r="X652" s="2315">
        <f>+X653</f>
        <v>10500000</v>
      </c>
      <c r="Y652" s="3618"/>
      <c r="Z652" s="2164">
        <f>+O652+P652+Q652+R652</f>
        <v>9383727</v>
      </c>
    </row>
    <row r="653" spans="1:26" s="2165" customFormat="1" ht="12">
      <c r="A653" s="3615"/>
      <c r="B653" s="1251" t="s">
        <v>35</v>
      </c>
      <c r="C653" s="3771" t="s">
        <v>114</v>
      </c>
      <c r="D653" s="1282">
        <f>+D654</f>
        <v>16858217</v>
      </c>
      <c r="E653" s="1282"/>
      <c r="F653" s="1282"/>
      <c r="G653" s="1282"/>
      <c r="H653" s="1282"/>
      <c r="I653" s="1282"/>
      <c r="J653" s="1282">
        <f>+J654</f>
        <v>951324</v>
      </c>
      <c r="K653" s="1282">
        <f t="shared" si="371"/>
        <v>919494</v>
      </c>
      <c r="L653" s="1282">
        <f t="shared" si="371"/>
        <v>925672</v>
      </c>
      <c r="M653" s="1282">
        <f t="shared" si="371"/>
        <v>5074812</v>
      </c>
      <c r="N653" s="1282">
        <f t="shared" si="371"/>
        <v>1178000</v>
      </c>
      <c r="O653" s="1282">
        <f t="shared" si="371"/>
        <v>1100322</v>
      </c>
      <c r="P653" s="1282">
        <f t="shared" si="371"/>
        <v>1283405</v>
      </c>
      <c r="Q653" s="1282">
        <f t="shared" si="371"/>
        <v>3500000</v>
      </c>
      <c r="R653" s="1282">
        <f t="shared" si="371"/>
        <v>3500000</v>
      </c>
      <c r="S653" s="1282">
        <f t="shared" si="371"/>
        <v>3500000</v>
      </c>
      <c r="T653" s="2310">
        <v>0</v>
      </c>
      <c r="U653" s="2310">
        <v>0</v>
      </c>
      <c r="V653" s="2310">
        <v>0</v>
      </c>
      <c r="W653" s="2310">
        <v>0</v>
      </c>
      <c r="X653" s="1813">
        <f>+X654</f>
        <v>10500000</v>
      </c>
      <c r="Y653" s="3618"/>
    </row>
    <row r="654" spans="1:26" s="2165" customFormat="1" thickBot="1">
      <c r="A654" s="3616"/>
      <c r="B654" s="832" t="s">
        <v>23</v>
      </c>
      <c r="C654" s="3621"/>
      <c r="D654" s="2214">
        <f>M654+P654+Q654+R654+S654+T654+U654+V654+W654</f>
        <v>16858217</v>
      </c>
      <c r="E654" s="963"/>
      <c r="F654" s="2311"/>
      <c r="G654" s="2311"/>
      <c r="H654" s="2311"/>
      <c r="I654" s="2316"/>
      <c r="J654" s="964">
        <f>969812-18488</f>
        <v>951324</v>
      </c>
      <c r="K654" s="2317">
        <f>1150000-230506</f>
        <v>919494</v>
      </c>
      <c r="L654" s="2311">
        <f>2150000-700000-500000-24328</f>
        <v>925672</v>
      </c>
      <c r="M654" s="2214">
        <f>+E654+I654+J654+K654+L654+N654+O654</f>
        <v>5074812</v>
      </c>
      <c r="N654" s="2311">
        <v>1178000</v>
      </c>
      <c r="O654" s="2311">
        <f>3000000-440000-1450000-9678</f>
        <v>1100322</v>
      </c>
      <c r="P654" s="2311">
        <f>3000000-250000-1400000-66595</f>
        <v>1283405</v>
      </c>
      <c r="Q654" s="2311">
        <f>3000000+500000</f>
        <v>3500000</v>
      </c>
      <c r="R654" s="2311">
        <f>3000000+500000</f>
        <v>3500000</v>
      </c>
      <c r="S654" s="2311">
        <f>3000000+500000</f>
        <v>3500000</v>
      </c>
      <c r="T654" s="2318">
        <v>0</v>
      </c>
      <c r="U654" s="2318">
        <v>0</v>
      </c>
      <c r="V654" s="2318">
        <v>0</v>
      </c>
      <c r="W654" s="2318">
        <v>0</v>
      </c>
      <c r="X654" s="2319">
        <f>SUM(Q654:W654)</f>
        <v>10500000</v>
      </c>
      <c r="Y654" s="3619"/>
    </row>
    <row r="655" spans="1:26" s="2165" customFormat="1" ht="17.25" customHeight="1">
      <c r="A655" s="3614" t="s">
        <v>102</v>
      </c>
      <c r="B655" s="382" t="s">
        <v>265</v>
      </c>
      <c r="C655" s="73" t="s">
        <v>125</v>
      </c>
      <c r="D655" s="168"/>
      <c r="E655" s="50"/>
      <c r="F655" s="51"/>
      <c r="G655" s="51"/>
      <c r="H655" s="50"/>
      <c r="I655" s="50"/>
      <c r="J655" s="50"/>
      <c r="K655" s="50"/>
      <c r="L655" s="50"/>
      <c r="M655" s="52"/>
      <c r="N655" s="52"/>
      <c r="O655" s="52"/>
      <c r="P655" s="52"/>
      <c r="Q655" s="52"/>
      <c r="R655" s="52"/>
      <c r="S655" s="52"/>
      <c r="T655" s="129"/>
      <c r="U655" s="941"/>
      <c r="V655" s="941"/>
      <c r="W655" s="941"/>
      <c r="X655" s="53"/>
      <c r="Y655" s="3617" t="s">
        <v>118</v>
      </c>
    </row>
    <row r="656" spans="1:26" s="2165" customFormat="1" ht="12">
      <c r="A656" s="3615"/>
      <c r="B656" s="25" t="s">
        <v>21</v>
      </c>
      <c r="C656" s="26"/>
      <c r="D656" s="942">
        <f>+D657</f>
        <v>645218248</v>
      </c>
      <c r="E656" s="942"/>
      <c r="F656" s="942"/>
      <c r="G656" s="942"/>
      <c r="H656" s="942"/>
      <c r="I656" s="942"/>
      <c r="J656" s="942"/>
      <c r="K656" s="942"/>
      <c r="L656" s="942">
        <f t="shared" ref="L656:T656" si="372">+L657</f>
        <v>77246948</v>
      </c>
      <c r="M656" s="942">
        <f t="shared" si="372"/>
        <v>237695335</v>
      </c>
      <c r="N656" s="942">
        <f t="shared" si="372"/>
        <v>79776281</v>
      </c>
      <c r="O656" s="942">
        <f>+O657</f>
        <v>80672106</v>
      </c>
      <c r="P656" s="942">
        <f>+P657</f>
        <v>82125119</v>
      </c>
      <c r="Q656" s="942">
        <f t="shared" si="372"/>
        <v>82397794</v>
      </c>
      <c r="R656" s="942">
        <f t="shared" si="372"/>
        <v>81000000</v>
      </c>
      <c r="S656" s="942">
        <f t="shared" si="372"/>
        <v>81000000</v>
      </c>
      <c r="T656" s="942">
        <f t="shared" si="372"/>
        <v>81000000</v>
      </c>
      <c r="U656" s="943">
        <v>0</v>
      </c>
      <c r="V656" s="943">
        <v>0</v>
      </c>
      <c r="W656" s="943">
        <v>0</v>
      </c>
      <c r="X656" s="944">
        <f>+X657</f>
        <v>325397794</v>
      </c>
      <c r="Y656" s="3618"/>
      <c r="Z656" s="2164">
        <f>+O656+P656+Q656+R656+158000000</f>
        <v>484195019</v>
      </c>
    </row>
    <row r="657" spans="1:26" s="2165" customFormat="1" ht="12">
      <c r="A657" s="3615"/>
      <c r="B657" s="217" t="s">
        <v>35</v>
      </c>
      <c r="C657" s="3772" t="s">
        <v>114</v>
      </c>
      <c r="D657" s="945">
        <f>+D658+D659</f>
        <v>645218248</v>
      </c>
      <c r="E657" s="945"/>
      <c r="F657" s="945"/>
      <c r="G657" s="945"/>
      <c r="H657" s="945"/>
      <c r="I657" s="945"/>
      <c r="J657" s="945"/>
      <c r="K657" s="945"/>
      <c r="L657" s="945">
        <f t="shared" ref="L657:R657" si="373">+L658+L659</f>
        <v>77246948</v>
      </c>
      <c r="M657" s="945">
        <f>+M658+M659</f>
        <v>237695335</v>
      </c>
      <c r="N657" s="945">
        <f t="shared" si="373"/>
        <v>79776281</v>
      </c>
      <c r="O657" s="945">
        <f>+O658+O659</f>
        <v>80672106</v>
      </c>
      <c r="P657" s="945">
        <f>+P658+P659</f>
        <v>82125119</v>
      </c>
      <c r="Q657" s="945">
        <f t="shared" si="373"/>
        <v>82397794</v>
      </c>
      <c r="R657" s="945">
        <f t="shared" si="373"/>
        <v>81000000</v>
      </c>
      <c r="S657" s="945">
        <f>+S658+S659</f>
        <v>81000000</v>
      </c>
      <c r="T657" s="945">
        <f>+T658+T659</f>
        <v>81000000</v>
      </c>
      <c r="U657" s="428">
        <v>0</v>
      </c>
      <c r="V657" s="428">
        <v>0</v>
      </c>
      <c r="W657" s="428">
        <v>0</v>
      </c>
      <c r="X657" s="429">
        <f>+X658+X659</f>
        <v>325397794</v>
      </c>
      <c r="Y657" s="3618"/>
    </row>
    <row r="658" spans="1:26" s="2165" customFormat="1" ht="12">
      <c r="A658" s="3615"/>
      <c r="B658" s="833" t="s">
        <v>23</v>
      </c>
      <c r="C658" s="3773"/>
      <c r="D658" s="2192">
        <f t="shared" ref="D658" si="374">M658+P658+Q658+R658+S658+T658+U658+V658+W658</f>
        <v>639126690</v>
      </c>
      <c r="E658" s="431"/>
      <c r="F658" s="437"/>
      <c r="G658" s="437"/>
      <c r="H658" s="437"/>
      <c r="I658" s="946"/>
      <c r="J658" s="430"/>
      <c r="K658" s="947"/>
      <c r="L658" s="437">
        <f>77000000+700000-658679</f>
        <v>77041321</v>
      </c>
      <c r="M658" s="2192">
        <f t="shared" ref="M658:M659" si="375">+E658+I658+J658+K658+L658+N658+O658</f>
        <v>234628771</v>
      </c>
      <c r="N658" s="437">
        <v>78566657</v>
      </c>
      <c r="O658" s="437">
        <f>77000000+2000000+40000-19207</f>
        <v>79020793</v>
      </c>
      <c r="P658" s="437">
        <f>80759000-261081</f>
        <v>80497919</v>
      </c>
      <c r="Q658" s="437">
        <f>79000000+2000000</f>
        <v>81000000</v>
      </c>
      <c r="R658" s="437">
        <f>79000000+2000000</f>
        <v>81000000</v>
      </c>
      <c r="S658" s="437">
        <f>79000000+2000000</f>
        <v>81000000</v>
      </c>
      <c r="T658" s="437">
        <f>79000000+2000000</f>
        <v>81000000</v>
      </c>
      <c r="U658" s="948">
        <v>0</v>
      </c>
      <c r="V658" s="948">
        <v>0</v>
      </c>
      <c r="W658" s="948">
        <v>0</v>
      </c>
      <c r="X658" s="44">
        <f>SUM(Q658:W658)</f>
        <v>324000000</v>
      </c>
      <c r="Y658" s="3618"/>
    </row>
    <row r="659" spans="1:26" s="2165" customFormat="1" ht="12">
      <c r="A659" s="3615"/>
      <c r="B659" s="708" t="s">
        <v>26</v>
      </c>
      <c r="C659" s="3204"/>
      <c r="D659" s="2192">
        <f>M659+P659+Q659+R659+S659+T659+U659+V659+W659</f>
        <v>6091558</v>
      </c>
      <c r="E659" s="267"/>
      <c r="F659" s="306"/>
      <c r="G659" s="306"/>
      <c r="H659" s="306"/>
      <c r="I659" s="308"/>
      <c r="J659" s="308"/>
      <c r="K659" s="308"/>
      <c r="L659" s="306">
        <f>220000-14373</f>
        <v>205627</v>
      </c>
      <c r="M659" s="2192">
        <f t="shared" si="375"/>
        <v>3066564</v>
      </c>
      <c r="N659" s="306">
        <v>1209624</v>
      </c>
      <c r="O659" s="306">
        <f>1447218+230000-25905</f>
        <v>1651313</v>
      </c>
      <c r="P659" s="306">
        <f>1398414+230000-1214</f>
        <v>1627200</v>
      </c>
      <c r="Q659" s="949">
        <v>1397794</v>
      </c>
      <c r="R659" s="949">
        <v>0</v>
      </c>
      <c r="S659" s="950">
        <v>0</v>
      </c>
      <c r="T659" s="950">
        <v>0</v>
      </c>
      <c r="U659" s="951">
        <v>0</v>
      </c>
      <c r="V659" s="951">
        <v>0</v>
      </c>
      <c r="W659" s="951">
        <v>0</v>
      </c>
      <c r="X659" s="44">
        <f>SUM(Q659:W659)</f>
        <v>1397794</v>
      </c>
      <c r="Y659" s="3618"/>
    </row>
    <row r="660" spans="1:26" s="2165" customFormat="1" ht="12">
      <c r="A660" s="3615"/>
      <c r="B660" s="25" t="s">
        <v>33</v>
      </c>
      <c r="C660" s="26"/>
      <c r="D660" s="942">
        <f>+D661</f>
        <v>77270509</v>
      </c>
      <c r="E660" s="942"/>
      <c r="F660" s="942">
        <f t="shared" ref="F660:T660" si="376">+F661</f>
        <v>0</v>
      </c>
      <c r="G660" s="942">
        <f t="shared" si="376"/>
        <v>0</v>
      </c>
      <c r="H660" s="942">
        <f t="shared" si="376"/>
        <v>0</v>
      </c>
      <c r="I660" s="942"/>
      <c r="J660" s="942"/>
      <c r="K660" s="942"/>
      <c r="L660" s="942">
        <f t="shared" si="376"/>
        <v>205627</v>
      </c>
      <c r="M660" s="942">
        <f t="shared" si="376"/>
        <v>13660097</v>
      </c>
      <c r="N660" s="942">
        <f t="shared" si="376"/>
        <v>1209624</v>
      </c>
      <c r="O660" s="942">
        <f t="shared" si="376"/>
        <v>12244846</v>
      </c>
      <c r="P660" s="942">
        <f t="shared" si="376"/>
        <v>14212618</v>
      </c>
      <c r="Q660" s="952">
        <f t="shared" si="376"/>
        <v>13397794</v>
      </c>
      <c r="R660" s="952">
        <f t="shared" si="376"/>
        <v>12000000</v>
      </c>
      <c r="S660" s="952">
        <f t="shared" si="376"/>
        <v>12000000</v>
      </c>
      <c r="T660" s="952">
        <f t="shared" si="376"/>
        <v>12000000</v>
      </c>
      <c r="U660" s="953">
        <v>0</v>
      </c>
      <c r="V660" s="953">
        <v>0</v>
      </c>
      <c r="W660" s="953">
        <v>0</v>
      </c>
      <c r="X660" s="3775" t="s">
        <v>34</v>
      </c>
      <c r="Y660" s="3618"/>
    </row>
    <row r="661" spans="1:26" s="2165" customFormat="1" ht="12">
      <c r="A661" s="3615"/>
      <c r="B661" s="217" t="s">
        <v>35</v>
      </c>
      <c r="C661" s="3772" t="s">
        <v>114</v>
      </c>
      <c r="D661" s="945">
        <f>+D662+D663</f>
        <v>77270509</v>
      </c>
      <c r="E661" s="945">
        <f t="shared" ref="E661:R661" si="377">+E662+E663</f>
        <v>0</v>
      </c>
      <c r="F661" s="945">
        <f t="shared" si="377"/>
        <v>0</v>
      </c>
      <c r="G661" s="945">
        <f t="shared" si="377"/>
        <v>0</v>
      </c>
      <c r="H661" s="945">
        <f t="shared" si="377"/>
        <v>0</v>
      </c>
      <c r="I661" s="945">
        <f t="shared" si="377"/>
        <v>0</v>
      </c>
      <c r="J661" s="945">
        <f t="shared" si="377"/>
        <v>0</v>
      </c>
      <c r="K661" s="945">
        <f t="shared" si="377"/>
        <v>0</v>
      </c>
      <c r="L661" s="945">
        <f t="shared" si="377"/>
        <v>205627</v>
      </c>
      <c r="M661" s="945">
        <f t="shared" si="377"/>
        <v>13660097</v>
      </c>
      <c r="N661" s="945">
        <f t="shared" si="377"/>
        <v>1209624</v>
      </c>
      <c r="O661" s="945">
        <f t="shared" si="377"/>
        <v>12244846</v>
      </c>
      <c r="P661" s="945">
        <f t="shared" si="377"/>
        <v>14212618</v>
      </c>
      <c r="Q661" s="945">
        <f t="shared" si="377"/>
        <v>13397794</v>
      </c>
      <c r="R661" s="945">
        <f t="shared" si="377"/>
        <v>12000000</v>
      </c>
      <c r="S661" s="945">
        <f>+S662+S663</f>
        <v>12000000</v>
      </c>
      <c r="T661" s="945">
        <f>+T662+T663</f>
        <v>12000000</v>
      </c>
      <c r="U661" s="428">
        <v>0</v>
      </c>
      <c r="V661" s="428">
        <v>0</v>
      </c>
      <c r="W661" s="428">
        <v>0</v>
      </c>
      <c r="X661" s="3776"/>
      <c r="Y661" s="3618"/>
    </row>
    <row r="662" spans="1:26" s="2165" customFormat="1" ht="12">
      <c r="A662" s="3615"/>
      <c r="B662" s="2180" t="s">
        <v>270</v>
      </c>
      <c r="C662" s="3774"/>
      <c r="D662" s="2192">
        <f t="shared" ref="D662:D663" si="378">M662+P662+Q662+R662+S662+T662+U662+V662+W662</f>
        <v>71178951</v>
      </c>
      <c r="E662" s="954"/>
      <c r="F662" s="954"/>
      <c r="G662" s="954"/>
      <c r="H662" s="954"/>
      <c r="I662" s="954"/>
      <c r="J662" s="954"/>
      <c r="K662" s="954"/>
      <c r="L662" s="954"/>
      <c r="M662" s="2192">
        <f t="shared" ref="M662:M663" si="379">+E662+I662+J662+K662+L662+N662+O662</f>
        <v>10593533</v>
      </c>
      <c r="N662" s="954"/>
      <c r="O662" s="438">
        <f>8500000+40000+1960000+93533</f>
        <v>10593533</v>
      </c>
      <c r="P662" s="438">
        <f>10500000+1500000+585418</f>
        <v>12585418</v>
      </c>
      <c r="Q662" s="438">
        <f>10500000+1500000</f>
        <v>12000000</v>
      </c>
      <c r="R662" s="438">
        <f>10500000+1500000</f>
        <v>12000000</v>
      </c>
      <c r="S662" s="438">
        <f>10500000+1500000</f>
        <v>12000000</v>
      </c>
      <c r="T662" s="438">
        <f>10500000+1500000</f>
        <v>12000000</v>
      </c>
      <c r="U662" s="955">
        <v>0</v>
      </c>
      <c r="V662" s="955">
        <v>0</v>
      </c>
      <c r="W662" s="955">
        <v>0</v>
      </c>
      <c r="X662" s="3776"/>
      <c r="Y662" s="3618"/>
    </row>
    <row r="663" spans="1:26" s="2165" customFormat="1" ht="12" customHeight="1" thickBot="1">
      <c r="A663" s="3616"/>
      <c r="B663" s="826" t="s">
        <v>26</v>
      </c>
      <c r="C663" s="3621"/>
      <c r="D663" s="2192">
        <f t="shared" si="378"/>
        <v>6091558</v>
      </c>
      <c r="E663" s="89"/>
      <c r="F663" s="310"/>
      <c r="G663" s="310"/>
      <c r="H663" s="310"/>
      <c r="I663" s="311"/>
      <c r="J663" s="311"/>
      <c r="K663" s="311"/>
      <c r="L663" s="95">
        <f>220000-14373</f>
        <v>205627</v>
      </c>
      <c r="M663" s="2192">
        <f t="shared" si="379"/>
        <v>3066564</v>
      </c>
      <c r="N663" s="95">
        <v>1209624</v>
      </c>
      <c r="O663" s="95">
        <f>1447218+230000-25905</f>
        <v>1651313</v>
      </c>
      <c r="P663" s="95">
        <f>1398414+230000-1214</f>
        <v>1627200</v>
      </c>
      <c r="Q663" s="95">
        <v>1397794</v>
      </c>
      <c r="R663" s="95">
        <v>0</v>
      </c>
      <c r="S663" s="404">
        <v>0</v>
      </c>
      <c r="T663" s="404">
        <v>0</v>
      </c>
      <c r="U663" s="404">
        <v>0</v>
      </c>
      <c r="V663" s="404">
        <v>0</v>
      </c>
      <c r="W663" s="404">
        <v>0</v>
      </c>
      <c r="X663" s="3777"/>
      <c r="Y663" s="3619"/>
    </row>
    <row r="664" spans="1:26" s="2165" customFormat="1" hidden="1" thickBot="1">
      <c r="A664" s="3614"/>
      <c r="B664" s="382"/>
      <c r="C664" s="73" t="s">
        <v>125</v>
      </c>
      <c r="D664" s="168"/>
      <c r="E664" s="50"/>
      <c r="F664" s="51"/>
      <c r="G664" s="51"/>
      <c r="H664" s="50"/>
      <c r="I664" s="50"/>
      <c r="J664" s="50"/>
      <c r="K664" s="50"/>
      <c r="L664" s="50"/>
      <c r="M664" s="52"/>
      <c r="N664" s="52"/>
      <c r="O664" s="52"/>
      <c r="P664" s="52"/>
      <c r="Q664" s="52"/>
      <c r="R664" s="52"/>
      <c r="S664" s="52"/>
      <c r="T664" s="52"/>
      <c r="U664" s="52"/>
      <c r="V664" s="52"/>
      <c r="W664" s="52"/>
      <c r="X664" s="53"/>
      <c r="Y664" s="3617" t="s">
        <v>118</v>
      </c>
    </row>
    <row r="665" spans="1:26" s="2165" customFormat="1" hidden="1" thickBot="1">
      <c r="A665" s="3615"/>
      <c r="B665" s="25" t="s">
        <v>21</v>
      </c>
      <c r="C665" s="26"/>
      <c r="D665" s="165">
        <f>+D666</f>
        <v>0</v>
      </c>
      <c r="E665" s="165"/>
      <c r="F665" s="165"/>
      <c r="G665" s="165"/>
      <c r="H665" s="165"/>
      <c r="I665" s="165"/>
      <c r="J665" s="165"/>
      <c r="K665" s="165"/>
      <c r="L665" s="165">
        <f t="shared" ref="L665:N666" si="380">+L666</f>
        <v>0</v>
      </c>
      <c r="M665" s="165">
        <f t="shared" si="380"/>
        <v>0</v>
      </c>
      <c r="N665" s="165">
        <f t="shared" si="380"/>
        <v>0</v>
      </c>
      <c r="O665" s="165"/>
      <c r="P665" s="165"/>
      <c r="Q665" s="165"/>
      <c r="R665" s="165"/>
      <c r="S665" s="165"/>
      <c r="T665" s="165"/>
      <c r="U665" s="410"/>
      <c r="V665" s="410"/>
      <c r="W665" s="410"/>
      <c r="X665" s="117"/>
      <c r="Y665" s="3618"/>
      <c r="Z665" s="2164">
        <f>+O665+P665+Q665+R665</f>
        <v>0</v>
      </c>
    </row>
    <row r="666" spans="1:26" s="2165" customFormat="1" hidden="1" thickBot="1">
      <c r="A666" s="3615"/>
      <c r="B666" s="217" t="s">
        <v>35</v>
      </c>
      <c r="C666" s="834" t="s">
        <v>114</v>
      </c>
      <c r="D666" s="166">
        <f>+D667</f>
        <v>0</v>
      </c>
      <c r="E666" s="166"/>
      <c r="F666" s="166"/>
      <c r="G666" s="166"/>
      <c r="H666" s="166"/>
      <c r="I666" s="166"/>
      <c r="J666" s="166"/>
      <c r="K666" s="166"/>
      <c r="L666" s="166">
        <f t="shared" si="380"/>
        <v>0</v>
      </c>
      <c r="M666" s="166">
        <f t="shared" si="380"/>
        <v>0</v>
      </c>
      <c r="N666" s="166">
        <f t="shared" si="380"/>
        <v>0</v>
      </c>
      <c r="O666" s="166"/>
      <c r="P666" s="166"/>
      <c r="Q666" s="166"/>
      <c r="R666" s="166"/>
      <c r="S666" s="166"/>
      <c r="T666" s="166"/>
      <c r="U666" s="409"/>
      <c r="V666" s="409"/>
      <c r="W666" s="409"/>
      <c r="X666" s="83"/>
      <c r="Y666" s="3618"/>
    </row>
    <row r="667" spans="1:26" s="2165" customFormat="1" hidden="1" thickBot="1">
      <c r="A667" s="3615"/>
      <c r="B667" s="829" t="s">
        <v>23</v>
      </c>
      <c r="C667" s="835"/>
      <c r="D667" s="66">
        <f>SUM(M667:T667)</f>
        <v>0</v>
      </c>
      <c r="E667" s="59"/>
      <c r="F667" s="110"/>
      <c r="G667" s="110"/>
      <c r="H667" s="110"/>
      <c r="I667" s="167"/>
      <c r="J667" s="92"/>
      <c r="K667" s="109"/>
      <c r="L667" s="110"/>
      <c r="M667" s="267">
        <f>L667+E667+I667+J667+K667</f>
        <v>0</v>
      </c>
      <c r="N667" s="110"/>
      <c r="O667" s="110"/>
      <c r="P667" s="110"/>
      <c r="Q667" s="110"/>
      <c r="R667" s="110"/>
      <c r="S667" s="110"/>
      <c r="T667" s="110"/>
      <c r="U667" s="319"/>
      <c r="V667" s="319"/>
      <c r="W667" s="319"/>
      <c r="X667" s="85"/>
      <c r="Y667" s="3618"/>
    </row>
    <row r="668" spans="1:26" s="2165" customFormat="1" ht="14.25" hidden="1" customHeight="1">
      <c r="A668" s="3614" t="s">
        <v>103</v>
      </c>
      <c r="B668" s="382"/>
      <c r="C668" s="73" t="s">
        <v>125</v>
      </c>
      <c r="D668" s="50"/>
      <c r="E668" s="50"/>
      <c r="F668" s="51"/>
      <c r="G668" s="51"/>
      <c r="H668" s="50"/>
      <c r="I668" s="50"/>
      <c r="J668" s="50"/>
      <c r="K668" s="50"/>
      <c r="L668" s="50"/>
      <c r="M668" s="52"/>
      <c r="N668" s="52"/>
      <c r="O668" s="52"/>
      <c r="P668" s="52"/>
      <c r="Q668" s="52"/>
      <c r="R668" s="52"/>
      <c r="S668" s="52"/>
      <c r="T668" s="52"/>
      <c r="U668" s="52"/>
      <c r="V668" s="52"/>
      <c r="W668" s="52"/>
      <c r="X668" s="53"/>
      <c r="Y668" s="3617" t="s">
        <v>101</v>
      </c>
    </row>
    <row r="669" spans="1:26" s="2165" customFormat="1" ht="12" hidden="1">
      <c r="A669" s="3615"/>
      <c r="B669" s="25" t="s">
        <v>21</v>
      </c>
      <c r="C669" s="26"/>
      <c r="D669" s="165"/>
      <c r="E669" s="165"/>
      <c r="F669" s="165"/>
      <c r="G669" s="165"/>
      <c r="H669" s="165"/>
      <c r="I669" s="165"/>
      <c r="J669" s="165"/>
      <c r="K669" s="165"/>
      <c r="L669" s="165"/>
      <c r="M669" s="165"/>
      <c r="N669" s="165"/>
      <c r="O669" s="165"/>
      <c r="P669" s="165"/>
      <c r="Q669" s="165"/>
      <c r="R669" s="165"/>
      <c r="S669" s="165"/>
      <c r="T669" s="397"/>
      <c r="U669" s="397"/>
      <c r="V669" s="397"/>
      <c r="W669" s="397"/>
      <c r="X669" s="80">
        <f>+X670</f>
        <v>0</v>
      </c>
      <c r="Y669" s="3618"/>
      <c r="Z669" s="2164">
        <f>+O669+P669+Q669+R669</f>
        <v>0</v>
      </c>
    </row>
    <row r="670" spans="1:26" s="2165" customFormat="1" ht="12" hidden="1">
      <c r="A670" s="3615"/>
      <c r="B670" s="217" t="s">
        <v>35</v>
      </c>
      <c r="C670" s="3657" t="s">
        <v>98</v>
      </c>
      <c r="D670" s="166"/>
      <c r="E670" s="166"/>
      <c r="F670" s="166"/>
      <c r="G670" s="166"/>
      <c r="H670" s="166"/>
      <c r="I670" s="166"/>
      <c r="J670" s="166"/>
      <c r="K670" s="166"/>
      <c r="L670" s="166"/>
      <c r="M670" s="166"/>
      <c r="N670" s="166"/>
      <c r="O670" s="166"/>
      <c r="P670" s="166"/>
      <c r="Q670" s="166"/>
      <c r="R670" s="166"/>
      <c r="S670" s="166"/>
      <c r="T670" s="398"/>
      <c r="U670" s="398"/>
      <c r="V670" s="398"/>
      <c r="W670" s="398"/>
      <c r="X670" s="99">
        <f>+X671+X672</f>
        <v>0</v>
      </c>
      <c r="Y670" s="3618"/>
    </row>
    <row r="671" spans="1:26" s="2165" customFormat="1" ht="12" hidden="1">
      <c r="A671" s="3615"/>
      <c r="B671" s="833" t="s">
        <v>23</v>
      </c>
      <c r="C671" s="3774"/>
      <c r="D671" s="2192"/>
      <c r="E671" s="57"/>
      <c r="F671" s="84"/>
      <c r="G671" s="84"/>
      <c r="H671" s="84"/>
      <c r="I671" s="399"/>
      <c r="J671" s="86"/>
      <c r="K671" s="400"/>
      <c r="L671" s="84"/>
      <c r="M671" s="2192"/>
      <c r="N671" s="86"/>
      <c r="O671" s="86"/>
      <c r="P671" s="86"/>
      <c r="Q671" s="86"/>
      <c r="R671" s="86"/>
      <c r="S671" s="86"/>
      <c r="T671" s="401"/>
      <c r="U671" s="401"/>
      <c r="V671" s="401"/>
      <c r="W671" s="401"/>
      <c r="X671" s="44">
        <f>SUM(Q671:W671)</f>
        <v>0</v>
      </c>
      <c r="Y671" s="3618"/>
    </row>
    <row r="672" spans="1:26" s="2165" customFormat="1" ht="12" hidden="1">
      <c r="A672" s="3615"/>
      <c r="B672" s="174" t="s">
        <v>123</v>
      </c>
      <c r="C672" s="3773"/>
      <c r="D672" s="2192"/>
      <c r="E672" s="59"/>
      <c r="F672" s="92"/>
      <c r="G672" s="92"/>
      <c r="H672" s="92"/>
      <c r="I672" s="92"/>
      <c r="J672" s="92"/>
      <c r="K672" s="112"/>
      <c r="L672" s="92"/>
      <c r="M672" s="2192"/>
      <c r="N672" s="402"/>
      <c r="O672" s="92"/>
      <c r="P672" s="86"/>
      <c r="Q672" s="402"/>
      <c r="R672" s="402"/>
      <c r="S672" s="402"/>
      <c r="T672" s="402"/>
      <c r="U672" s="385"/>
      <c r="V672" s="385"/>
      <c r="W672" s="385"/>
      <c r="X672" s="44">
        <f>SUM(Q672:W672)</f>
        <v>0</v>
      </c>
      <c r="Y672" s="3618"/>
    </row>
    <row r="673" spans="1:26" s="2165" customFormat="1" ht="12" hidden="1">
      <c r="A673" s="3615"/>
      <c r="B673" s="101" t="s">
        <v>33</v>
      </c>
      <c r="C673" s="26"/>
      <c r="D673" s="165"/>
      <c r="E673" s="165"/>
      <c r="F673" s="165"/>
      <c r="G673" s="165"/>
      <c r="H673" s="165"/>
      <c r="I673" s="165"/>
      <c r="J673" s="165"/>
      <c r="K673" s="165"/>
      <c r="L673" s="165"/>
      <c r="M673" s="165"/>
      <c r="N673" s="397"/>
      <c r="O673" s="165"/>
      <c r="P673" s="165"/>
      <c r="Q673" s="397"/>
      <c r="R673" s="397"/>
      <c r="S673" s="397"/>
      <c r="T673" s="397"/>
      <c r="U673" s="397"/>
      <c r="V673" s="397"/>
      <c r="W673" s="397"/>
      <c r="X673" s="3778" t="s">
        <v>34</v>
      </c>
      <c r="Y673" s="3618"/>
    </row>
    <row r="674" spans="1:26" s="2165" customFormat="1" ht="12" hidden="1">
      <c r="A674" s="3615"/>
      <c r="B674" s="217" t="s">
        <v>35</v>
      </c>
      <c r="C674" s="3657" t="s">
        <v>98</v>
      </c>
      <c r="D674" s="62"/>
      <c r="E674" s="62"/>
      <c r="F674" s="62"/>
      <c r="G674" s="62"/>
      <c r="H674" s="62"/>
      <c r="I674" s="62"/>
      <c r="J674" s="62"/>
      <c r="K674" s="62"/>
      <c r="L674" s="62"/>
      <c r="M674" s="62"/>
      <c r="N674" s="390"/>
      <c r="O674" s="126"/>
      <c r="P674" s="126"/>
      <c r="Q674" s="390"/>
      <c r="R674" s="390"/>
      <c r="S674" s="403"/>
      <c r="T674" s="390"/>
      <c r="U674" s="390"/>
      <c r="V674" s="390"/>
      <c r="W674" s="390"/>
      <c r="X674" s="3766"/>
      <c r="Y674" s="3618"/>
    </row>
    <row r="675" spans="1:26" s="2165" customFormat="1" hidden="1" thickBot="1">
      <c r="A675" s="3616"/>
      <c r="B675" s="407" t="s">
        <v>24</v>
      </c>
      <c r="C675" s="3621"/>
      <c r="D675" s="2192"/>
      <c r="E675" s="89"/>
      <c r="F675" s="310"/>
      <c r="G675" s="310"/>
      <c r="H675" s="95"/>
      <c r="I675" s="95"/>
      <c r="J675" s="95"/>
      <c r="K675" s="273"/>
      <c r="L675" s="95"/>
      <c r="M675" s="2192"/>
      <c r="N675" s="404"/>
      <c r="O675" s="95"/>
      <c r="P675" s="95"/>
      <c r="Q675" s="404"/>
      <c r="R675" s="404"/>
      <c r="S675" s="405"/>
      <c r="T675" s="404"/>
      <c r="U675" s="404"/>
      <c r="V675" s="404"/>
      <c r="W675" s="404"/>
      <c r="X675" s="3767"/>
      <c r="Y675" s="3619"/>
    </row>
    <row r="676" spans="1:26" s="2165" customFormat="1" ht="24.75" hidden="1" customHeight="1">
      <c r="A676" s="3614" t="s">
        <v>106</v>
      </c>
      <c r="B676" s="382"/>
      <c r="C676" s="73"/>
      <c r="D676" s="50"/>
      <c r="E676" s="50"/>
      <c r="F676" s="51"/>
      <c r="G676" s="51"/>
      <c r="H676" s="50"/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2"/>
      <c r="T676" s="52"/>
      <c r="U676" s="52"/>
      <c r="V676" s="52"/>
      <c r="W676" s="52"/>
      <c r="X676" s="53"/>
      <c r="Y676" s="3617" t="s">
        <v>101</v>
      </c>
    </row>
    <row r="677" spans="1:26" s="2165" customFormat="1" ht="12" hidden="1">
      <c r="A677" s="3615"/>
      <c r="B677" s="25" t="s">
        <v>21</v>
      </c>
      <c r="C677" s="26"/>
      <c r="D677" s="165"/>
      <c r="E677" s="165"/>
      <c r="F677" s="165"/>
      <c r="G677" s="165"/>
      <c r="H677" s="165"/>
      <c r="I677" s="165"/>
      <c r="J677" s="165"/>
      <c r="K677" s="165"/>
      <c r="L677" s="165"/>
      <c r="M677" s="165"/>
      <c r="N677" s="165"/>
      <c r="O677" s="165"/>
      <c r="P677" s="165"/>
      <c r="Q677" s="165"/>
      <c r="R677" s="165"/>
      <c r="S677" s="165"/>
      <c r="T677" s="397"/>
      <c r="U677" s="397"/>
      <c r="V677" s="397"/>
      <c r="W677" s="397"/>
      <c r="X677" s="80">
        <f>+X678</f>
        <v>0</v>
      </c>
      <c r="Y677" s="3618"/>
      <c r="Z677" s="2164">
        <f>+O677+P677+Q677+R677</f>
        <v>0</v>
      </c>
    </row>
    <row r="678" spans="1:26" s="2165" customFormat="1" ht="12" hidden="1">
      <c r="A678" s="3615"/>
      <c r="B678" s="217" t="s">
        <v>35</v>
      </c>
      <c r="C678" s="3657" t="s">
        <v>98</v>
      </c>
      <c r="D678" s="166"/>
      <c r="E678" s="166"/>
      <c r="F678" s="166"/>
      <c r="G678" s="166"/>
      <c r="H678" s="166"/>
      <c r="I678" s="166"/>
      <c r="J678" s="166"/>
      <c r="K678" s="166"/>
      <c r="L678" s="166"/>
      <c r="M678" s="166"/>
      <c r="N678" s="166"/>
      <c r="O678" s="166"/>
      <c r="P678" s="166"/>
      <c r="Q678" s="166"/>
      <c r="R678" s="166"/>
      <c r="S678" s="166"/>
      <c r="T678" s="402"/>
      <c r="U678" s="385"/>
      <c r="V678" s="385"/>
      <c r="W678" s="385"/>
      <c r="X678" s="99">
        <f>+X679+X680</f>
        <v>0</v>
      </c>
      <c r="Y678" s="3618"/>
    </row>
    <row r="679" spans="1:26" s="2165" customFormat="1" ht="12" hidden="1">
      <c r="A679" s="3615"/>
      <c r="B679" s="833" t="s">
        <v>23</v>
      </c>
      <c r="C679" s="3774"/>
      <c r="D679" s="2192"/>
      <c r="E679" s="59"/>
      <c r="F679" s="110"/>
      <c r="G679" s="110"/>
      <c r="H679" s="110"/>
      <c r="I679" s="167"/>
      <c r="J679" s="92"/>
      <c r="K679" s="109"/>
      <c r="L679" s="110"/>
      <c r="M679" s="2192"/>
      <c r="N679" s="92"/>
      <c r="O679" s="92"/>
      <c r="P679" s="92"/>
      <c r="Q679" s="92"/>
      <c r="R679" s="92"/>
      <c r="S679" s="92"/>
      <c r="T679" s="402"/>
      <c r="U679" s="385"/>
      <c r="V679" s="385"/>
      <c r="W679" s="385"/>
      <c r="X679" s="44">
        <f>SUM(Q679:W679)</f>
        <v>0</v>
      </c>
      <c r="Y679" s="3618"/>
    </row>
    <row r="680" spans="1:26" s="2165" customFormat="1" ht="12" hidden="1">
      <c r="A680" s="3615"/>
      <c r="B680" s="174" t="s">
        <v>92</v>
      </c>
      <c r="C680" s="3773"/>
      <c r="D680" s="2192"/>
      <c r="E680" s="59"/>
      <c r="F680" s="92"/>
      <c r="G680" s="92"/>
      <c r="H680" s="92"/>
      <c r="I680" s="92"/>
      <c r="J680" s="92"/>
      <c r="K680" s="112"/>
      <c r="L680" s="92"/>
      <c r="M680" s="2192"/>
      <c r="N680" s="92"/>
      <c r="O680" s="92"/>
      <c r="P680" s="92"/>
      <c r="Q680" s="92"/>
      <c r="R680" s="92"/>
      <c r="S680" s="402"/>
      <c r="T680" s="402"/>
      <c r="U680" s="385"/>
      <c r="V680" s="385"/>
      <c r="W680" s="385"/>
      <c r="X680" s="44">
        <f>SUM(Q680:W680)</f>
        <v>0</v>
      </c>
      <c r="Y680" s="3618"/>
    </row>
    <row r="681" spans="1:26" s="2165" customFormat="1" ht="12" hidden="1">
      <c r="A681" s="3615"/>
      <c r="B681" s="101" t="s">
        <v>33</v>
      </c>
      <c r="C681" s="26"/>
      <c r="D681" s="165"/>
      <c r="E681" s="165"/>
      <c r="F681" s="165"/>
      <c r="G681" s="165"/>
      <c r="H681" s="165"/>
      <c r="I681" s="165"/>
      <c r="J681" s="165"/>
      <c r="K681" s="165"/>
      <c r="L681" s="165"/>
      <c r="M681" s="165"/>
      <c r="N681" s="397"/>
      <c r="O681" s="165"/>
      <c r="P681" s="165"/>
      <c r="Q681" s="397"/>
      <c r="R681" s="397"/>
      <c r="S681" s="397"/>
      <c r="T681" s="397"/>
      <c r="U681" s="397"/>
      <c r="V681" s="397"/>
      <c r="W681" s="397"/>
      <c r="X681" s="3778" t="s">
        <v>34</v>
      </c>
      <c r="Y681" s="3618"/>
    </row>
    <row r="682" spans="1:26" s="2165" customFormat="1" ht="12" hidden="1">
      <c r="A682" s="3615"/>
      <c r="B682" s="217" t="s">
        <v>35</v>
      </c>
      <c r="C682" s="3657" t="s">
        <v>98</v>
      </c>
      <c r="D682" s="717"/>
      <c r="E682" s="717"/>
      <c r="F682" s="717"/>
      <c r="G682" s="717"/>
      <c r="H682" s="717"/>
      <c r="I682" s="717"/>
      <c r="J682" s="717"/>
      <c r="K682" s="717"/>
      <c r="L682" s="717"/>
      <c r="M682" s="717"/>
      <c r="N682" s="403"/>
      <c r="O682" s="718"/>
      <c r="P682" s="718"/>
      <c r="Q682" s="403"/>
      <c r="R682" s="403"/>
      <c r="S682" s="403"/>
      <c r="T682" s="390"/>
      <c r="U682" s="390"/>
      <c r="V682" s="390"/>
      <c r="W682" s="390"/>
      <c r="X682" s="3766"/>
      <c r="Y682" s="3618"/>
    </row>
    <row r="683" spans="1:26" s="2165" customFormat="1" hidden="1" thickBot="1">
      <c r="A683" s="3616"/>
      <c r="B683" s="174" t="s">
        <v>24</v>
      </c>
      <c r="C683" s="3621"/>
      <c r="D683" s="2192"/>
      <c r="E683" s="89"/>
      <c r="F683" s="310"/>
      <c r="G683" s="310"/>
      <c r="H683" s="95"/>
      <c r="I683" s="95"/>
      <c r="J683" s="95"/>
      <c r="K683" s="273"/>
      <c r="L683" s="95"/>
      <c r="M683" s="2192"/>
      <c r="N683" s="405"/>
      <c r="O683" s="2198"/>
      <c r="P683" s="92"/>
      <c r="Q683" s="405"/>
      <c r="R683" s="405"/>
      <c r="S683" s="405"/>
      <c r="T683" s="404"/>
      <c r="U683" s="404"/>
      <c r="V683" s="404"/>
      <c r="W683" s="404"/>
      <c r="X683" s="3767"/>
      <c r="Y683" s="3619"/>
    </row>
    <row r="684" spans="1:26" s="2165" customFormat="1" ht="14.25" hidden="1" customHeight="1">
      <c r="A684" s="3614" t="s">
        <v>107</v>
      </c>
      <c r="B684" s="382"/>
      <c r="C684" s="73"/>
      <c r="D684" s="168"/>
      <c r="E684" s="50"/>
      <c r="F684" s="51"/>
      <c r="G684" s="51"/>
      <c r="H684" s="50"/>
      <c r="I684" s="50"/>
      <c r="J684" s="50"/>
      <c r="K684" s="50"/>
      <c r="L684" s="50"/>
      <c r="M684" s="52"/>
      <c r="N684" s="52"/>
      <c r="O684" s="52"/>
      <c r="P684" s="52"/>
      <c r="Q684" s="52"/>
      <c r="R684" s="52"/>
      <c r="S684" s="52"/>
      <c r="T684" s="52"/>
      <c r="U684" s="52"/>
      <c r="V684" s="52"/>
      <c r="W684" s="52"/>
      <c r="X684" s="53"/>
      <c r="Y684" s="3617" t="s">
        <v>101</v>
      </c>
    </row>
    <row r="685" spans="1:26" s="2165" customFormat="1" ht="12" hidden="1">
      <c r="A685" s="3615"/>
      <c r="B685" s="25" t="s">
        <v>21</v>
      </c>
      <c r="C685" s="26"/>
      <c r="D685" s="165"/>
      <c r="E685" s="165"/>
      <c r="F685" s="165"/>
      <c r="G685" s="165"/>
      <c r="H685" s="165"/>
      <c r="I685" s="165"/>
      <c r="J685" s="165"/>
      <c r="K685" s="165"/>
      <c r="L685" s="165"/>
      <c r="M685" s="165"/>
      <c r="N685" s="165"/>
      <c r="O685" s="165"/>
      <c r="P685" s="165"/>
      <c r="Q685" s="165"/>
      <c r="R685" s="165"/>
      <c r="S685" s="397"/>
      <c r="T685" s="397"/>
      <c r="U685" s="397"/>
      <c r="V685" s="397"/>
      <c r="W685" s="397"/>
      <c r="X685" s="80">
        <f>+X686</f>
        <v>0</v>
      </c>
      <c r="Y685" s="3618"/>
      <c r="Z685" s="2164">
        <f>+O685+P685+Q685+R685</f>
        <v>0</v>
      </c>
    </row>
    <row r="686" spans="1:26" s="2165" customFormat="1" ht="12" hidden="1">
      <c r="A686" s="3615"/>
      <c r="B686" s="217" t="s">
        <v>35</v>
      </c>
      <c r="C686" s="3657" t="s">
        <v>98</v>
      </c>
      <c r="D686" s="166"/>
      <c r="E686" s="166"/>
      <c r="F686" s="166"/>
      <c r="G686" s="166"/>
      <c r="H686" s="166"/>
      <c r="I686" s="166"/>
      <c r="J686" s="166"/>
      <c r="K686" s="166"/>
      <c r="L686" s="166"/>
      <c r="M686" s="166"/>
      <c r="N686" s="166"/>
      <c r="O686" s="166"/>
      <c r="P686" s="166"/>
      <c r="Q686" s="166"/>
      <c r="R686" s="166"/>
      <c r="S686" s="398"/>
      <c r="T686" s="398"/>
      <c r="U686" s="398"/>
      <c r="V686" s="398"/>
      <c r="W686" s="398"/>
      <c r="X686" s="99">
        <f>+X687</f>
        <v>0</v>
      </c>
      <c r="Y686" s="3618"/>
    </row>
    <row r="687" spans="1:26" s="2165" customFormat="1" hidden="1" thickBot="1">
      <c r="A687" s="3616"/>
      <c r="B687" s="832" t="s">
        <v>23</v>
      </c>
      <c r="C687" s="3621"/>
      <c r="D687" s="2192"/>
      <c r="E687" s="89"/>
      <c r="F687" s="310"/>
      <c r="G687" s="310"/>
      <c r="H687" s="310"/>
      <c r="I687" s="312"/>
      <c r="J687" s="95"/>
      <c r="K687" s="311"/>
      <c r="L687" s="310"/>
      <c r="M687" s="2192"/>
      <c r="N687" s="310"/>
      <c r="O687" s="310"/>
      <c r="P687" s="310"/>
      <c r="Q687" s="310"/>
      <c r="R687" s="310"/>
      <c r="S687" s="423"/>
      <c r="T687" s="423"/>
      <c r="U687" s="401"/>
      <c r="V687" s="401"/>
      <c r="W687" s="401"/>
      <c r="X687" s="44">
        <f>SUM(Q687:W687)</f>
        <v>0</v>
      </c>
      <c r="Y687" s="3619"/>
    </row>
    <row r="688" spans="1:26" s="2165" customFormat="1" ht="14.25" hidden="1" customHeight="1">
      <c r="A688" s="3614" t="s">
        <v>108</v>
      </c>
      <c r="B688" s="382"/>
      <c r="C688" s="73"/>
      <c r="D688" s="168"/>
      <c r="E688" s="50"/>
      <c r="F688" s="51"/>
      <c r="G688" s="51"/>
      <c r="H688" s="50"/>
      <c r="I688" s="50"/>
      <c r="J688" s="50"/>
      <c r="K688" s="50"/>
      <c r="L688" s="50"/>
      <c r="M688" s="52"/>
      <c r="N688" s="52"/>
      <c r="O688" s="52"/>
      <c r="P688" s="52"/>
      <c r="Q688" s="52"/>
      <c r="R688" s="52"/>
      <c r="S688" s="52"/>
      <c r="T688" s="52"/>
      <c r="U688" s="52"/>
      <c r="V688" s="52"/>
      <c r="W688" s="52"/>
      <c r="X688" s="53"/>
      <c r="Y688" s="3617" t="s">
        <v>101</v>
      </c>
    </row>
    <row r="689" spans="1:26" s="2165" customFormat="1" ht="12" hidden="1">
      <c r="A689" s="3615"/>
      <c r="B689" s="25" t="s">
        <v>21</v>
      </c>
      <c r="C689" s="26"/>
      <c r="D689" s="165"/>
      <c r="E689" s="165"/>
      <c r="F689" s="165"/>
      <c r="G689" s="165"/>
      <c r="H689" s="165"/>
      <c r="I689" s="165"/>
      <c r="J689" s="165"/>
      <c r="K689" s="165"/>
      <c r="L689" s="165"/>
      <c r="M689" s="397"/>
      <c r="N689" s="165"/>
      <c r="O689" s="397"/>
      <c r="P689" s="165"/>
      <c r="Q689" s="165"/>
      <c r="R689" s="165"/>
      <c r="S689" s="165"/>
      <c r="T689" s="397"/>
      <c r="U689" s="397"/>
      <c r="V689" s="397"/>
      <c r="W689" s="397"/>
      <c r="X689" s="80">
        <f>+X690</f>
        <v>0</v>
      </c>
      <c r="Y689" s="3618"/>
      <c r="Z689" s="2164">
        <f>+O689+P689+Q689+R689</f>
        <v>0</v>
      </c>
    </row>
    <row r="690" spans="1:26" s="2165" customFormat="1" ht="12" hidden="1">
      <c r="A690" s="3615"/>
      <c r="B690" s="217" t="s">
        <v>35</v>
      </c>
      <c r="C690" s="3657" t="s">
        <v>98</v>
      </c>
      <c r="D690" s="166"/>
      <c r="E690" s="166"/>
      <c r="F690" s="166"/>
      <c r="G690" s="166"/>
      <c r="H690" s="166"/>
      <c r="I690" s="166"/>
      <c r="J690" s="166"/>
      <c r="K690" s="166"/>
      <c r="L690" s="166"/>
      <c r="M690" s="398"/>
      <c r="N690" s="166"/>
      <c r="O690" s="398"/>
      <c r="P690" s="166"/>
      <c r="Q690" s="166"/>
      <c r="R690" s="166"/>
      <c r="S690" s="166"/>
      <c r="T690" s="398"/>
      <c r="U690" s="398"/>
      <c r="V690" s="398"/>
      <c r="W690" s="398"/>
      <c r="X690" s="99">
        <f>+X691</f>
        <v>0</v>
      </c>
      <c r="Y690" s="3618"/>
    </row>
    <row r="691" spans="1:26" s="2165" customFormat="1" hidden="1" thickBot="1">
      <c r="A691" s="3616"/>
      <c r="B691" s="832" t="s">
        <v>23</v>
      </c>
      <c r="C691" s="3621"/>
      <c r="D691" s="2192"/>
      <c r="E691" s="89"/>
      <c r="F691" s="310"/>
      <c r="G691" s="310"/>
      <c r="H691" s="310"/>
      <c r="I691" s="312"/>
      <c r="J691" s="95"/>
      <c r="K691" s="311"/>
      <c r="L691" s="310"/>
      <c r="M691" s="1386"/>
      <c r="N691" s="310"/>
      <c r="O691" s="423"/>
      <c r="P691" s="310"/>
      <c r="Q691" s="310"/>
      <c r="R691" s="310"/>
      <c r="S691" s="310"/>
      <c r="T691" s="423"/>
      <c r="U691" s="401"/>
      <c r="V691" s="401"/>
      <c r="W691" s="401"/>
      <c r="X691" s="44">
        <f>SUM(Q691:W691)</f>
        <v>0</v>
      </c>
      <c r="Y691" s="3619"/>
    </row>
    <row r="692" spans="1:26" s="2165" customFormat="1" ht="24.75" customHeight="1">
      <c r="A692" s="3614" t="s">
        <v>103</v>
      </c>
      <c r="B692" s="382" t="s">
        <v>266</v>
      </c>
      <c r="C692" s="73" t="s">
        <v>125</v>
      </c>
      <c r="D692" s="168"/>
      <c r="E692" s="50"/>
      <c r="F692" s="51"/>
      <c r="G692" s="51"/>
      <c r="H692" s="50"/>
      <c r="I692" s="50"/>
      <c r="J692" s="50"/>
      <c r="K692" s="50"/>
      <c r="L692" s="50"/>
      <c r="M692" s="52"/>
      <c r="N692" s="52"/>
      <c r="O692" s="52"/>
      <c r="P692" s="52"/>
      <c r="Q692" s="52"/>
      <c r="R692" s="52"/>
      <c r="S692" s="52"/>
      <c r="T692" s="52"/>
      <c r="U692" s="52"/>
      <c r="V692" s="52"/>
      <c r="W692" s="52"/>
      <c r="X692" s="53"/>
      <c r="Y692" s="3617" t="s">
        <v>118</v>
      </c>
    </row>
    <row r="693" spans="1:26" s="2165" customFormat="1" ht="12">
      <c r="A693" s="3615"/>
      <c r="B693" s="25" t="s">
        <v>21</v>
      </c>
      <c r="C693" s="26"/>
      <c r="D693" s="165">
        <f>+D694</f>
        <v>656055</v>
      </c>
      <c r="E693" s="165"/>
      <c r="F693" s="165"/>
      <c r="G693" s="165"/>
      <c r="H693" s="165"/>
      <c r="I693" s="165"/>
      <c r="J693" s="165"/>
      <c r="K693" s="165"/>
      <c r="L693" s="165">
        <f t="shared" ref="L693:T694" si="381">+L694</f>
        <v>0</v>
      </c>
      <c r="M693" s="165">
        <f t="shared" si="381"/>
        <v>62069</v>
      </c>
      <c r="N693" s="165">
        <f t="shared" si="381"/>
        <v>0</v>
      </c>
      <c r="O693" s="165">
        <f t="shared" si="381"/>
        <v>62069</v>
      </c>
      <c r="P693" s="165">
        <f t="shared" si="381"/>
        <v>53986</v>
      </c>
      <c r="Q693" s="165">
        <f t="shared" si="381"/>
        <v>135000</v>
      </c>
      <c r="R693" s="165">
        <f t="shared" si="381"/>
        <v>135000</v>
      </c>
      <c r="S693" s="165">
        <f t="shared" si="381"/>
        <v>135000</v>
      </c>
      <c r="T693" s="165">
        <f t="shared" si="381"/>
        <v>135000</v>
      </c>
      <c r="U693" s="397">
        <v>0</v>
      </c>
      <c r="V693" s="397">
        <v>0</v>
      </c>
      <c r="W693" s="397">
        <v>0</v>
      </c>
      <c r="X693" s="80">
        <f>+X694</f>
        <v>540000</v>
      </c>
      <c r="Y693" s="3618"/>
      <c r="Z693" s="2164">
        <f>+O693+P693+Q693+R693</f>
        <v>386055</v>
      </c>
    </row>
    <row r="694" spans="1:26" s="2165" customFormat="1" ht="12">
      <c r="A694" s="3615"/>
      <c r="B694" s="217" t="s">
        <v>35</v>
      </c>
      <c r="C694" s="3657" t="s">
        <v>114</v>
      </c>
      <c r="D694" s="166">
        <f>+D695</f>
        <v>656055</v>
      </c>
      <c r="E694" s="166"/>
      <c r="F694" s="166"/>
      <c r="G694" s="166"/>
      <c r="H694" s="166"/>
      <c r="I694" s="166"/>
      <c r="J694" s="166"/>
      <c r="K694" s="166"/>
      <c r="L694" s="166">
        <f t="shared" si="381"/>
        <v>0</v>
      </c>
      <c r="M694" s="166">
        <f t="shared" si="381"/>
        <v>62069</v>
      </c>
      <c r="N694" s="166">
        <f t="shared" si="381"/>
        <v>0</v>
      </c>
      <c r="O694" s="166">
        <f t="shared" si="381"/>
        <v>62069</v>
      </c>
      <c r="P694" s="166">
        <f t="shared" si="381"/>
        <v>53986</v>
      </c>
      <c r="Q694" s="166">
        <f t="shared" si="381"/>
        <v>135000</v>
      </c>
      <c r="R694" s="166">
        <f t="shared" si="381"/>
        <v>135000</v>
      </c>
      <c r="S694" s="166">
        <f t="shared" si="381"/>
        <v>135000</v>
      </c>
      <c r="T694" s="166">
        <f t="shared" si="381"/>
        <v>135000</v>
      </c>
      <c r="U694" s="398">
        <v>0</v>
      </c>
      <c r="V694" s="398">
        <v>0</v>
      </c>
      <c r="W694" s="398">
        <v>0</v>
      </c>
      <c r="X694" s="99">
        <f>+X695</f>
        <v>540000</v>
      </c>
      <c r="Y694" s="3618"/>
    </row>
    <row r="695" spans="1:26" s="2165" customFormat="1" thickBot="1">
      <c r="A695" s="3616"/>
      <c r="B695" s="826" t="s">
        <v>23</v>
      </c>
      <c r="C695" s="3621"/>
      <c r="D695" s="2192">
        <f>M695+P695+Q695+R695+S695+T695+U695+V695+W695</f>
        <v>656055</v>
      </c>
      <c r="E695" s="89"/>
      <c r="F695" s="310"/>
      <c r="G695" s="310"/>
      <c r="H695" s="310"/>
      <c r="I695" s="312"/>
      <c r="J695" s="95"/>
      <c r="K695" s="311"/>
      <c r="L695" s="310">
        <v>0</v>
      </c>
      <c r="M695" s="2192">
        <f>+E695+I695+J695+K695+L695+N695+O695</f>
        <v>62069</v>
      </c>
      <c r="N695" s="310">
        <v>0</v>
      </c>
      <c r="O695" s="310">
        <f>120000-51166-6765</f>
        <v>62069</v>
      </c>
      <c r="P695" s="310">
        <f>135000-77333-3681</f>
        <v>53986</v>
      </c>
      <c r="Q695" s="310">
        <v>135000</v>
      </c>
      <c r="R695" s="310">
        <v>135000</v>
      </c>
      <c r="S695" s="310">
        <v>135000</v>
      </c>
      <c r="T695" s="310">
        <v>135000</v>
      </c>
      <c r="U695" s="423">
        <v>0</v>
      </c>
      <c r="V695" s="423">
        <v>0</v>
      </c>
      <c r="W695" s="423">
        <v>0</v>
      </c>
      <c r="X695" s="44">
        <f>SUM(Q695:W695)</f>
        <v>540000</v>
      </c>
      <c r="Y695" s="3619"/>
    </row>
    <row r="696" spans="1:26" s="2165" customFormat="1" ht="27" customHeight="1">
      <c r="A696" s="3614" t="s">
        <v>104</v>
      </c>
      <c r="B696" s="382" t="s">
        <v>396</v>
      </c>
      <c r="C696" s="73" t="s">
        <v>95</v>
      </c>
      <c r="D696" s="168"/>
      <c r="E696" s="50"/>
      <c r="F696" s="51"/>
      <c r="G696" s="51"/>
      <c r="H696" s="50"/>
      <c r="I696" s="50"/>
      <c r="J696" s="50"/>
      <c r="K696" s="50"/>
      <c r="L696" s="50"/>
      <c r="M696" s="52"/>
      <c r="N696" s="52"/>
      <c r="O696" s="52"/>
      <c r="P696" s="52"/>
      <c r="Q696" s="52"/>
      <c r="R696" s="52"/>
      <c r="S696" s="52"/>
      <c r="T696" s="52"/>
      <c r="U696" s="52"/>
      <c r="V696" s="52"/>
      <c r="W696" s="52"/>
      <c r="X696" s="53"/>
      <c r="Y696" s="3617" t="s">
        <v>101</v>
      </c>
    </row>
    <row r="697" spans="1:26" s="2165" customFormat="1" ht="12">
      <c r="A697" s="3615"/>
      <c r="B697" s="25" t="s">
        <v>21</v>
      </c>
      <c r="C697" s="26"/>
      <c r="D697" s="816">
        <f>+D698</f>
        <v>6355000</v>
      </c>
      <c r="E697" s="816"/>
      <c r="F697" s="816"/>
      <c r="G697" s="816"/>
      <c r="H697" s="816"/>
      <c r="I697" s="816"/>
      <c r="J697" s="816"/>
      <c r="K697" s="816"/>
      <c r="L697" s="816">
        <f t="shared" ref="L697:R698" si="382">+L698</f>
        <v>0</v>
      </c>
      <c r="M697" s="817">
        <f t="shared" si="382"/>
        <v>0</v>
      </c>
      <c r="N697" s="816">
        <f t="shared" si="382"/>
        <v>0</v>
      </c>
      <c r="O697" s="817">
        <f t="shared" si="382"/>
        <v>0</v>
      </c>
      <c r="P697" s="816">
        <f t="shared" si="382"/>
        <v>4296264</v>
      </c>
      <c r="Q697" s="816">
        <f t="shared" si="382"/>
        <v>2058736</v>
      </c>
      <c r="R697" s="817">
        <f t="shared" si="382"/>
        <v>0</v>
      </c>
      <c r="S697" s="817">
        <v>0</v>
      </c>
      <c r="T697" s="817">
        <v>0</v>
      </c>
      <c r="U697" s="817">
        <v>0</v>
      </c>
      <c r="V697" s="817">
        <v>0</v>
      </c>
      <c r="W697" s="817">
        <v>0</v>
      </c>
      <c r="X697" s="838">
        <f>+X698</f>
        <v>2058736</v>
      </c>
      <c r="Y697" s="3618"/>
      <c r="Z697" s="2164">
        <f>+O697+P697+Q697+R697</f>
        <v>6355000</v>
      </c>
    </row>
    <row r="698" spans="1:26" s="2165" customFormat="1" ht="12">
      <c r="A698" s="3615"/>
      <c r="B698" s="217" t="s">
        <v>35</v>
      </c>
      <c r="C698" s="3620" t="s">
        <v>98</v>
      </c>
      <c r="D698" s="858">
        <f>+D699</f>
        <v>6355000</v>
      </c>
      <c r="E698" s="858"/>
      <c r="F698" s="858"/>
      <c r="G698" s="858"/>
      <c r="H698" s="858"/>
      <c r="I698" s="858"/>
      <c r="J698" s="858"/>
      <c r="K698" s="858"/>
      <c r="L698" s="858">
        <f t="shared" si="382"/>
        <v>0</v>
      </c>
      <c r="M698" s="860">
        <f t="shared" si="382"/>
        <v>0</v>
      </c>
      <c r="N698" s="858">
        <f t="shared" si="382"/>
        <v>0</v>
      </c>
      <c r="O698" s="860">
        <f t="shared" si="382"/>
        <v>0</v>
      </c>
      <c r="P698" s="858">
        <f t="shared" si="382"/>
        <v>4296264</v>
      </c>
      <c r="Q698" s="858">
        <f t="shared" si="382"/>
        <v>2058736</v>
      </c>
      <c r="R698" s="860">
        <f t="shared" si="382"/>
        <v>0</v>
      </c>
      <c r="S698" s="860">
        <v>0</v>
      </c>
      <c r="T698" s="860">
        <v>0</v>
      </c>
      <c r="U698" s="860">
        <v>0</v>
      </c>
      <c r="V698" s="860">
        <v>0</v>
      </c>
      <c r="W698" s="860">
        <v>0</v>
      </c>
      <c r="X698" s="840">
        <f>+X699</f>
        <v>2058736</v>
      </c>
      <c r="Y698" s="3618"/>
    </row>
    <row r="699" spans="1:26" s="2165" customFormat="1" thickBot="1">
      <c r="A699" s="3616"/>
      <c r="B699" s="832" t="s">
        <v>23</v>
      </c>
      <c r="C699" s="3621"/>
      <c r="D699" s="2192">
        <f>M699+P699+Q699+R699+S699+T699+U699+V699+W699</f>
        <v>6355000</v>
      </c>
      <c r="E699" s="89"/>
      <c r="F699" s="310"/>
      <c r="G699" s="310"/>
      <c r="H699" s="310"/>
      <c r="I699" s="312"/>
      <c r="J699" s="95"/>
      <c r="K699" s="311"/>
      <c r="L699" s="310"/>
      <c r="M699" s="1386">
        <f>+E699+I699+J699+K699+L699+N699+O699</f>
        <v>0</v>
      </c>
      <c r="N699" s="310"/>
      <c r="O699" s="423"/>
      <c r="P699" s="310">
        <f>4390000-93736</f>
        <v>4296264</v>
      </c>
      <c r="Q699" s="310">
        <f>1965000+93736</f>
        <v>2058736</v>
      </c>
      <c r="R699" s="423">
        <f>168960-168960</f>
        <v>0</v>
      </c>
      <c r="S699" s="423">
        <v>0</v>
      </c>
      <c r="T699" s="423">
        <v>0</v>
      </c>
      <c r="U699" s="423">
        <v>0</v>
      </c>
      <c r="V699" s="423">
        <v>0</v>
      </c>
      <c r="W699" s="423">
        <v>0</v>
      </c>
      <c r="X699" s="44">
        <f>SUM(Q699:W699)</f>
        <v>2058736</v>
      </c>
      <c r="Y699" s="3619"/>
    </row>
    <row r="700" spans="1:26" s="2165" customFormat="1" ht="16.5" customHeight="1">
      <c r="A700" s="3614" t="s">
        <v>105</v>
      </c>
      <c r="B700" s="382" t="s">
        <v>446</v>
      </c>
      <c r="C700" s="73" t="s">
        <v>125</v>
      </c>
      <c r="D700" s="168"/>
      <c r="E700" s="50"/>
      <c r="F700" s="51"/>
      <c r="G700" s="51"/>
      <c r="H700" s="50"/>
      <c r="I700" s="50"/>
      <c r="J700" s="50"/>
      <c r="K700" s="50"/>
      <c r="L700" s="50"/>
      <c r="M700" s="941"/>
      <c r="N700" s="52"/>
      <c r="O700" s="941"/>
      <c r="P700" s="52"/>
      <c r="Q700" s="52"/>
      <c r="R700" s="52"/>
      <c r="S700" s="52"/>
      <c r="T700" s="52"/>
      <c r="U700" s="52"/>
      <c r="V700" s="52"/>
      <c r="W700" s="52"/>
      <c r="X700" s="53"/>
      <c r="Y700" s="3617" t="s">
        <v>101</v>
      </c>
    </row>
    <row r="701" spans="1:26" s="2165" customFormat="1" ht="12">
      <c r="A701" s="3615"/>
      <c r="B701" s="25" t="s">
        <v>21</v>
      </c>
      <c r="C701" s="26"/>
      <c r="D701" s="816">
        <f>+D702</f>
        <v>107265718</v>
      </c>
      <c r="E701" s="816"/>
      <c r="F701" s="816"/>
      <c r="G701" s="816"/>
      <c r="H701" s="816"/>
      <c r="I701" s="816"/>
      <c r="J701" s="816"/>
      <c r="K701" s="816"/>
      <c r="L701" s="816">
        <f t="shared" ref="L701:T702" si="383">+L702</f>
        <v>0</v>
      </c>
      <c r="M701" s="817">
        <f t="shared" si="383"/>
        <v>0</v>
      </c>
      <c r="N701" s="816">
        <f t="shared" si="383"/>
        <v>0</v>
      </c>
      <c r="O701" s="817">
        <f t="shared" si="383"/>
        <v>0</v>
      </c>
      <c r="P701" s="817">
        <f t="shared" si="383"/>
        <v>0</v>
      </c>
      <c r="Q701" s="816">
        <f t="shared" si="383"/>
        <v>27229019</v>
      </c>
      <c r="R701" s="816">
        <f t="shared" si="383"/>
        <v>26856601</v>
      </c>
      <c r="S701" s="816">
        <f t="shared" si="383"/>
        <v>26265000</v>
      </c>
      <c r="T701" s="816">
        <f t="shared" si="383"/>
        <v>26915098</v>
      </c>
      <c r="U701" s="817">
        <v>0</v>
      </c>
      <c r="V701" s="817">
        <v>0</v>
      </c>
      <c r="W701" s="817">
        <v>0</v>
      </c>
      <c r="X701" s="838">
        <f>+X702</f>
        <v>107265718</v>
      </c>
      <c r="Y701" s="3618"/>
      <c r="Z701" s="2164">
        <f>+O701+P701+Q701+R701</f>
        <v>54085620</v>
      </c>
    </row>
    <row r="702" spans="1:26" s="2165" customFormat="1" ht="12">
      <c r="A702" s="3615"/>
      <c r="B702" s="217" t="s">
        <v>35</v>
      </c>
      <c r="C702" s="3620" t="s">
        <v>98</v>
      </c>
      <c r="D702" s="858">
        <f>+D703</f>
        <v>107265718</v>
      </c>
      <c r="E702" s="858"/>
      <c r="F702" s="858"/>
      <c r="G702" s="858"/>
      <c r="H702" s="858"/>
      <c r="I702" s="858"/>
      <c r="J702" s="858"/>
      <c r="K702" s="858"/>
      <c r="L702" s="858">
        <f t="shared" si="383"/>
        <v>0</v>
      </c>
      <c r="M702" s="860">
        <f t="shared" si="383"/>
        <v>0</v>
      </c>
      <c r="N702" s="858">
        <f t="shared" si="383"/>
        <v>0</v>
      </c>
      <c r="O702" s="860">
        <f t="shared" si="383"/>
        <v>0</v>
      </c>
      <c r="P702" s="860">
        <f t="shared" si="383"/>
        <v>0</v>
      </c>
      <c r="Q702" s="858">
        <f t="shared" si="383"/>
        <v>27229019</v>
      </c>
      <c r="R702" s="858">
        <f t="shared" si="383"/>
        <v>26856601</v>
      </c>
      <c r="S702" s="858">
        <f t="shared" si="383"/>
        <v>26265000</v>
      </c>
      <c r="T702" s="858">
        <f t="shared" si="383"/>
        <v>26915098</v>
      </c>
      <c r="U702" s="860">
        <v>0</v>
      </c>
      <c r="V702" s="860">
        <v>0</v>
      </c>
      <c r="W702" s="860">
        <v>0</v>
      </c>
      <c r="X702" s="840">
        <f>+X703</f>
        <v>107265718</v>
      </c>
      <c r="Y702" s="3618"/>
    </row>
    <row r="703" spans="1:26" s="2165" customFormat="1" ht="14.25" customHeight="1" thickBot="1">
      <c r="A703" s="3616"/>
      <c r="B703" s="832" t="s">
        <v>23</v>
      </c>
      <c r="C703" s="3621"/>
      <c r="D703" s="2192">
        <f>M703+P703+Q703+R703+S703+T703+U703+V703+W703</f>
        <v>107265718</v>
      </c>
      <c r="E703" s="89"/>
      <c r="F703" s="310"/>
      <c r="G703" s="310"/>
      <c r="H703" s="310"/>
      <c r="I703" s="312"/>
      <c r="J703" s="95"/>
      <c r="K703" s="311"/>
      <c r="L703" s="310"/>
      <c r="M703" s="1386">
        <f>+E703+I703+J703+K703+L703+N703+O703</f>
        <v>0</v>
      </c>
      <c r="N703" s="310"/>
      <c r="O703" s="423"/>
      <c r="P703" s="423"/>
      <c r="Q703" s="310">
        <f>24142831+86188+3000000</f>
        <v>27229019</v>
      </c>
      <c r="R703" s="310">
        <v>26856601</v>
      </c>
      <c r="S703" s="310">
        <v>26265000</v>
      </c>
      <c r="T703" s="310">
        <v>26915098</v>
      </c>
      <c r="U703" s="423">
        <v>0</v>
      </c>
      <c r="V703" s="423">
        <v>0</v>
      </c>
      <c r="W703" s="423">
        <v>0</v>
      </c>
      <c r="X703" s="44">
        <f>SUM(Q703:W703)</f>
        <v>107265718</v>
      </c>
      <c r="Y703" s="3619"/>
    </row>
    <row r="704" spans="1:26" s="2165" customFormat="1" ht="16.5" customHeight="1">
      <c r="A704" s="3614" t="s">
        <v>106</v>
      </c>
      <c r="B704" s="382" t="s">
        <v>447</v>
      </c>
      <c r="C704" s="73" t="s">
        <v>95</v>
      </c>
      <c r="D704" s="168"/>
      <c r="E704" s="50"/>
      <c r="F704" s="51"/>
      <c r="G704" s="51"/>
      <c r="H704" s="50"/>
      <c r="I704" s="50"/>
      <c r="J704" s="50"/>
      <c r="K704" s="50"/>
      <c r="L704" s="50"/>
      <c r="M704" s="941"/>
      <c r="N704" s="52"/>
      <c r="O704" s="941"/>
      <c r="P704" s="941"/>
      <c r="Q704" s="52"/>
      <c r="R704" s="52"/>
      <c r="S704" s="52"/>
      <c r="T704" s="52"/>
      <c r="U704" s="52"/>
      <c r="V704" s="52"/>
      <c r="W704" s="52"/>
      <c r="X704" s="53"/>
      <c r="Y704" s="3617" t="s">
        <v>101</v>
      </c>
    </row>
    <row r="705" spans="1:26" s="2165" customFormat="1" ht="12">
      <c r="A705" s="3615"/>
      <c r="B705" s="25" t="s">
        <v>21</v>
      </c>
      <c r="C705" s="26"/>
      <c r="D705" s="816">
        <f>+D706</f>
        <v>113140000</v>
      </c>
      <c r="E705" s="816"/>
      <c r="F705" s="816"/>
      <c r="G705" s="816"/>
      <c r="H705" s="816"/>
      <c r="I705" s="816"/>
      <c r="J705" s="816"/>
      <c r="K705" s="816"/>
      <c r="L705" s="816">
        <f t="shared" ref="L705:T706" si="384">+L706</f>
        <v>0</v>
      </c>
      <c r="M705" s="817">
        <f t="shared" si="384"/>
        <v>0</v>
      </c>
      <c r="N705" s="816">
        <f t="shared" si="384"/>
        <v>0</v>
      </c>
      <c r="O705" s="817">
        <f t="shared" si="384"/>
        <v>0</v>
      </c>
      <c r="P705" s="817">
        <f t="shared" si="384"/>
        <v>0</v>
      </c>
      <c r="Q705" s="816">
        <f t="shared" si="384"/>
        <v>22110000</v>
      </c>
      <c r="R705" s="816">
        <f t="shared" si="384"/>
        <v>29200000</v>
      </c>
      <c r="S705" s="816">
        <f t="shared" si="384"/>
        <v>30550000</v>
      </c>
      <c r="T705" s="816">
        <f t="shared" si="384"/>
        <v>31280000</v>
      </c>
      <c r="U705" s="817">
        <v>0</v>
      </c>
      <c r="V705" s="817">
        <v>0</v>
      </c>
      <c r="W705" s="817">
        <v>0</v>
      </c>
      <c r="X705" s="838">
        <f>+X706</f>
        <v>113140000</v>
      </c>
      <c r="Y705" s="3618"/>
      <c r="Z705" s="2164">
        <f>+O705+P705+Q705+R705</f>
        <v>51310000</v>
      </c>
    </row>
    <row r="706" spans="1:26" s="2165" customFormat="1" ht="12">
      <c r="A706" s="3615"/>
      <c r="B706" s="217" t="s">
        <v>35</v>
      </c>
      <c r="C706" s="3620" t="s">
        <v>98</v>
      </c>
      <c r="D706" s="858">
        <f>+D707</f>
        <v>113140000</v>
      </c>
      <c r="E706" s="858"/>
      <c r="F706" s="858"/>
      <c r="G706" s="858"/>
      <c r="H706" s="858"/>
      <c r="I706" s="858"/>
      <c r="J706" s="858"/>
      <c r="K706" s="858"/>
      <c r="L706" s="858">
        <f t="shared" si="384"/>
        <v>0</v>
      </c>
      <c r="M706" s="860">
        <f t="shared" si="384"/>
        <v>0</v>
      </c>
      <c r="N706" s="858">
        <f t="shared" si="384"/>
        <v>0</v>
      </c>
      <c r="O706" s="860">
        <f t="shared" si="384"/>
        <v>0</v>
      </c>
      <c r="P706" s="860">
        <f t="shared" si="384"/>
        <v>0</v>
      </c>
      <c r="Q706" s="858">
        <f t="shared" si="384"/>
        <v>22110000</v>
      </c>
      <c r="R706" s="858">
        <f t="shared" si="384"/>
        <v>29200000</v>
      </c>
      <c r="S706" s="858">
        <f t="shared" si="384"/>
        <v>30550000</v>
      </c>
      <c r="T706" s="858">
        <f t="shared" si="384"/>
        <v>31280000</v>
      </c>
      <c r="U706" s="860">
        <v>0</v>
      </c>
      <c r="V706" s="860">
        <v>0</v>
      </c>
      <c r="W706" s="860">
        <v>0</v>
      </c>
      <c r="X706" s="840">
        <f>+X707</f>
        <v>113140000</v>
      </c>
      <c r="Y706" s="3618"/>
    </row>
    <row r="707" spans="1:26" s="2165" customFormat="1" thickBot="1">
      <c r="A707" s="3616"/>
      <c r="B707" s="832" t="s">
        <v>23</v>
      </c>
      <c r="C707" s="3621"/>
      <c r="D707" s="2192">
        <f>M707+P707+Q707+R707+S707+T707+U707+V707+W707</f>
        <v>113140000</v>
      </c>
      <c r="E707" s="89"/>
      <c r="F707" s="310"/>
      <c r="G707" s="310"/>
      <c r="H707" s="310"/>
      <c r="I707" s="312"/>
      <c r="J707" s="95"/>
      <c r="K707" s="311"/>
      <c r="L707" s="310"/>
      <c r="M707" s="1386">
        <f>+E707+I707+J707+K707+L707+N707+O707</f>
        <v>0</v>
      </c>
      <c r="N707" s="310"/>
      <c r="O707" s="310"/>
      <c r="P707" s="310"/>
      <c r="Q707" s="310">
        <v>22110000</v>
      </c>
      <c r="R707" s="310">
        <v>29200000</v>
      </c>
      <c r="S707" s="310">
        <v>30550000</v>
      </c>
      <c r="T707" s="310">
        <v>31280000</v>
      </c>
      <c r="U707" s="423">
        <v>0</v>
      </c>
      <c r="V707" s="423">
        <v>0</v>
      </c>
      <c r="W707" s="423">
        <v>0</v>
      </c>
      <c r="X707" s="44">
        <f>SUM(Q707:W707)</f>
        <v>113140000</v>
      </c>
      <c r="Y707" s="3619"/>
    </row>
    <row r="708" spans="1:26" ht="15">
      <c r="A708" s="1272" t="s">
        <v>479</v>
      </c>
      <c r="B708" s="3786" t="s">
        <v>480</v>
      </c>
      <c r="C708" s="3786"/>
      <c r="D708" s="3786"/>
      <c r="E708" s="3786"/>
      <c r="F708" s="3786"/>
      <c r="G708" s="3786"/>
      <c r="H708" s="3786"/>
      <c r="I708" s="3786"/>
      <c r="J708" s="3786"/>
      <c r="K708" s="3786"/>
      <c r="L708" s="3786"/>
      <c r="M708" s="3786"/>
      <c r="N708" s="3786"/>
      <c r="O708" s="3786"/>
      <c r="P708" s="3786"/>
      <c r="Q708" s="3786"/>
      <c r="R708" s="3786"/>
      <c r="S708" s="3786"/>
      <c r="T708" s="3786"/>
      <c r="U708" s="3786"/>
      <c r="V708" s="3786"/>
      <c r="W708" s="3786"/>
      <c r="X708" s="3786"/>
      <c r="Y708" s="188"/>
    </row>
  </sheetData>
  <mergeCells count="345">
    <mergeCell ref="C359:C362"/>
    <mergeCell ref="A363:A374"/>
    <mergeCell ref="Y363:Y369"/>
    <mergeCell ref="C365:C369"/>
    <mergeCell ref="X370:X374"/>
    <mergeCell ref="Y370:Y374"/>
    <mergeCell ref="C371:C374"/>
    <mergeCell ref="B708:X708"/>
    <mergeCell ref="A664:A667"/>
    <mergeCell ref="X681:X683"/>
    <mergeCell ref="Y664:Y667"/>
    <mergeCell ref="C670:C672"/>
    <mergeCell ref="A692:A695"/>
    <mergeCell ref="Y692:Y695"/>
    <mergeCell ref="C694:C695"/>
    <mergeCell ref="A684:A687"/>
    <mergeCell ref="Y684:Y687"/>
    <mergeCell ref="C686:C687"/>
    <mergeCell ref="Y644:Y647"/>
    <mergeCell ref="C646:C647"/>
    <mergeCell ref="A676:A683"/>
    <mergeCell ref="Y676:Y683"/>
    <mergeCell ref="Y668:Y675"/>
    <mergeCell ref="C682:C683"/>
    <mergeCell ref="X211:X213"/>
    <mergeCell ref="X660:X663"/>
    <mergeCell ref="X673:X675"/>
    <mergeCell ref="X195:X197"/>
    <mergeCell ref="X274:X278"/>
    <mergeCell ref="X382:X386"/>
    <mergeCell ref="X432:X436"/>
    <mergeCell ref="X443:X445"/>
    <mergeCell ref="X453:X455"/>
    <mergeCell ref="X629:X631"/>
    <mergeCell ref="X641:X643"/>
    <mergeCell ref="X220:X222"/>
    <mergeCell ref="X232:X238"/>
    <mergeCell ref="X246:X250"/>
    <mergeCell ref="X260:X266"/>
    <mergeCell ref="X298:X302"/>
    <mergeCell ref="C674:C675"/>
    <mergeCell ref="A651:A654"/>
    <mergeCell ref="Y651:Y654"/>
    <mergeCell ref="C653:C654"/>
    <mergeCell ref="A655:A663"/>
    <mergeCell ref="Y655:Y663"/>
    <mergeCell ref="C657:C658"/>
    <mergeCell ref="C661:C663"/>
    <mergeCell ref="C678:C680"/>
    <mergeCell ref="A668:A675"/>
    <mergeCell ref="C606:C608"/>
    <mergeCell ref="C610:C611"/>
    <mergeCell ref="X609:X611"/>
    <mergeCell ref="C578:C579"/>
    <mergeCell ref="X568:X570"/>
    <mergeCell ref="X577:X579"/>
    <mergeCell ref="X590:X595"/>
    <mergeCell ref="C598:C599"/>
    <mergeCell ref="A562:A570"/>
    <mergeCell ref="Y648:Y650"/>
    <mergeCell ref="C649:C650"/>
    <mergeCell ref="A620:A623"/>
    <mergeCell ref="Y620:Y623"/>
    <mergeCell ref="C622:C623"/>
    <mergeCell ref="A624:A631"/>
    <mergeCell ref="Y624:Y627"/>
    <mergeCell ref="C626:C628"/>
    <mergeCell ref="Y629:Y631"/>
    <mergeCell ref="C630:C631"/>
    <mergeCell ref="A632:A635"/>
    <mergeCell ref="Y632:Y635"/>
    <mergeCell ref="C634:C635"/>
    <mergeCell ref="A644:A650"/>
    <mergeCell ref="X648:X650"/>
    <mergeCell ref="Y562:Y570"/>
    <mergeCell ref="A571:A579"/>
    <mergeCell ref="Y571:Y579"/>
    <mergeCell ref="C573:C576"/>
    <mergeCell ref="C420:C424"/>
    <mergeCell ref="A411:A424"/>
    <mergeCell ref="A636:A643"/>
    <mergeCell ref="Y636:Y639"/>
    <mergeCell ref="C638:C640"/>
    <mergeCell ref="Y641:Y643"/>
    <mergeCell ref="C642:C643"/>
    <mergeCell ref="A612:A615"/>
    <mergeCell ref="Y612:Y615"/>
    <mergeCell ref="C614:C615"/>
    <mergeCell ref="A616:A619"/>
    <mergeCell ref="Y616:Y619"/>
    <mergeCell ref="C618:C619"/>
    <mergeCell ref="A600:A603"/>
    <mergeCell ref="Y600:Y603"/>
    <mergeCell ref="C602:C603"/>
    <mergeCell ref="A604:A611"/>
    <mergeCell ref="Y604:Y611"/>
    <mergeCell ref="Y425:Y431"/>
    <mergeCell ref="Y495:Y500"/>
    <mergeCell ref="Y298:Y302"/>
    <mergeCell ref="A267:A278"/>
    <mergeCell ref="C269:C273"/>
    <mergeCell ref="C275:C278"/>
    <mergeCell ref="A375:A386"/>
    <mergeCell ref="C299:C302"/>
    <mergeCell ref="A553:A561"/>
    <mergeCell ref="C488:C491"/>
    <mergeCell ref="X492:X494"/>
    <mergeCell ref="C458:C462"/>
    <mergeCell ref="A425:A436"/>
    <mergeCell ref="A387:A398"/>
    <mergeCell ref="C389:C393"/>
    <mergeCell ref="A495:A503"/>
    <mergeCell ref="C497:C500"/>
    <mergeCell ref="X501:X503"/>
    <mergeCell ref="C401:C405"/>
    <mergeCell ref="C413:C418"/>
    <mergeCell ref="A351:A362"/>
    <mergeCell ref="Y351:Y357"/>
    <mergeCell ref="C353:C357"/>
    <mergeCell ref="X358:X362"/>
    <mergeCell ref="Y358:Y362"/>
    <mergeCell ref="Y501:Y503"/>
    <mergeCell ref="A251:A266"/>
    <mergeCell ref="Y240:Y245"/>
    <mergeCell ref="Y316:Y321"/>
    <mergeCell ref="C317:C321"/>
    <mergeCell ref="X322:X326"/>
    <mergeCell ref="Y322:Y326"/>
    <mergeCell ref="C323:C326"/>
    <mergeCell ref="Y310:Y314"/>
    <mergeCell ref="C311:C314"/>
    <mergeCell ref="A315:A326"/>
    <mergeCell ref="Y274:Y278"/>
    <mergeCell ref="A303:A314"/>
    <mergeCell ref="Y304:Y309"/>
    <mergeCell ref="C305:C309"/>
    <mergeCell ref="X310:X314"/>
    <mergeCell ref="A279:A290"/>
    <mergeCell ref="Y280:Y285"/>
    <mergeCell ref="C281:C285"/>
    <mergeCell ref="X286:X290"/>
    <mergeCell ref="Y286:Y290"/>
    <mergeCell ref="C287:C290"/>
    <mergeCell ref="A291:A302"/>
    <mergeCell ref="Y292:Y297"/>
    <mergeCell ref="C293:C297"/>
    <mergeCell ref="A98:A111"/>
    <mergeCell ref="X106:X111"/>
    <mergeCell ref="Y268:Y273"/>
    <mergeCell ref="X334:X338"/>
    <mergeCell ref="Y334:Y338"/>
    <mergeCell ref="C335:C338"/>
    <mergeCell ref="A327:A338"/>
    <mergeCell ref="C329:C333"/>
    <mergeCell ref="Y260:Y266"/>
    <mergeCell ref="C261:C266"/>
    <mergeCell ref="A168:A176"/>
    <mergeCell ref="Y169:Y173"/>
    <mergeCell ref="A189:A197"/>
    <mergeCell ref="Y190:Y194"/>
    <mergeCell ref="C191:C194"/>
    <mergeCell ref="Y195:Y197"/>
    <mergeCell ref="C196:C197"/>
    <mergeCell ref="A177:A188"/>
    <mergeCell ref="Y178:Y183"/>
    <mergeCell ref="C179:C183"/>
    <mergeCell ref="Y184:Y188"/>
    <mergeCell ref="C185:C188"/>
    <mergeCell ref="X184:X188"/>
    <mergeCell ref="Y199:Y201"/>
    <mergeCell ref="Y113:Y118"/>
    <mergeCell ref="Y119:Y123"/>
    <mergeCell ref="C241:C245"/>
    <mergeCell ref="C247:C250"/>
    <mergeCell ref="C216:C219"/>
    <mergeCell ref="A198:A201"/>
    <mergeCell ref="C200:C201"/>
    <mergeCell ref="A239:A250"/>
    <mergeCell ref="X204:X206"/>
    <mergeCell ref="Y246:Y250"/>
    <mergeCell ref="Y204:Y206"/>
    <mergeCell ref="C205:C206"/>
    <mergeCell ref="Y232:Y238"/>
    <mergeCell ref="C233:C238"/>
    <mergeCell ref="C175:C176"/>
    <mergeCell ref="Y207:Y213"/>
    <mergeCell ref="C209:C210"/>
    <mergeCell ref="C212:C213"/>
    <mergeCell ref="C120:C123"/>
    <mergeCell ref="C114:C117"/>
    <mergeCell ref="X130:X132"/>
    <mergeCell ref="X152:X156"/>
    <mergeCell ref="X163:X167"/>
    <mergeCell ref="X174:X176"/>
    <mergeCell ref="A81:A96"/>
    <mergeCell ref="Y82:Y89"/>
    <mergeCell ref="Y252:Y259"/>
    <mergeCell ref="A214:A222"/>
    <mergeCell ref="Y214:Y222"/>
    <mergeCell ref="C253:C259"/>
    <mergeCell ref="A67:A80"/>
    <mergeCell ref="Y68:Y74"/>
    <mergeCell ref="C69:C74"/>
    <mergeCell ref="Y75:Y80"/>
    <mergeCell ref="C76:C80"/>
    <mergeCell ref="Y133:Y144"/>
    <mergeCell ref="C135:C139"/>
    <mergeCell ref="A124:A132"/>
    <mergeCell ref="Y125:Y129"/>
    <mergeCell ref="C126:C129"/>
    <mergeCell ref="Y130:Y132"/>
    <mergeCell ref="C141:C144"/>
    <mergeCell ref="C131:C132"/>
    <mergeCell ref="A133:A144"/>
    <mergeCell ref="C100:C105"/>
    <mergeCell ref="A112:A123"/>
    <mergeCell ref="Y106:Y111"/>
    <mergeCell ref="C107:C111"/>
    <mergeCell ref="A3:Y3"/>
    <mergeCell ref="C5:C7"/>
    <mergeCell ref="D5:D7"/>
    <mergeCell ref="Y5:Y7"/>
    <mergeCell ref="Y54:Y60"/>
    <mergeCell ref="C55:C58"/>
    <mergeCell ref="A53:A66"/>
    <mergeCell ref="Y61:Y66"/>
    <mergeCell ref="C62:C66"/>
    <mergeCell ref="A9:A34"/>
    <mergeCell ref="X5:X7"/>
    <mergeCell ref="X23:X34"/>
    <mergeCell ref="M5:M6"/>
    <mergeCell ref="X61:X66"/>
    <mergeCell ref="Q5:W6"/>
    <mergeCell ref="P5:P6"/>
    <mergeCell ref="N5:O6"/>
    <mergeCell ref="X44:X52"/>
    <mergeCell ref="C502:C503"/>
    <mergeCell ref="A468:A476"/>
    <mergeCell ref="Y468:Y473"/>
    <mergeCell ref="C470:C473"/>
    <mergeCell ref="X474:X476"/>
    <mergeCell ref="Y474:Y476"/>
    <mergeCell ref="C475:C476"/>
    <mergeCell ref="A477:A485"/>
    <mergeCell ref="Y477:Y482"/>
    <mergeCell ref="C479:C482"/>
    <mergeCell ref="X483:X485"/>
    <mergeCell ref="Y483:Y485"/>
    <mergeCell ref="C484:C485"/>
    <mergeCell ref="C83:C89"/>
    <mergeCell ref="Y90:Y96"/>
    <mergeCell ref="C91:C96"/>
    <mergeCell ref="X90:X95"/>
    <mergeCell ref="X119:X123"/>
    <mergeCell ref="A224:A238"/>
    <mergeCell ref="Y225:Y231"/>
    <mergeCell ref="C226:C231"/>
    <mergeCell ref="Y99:Y105"/>
    <mergeCell ref="C164:C165"/>
    <mergeCell ref="C166:C167"/>
    <mergeCell ref="C221:C222"/>
    <mergeCell ref="A207:A213"/>
    <mergeCell ref="A145:A156"/>
    <mergeCell ref="Y146:Y151"/>
    <mergeCell ref="C147:C151"/>
    <mergeCell ref="Y152:Y156"/>
    <mergeCell ref="C153:C156"/>
    <mergeCell ref="A157:A167"/>
    <mergeCell ref="Y158:Y162"/>
    <mergeCell ref="C159:C162"/>
    <mergeCell ref="Y163:Y167"/>
    <mergeCell ref="C170:C173"/>
    <mergeCell ref="Y174:Y176"/>
    <mergeCell ref="Z387:AB387"/>
    <mergeCell ref="A504:A518"/>
    <mergeCell ref="A688:A691"/>
    <mergeCell ref="Y688:Y691"/>
    <mergeCell ref="C690:C691"/>
    <mergeCell ref="C407:C410"/>
    <mergeCell ref="A447:A455"/>
    <mergeCell ref="Y447:Y452"/>
    <mergeCell ref="C449:C452"/>
    <mergeCell ref="Y453:Y455"/>
    <mergeCell ref="C454:C455"/>
    <mergeCell ref="Y504:Y518"/>
    <mergeCell ref="A456:A467"/>
    <mergeCell ref="Y456:Y462"/>
    <mergeCell ref="A581:A592"/>
    <mergeCell ref="Y586:Y595"/>
    <mergeCell ref="A596:A599"/>
    <mergeCell ref="Y596:Y599"/>
    <mergeCell ref="A486:A494"/>
    <mergeCell ref="Y486:Y491"/>
    <mergeCell ref="Y463:Y467"/>
    <mergeCell ref="X528:X534"/>
    <mergeCell ref="X544:X552"/>
    <mergeCell ref="X559:X561"/>
    <mergeCell ref="A704:A707"/>
    <mergeCell ref="Y704:Y707"/>
    <mergeCell ref="C706:C707"/>
    <mergeCell ref="C383:C386"/>
    <mergeCell ref="A437:A445"/>
    <mergeCell ref="Y437:Y442"/>
    <mergeCell ref="C439:C442"/>
    <mergeCell ref="Y443:Y445"/>
    <mergeCell ref="C444:C445"/>
    <mergeCell ref="A696:A699"/>
    <mergeCell ref="Y696:Y699"/>
    <mergeCell ref="C698:C699"/>
    <mergeCell ref="C464:C467"/>
    <mergeCell ref="Y492:Y494"/>
    <mergeCell ref="C493:C494"/>
    <mergeCell ref="A519:A534"/>
    <mergeCell ref="Y519:Y533"/>
    <mergeCell ref="C506:C512"/>
    <mergeCell ref="X516:X518"/>
    <mergeCell ref="C517:C518"/>
    <mergeCell ref="A535:A552"/>
    <mergeCell ref="Y535:Y551"/>
    <mergeCell ref="C537:C540"/>
    <mergeCell ref="C545:C552"/>
    <mergeCell ref="Y327:Y333"/>
    <mergeCell ref="A339:A350"/>
    <mergeCell ref="Y339:Y345"/>
    <mergeCell ref="C341:C345"/>
    <mergeCell ref="X346:X350"/>
    <mergeCell ref="Y346:Y350"/>
    <mergeCell ref="C347:C350"/>
    <mergeCell ref="A700:A703"/>
    <mergeCell ref="Y700:Y703"/>
    <mergeCell ref="C702:C703"/>
    <mergeCell ref="Y553:Y561"/>
    <mergeCell ref="C555:C558"/>
    <mergeCell ref="C560:C561"/>
    <mergeCell ref="C377:C381"/>
    <mergeCell ref="X463:X467"/>
    <mergeCell ref="Y382:Y386"/>
    <mergeCell ref="Y375:Y381"/>
    <mergeCell ref="Y387:Y398"/>
    <mergeCell ref="X394:X398"/>
    <mergeCell ref="C395:C398"/>
    <mergeCell ref="Y411:Y424"/>
    <mergeCell ref="Y399:Y410"/>
    <mergeCell ref="X406:X410"/>
    <mergeCell ref="A399:A410"/>
  </mergeCells>
  <printOptions horizontalCentered="1"/>
  <pageMargins left="3.937007874015748E-2" right="7.874015748031496E-2" top="0.51181102362204722" bottom="0.31496062992125984" header="0.11811023622047245" footer="0.15748031496062992"/>
  <pageSetup paperSize="9" scale="70" firstPageNumber="21" orientation="landscape" useFirstPageNumber="1" r:id="rId1"/>
  <headerFooter alignWithMargins="0">
    <oddHeader>&amp;C&amp;"Arial,Kursywa"Wieloletnia prognoza finansowa  Województwa Zachodniopomorskiego na lata 2017 - 2038&amp;"Arial,Normalny"
_______________________________________________________________________________________________________________________________</oddHeader>
    <oddFooter>&amp;C&amp;8&amp;P</oddFooter>
  </headerFooter>
  <rowBreaks count="9" manualBreakCount="9">
    <brk id="52" max="24" man="1"/>
    <brk id="176" max="24" man="1"/>
    <brk id="266" max="24" man="1"/>
    <brk id="326" max="24" man="1"/>
    <brk id="374" max="24" man="1"/>
    <brk id="445" max="24" man="1"/>
    <brk id="485" max="24" man="1"/>
    <brk id="579" max="24" man="1"/>
    <brk id="654" max="24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</sheetPr>
  <dimension ref="A1:AI235"/>
  <sheetViews>
    <sheetView showGridLines="0" view="pageBreakPreview" zoomScale="110" zoomScaleNormal="100" zoomScaleSheetLayoutView="11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M8" sqref="M8"/>
    </sheetView>
  </sheetViews>
  <sheetFormatPr defaultColWidth="9.140625" defaultRowHeight="12.75"/>
  <cols>
    <col min="1" max="1" width="4" style="626" customWidth="1"/>
    <col min="2" max="2" width="53.42578125" style="627" customWidth="1"/>
    <col min="3" max="3" width="10.42578125" style="627" customWidth="1"/>
    <col min="4" max="4" width="14.5703125" style="627" customWidth="1"/>
    <col min="5" max="6" width="10.28515625" style="627" hidden="1" customWidth="1"/>
    <col min="7" max="8" width="10.42578125" style="627" hidden="1" customWidth="1"/>
    <col min="9" max="9" width="10.28515625" style="627" hidden="1" customWidth="1"/>
    <col min="10" max="10" width="10.85546875" style="627" hidden="1" customWidth="1"/>
    <col min="11" max="11" width="10.28515625" style="627" hidden="1" customWidth="1"/>
    <col min="12" max="12" width="10.7109375" style="627" hidden="1" customWidth="1"/>
    <col min="13" max="13" width="12.28515625" style="627" customWidth="1"/>
    <col min="14" max="14" width="11.140625" style="627" hidden="1" customWidth="1"/>
    <col min="15" max="15" width="11.28515625" style="627" hidden="1" customWidth="1"/>
    <col min="16" max="16" width="12.85546875" style="627" customWidth="1"/>
    <col min="17" max="17" width="9.42578125" style="627" customWidth="1"/>
    <col min="18" max="20" width="9.85546875" style="627" customWidth="1"/>
    <col min="21" max="21" width="10" style="627" customWidth="1"/>
    <col min="22" max="23" width="9.42578125" style="627" bestFit="1" customWidth="1"/>
    <col min="24" max="24" width="12.7109375" style="627" customWidth="1"/>
    <col min="25" max="25" width="14.5703125" style="627" customWidth="1"/>
    <col min="26" max="26" width="14" style="627" hidden="1" customWidth="1"/>
    <col min="27" max="27" width="12.140625" style="627" hidden="1" customWidth="1"/>
    <col min="28" max="28" width="9.5703125" style="627" hidden="1" customWidth="1"/>
    <col min="29" max="29" width="14.28515625" style="627" hidden="1" customWidth="1"/>
    <col min="30" max="30" width="12" style="627" hidden="1" customWidth="1"/>
    <col min="31" max="32" width="0" style="627" hidden="1" customWidth="1"/>
    <col min="33" max="33" width="12.5703125" style="627" hidden="1" customWidth="1"/>
    <col min="34" max="47" width="0" style="627" hidden="1" customWidth="1"/>
    <col min="48" max="16384" width="9.140625" style="627"/>
  </cols>
  <sheetData>
    <row r="1" spans="1:27" s="625" customFormat="1" ht="17.25" customHeight="1">
      <c r="A1" s="3214"/>
      <c r="B1" s="3214"/>
      <c r="C1" s="3214"/>
      <c r="D1" s="3214"/>
      <c r="E1" s="3214"/>
      <c r="F1" s="3214"/>
      <c r="G1" s="3214"/>
      <c r="H1" s="3214"/>
      <c r="I1" s="3214"/>
      <c r="J1" s="3214"/>
      <c r="K1" s="3214"/>
      <c r="L1" s="3214"/>
      <c r="M1" s="3214"/>
      <c r="N1" s="3214"/>
      <c r="O1" s="451"/>
      <c r="P1" s="3214"/>
      <c r="Q1" s="3214"/>
      <c r="R1" s="3214"/>
      <c r="S1" s="3214"/>
      <c r="T1" s="457" t="s">
        <v>134</v>
      </c>
      <c r="U1" s="457"/>
      <c r="V1" s="457"/>
      <c r="W1" s="457"/>
      <c r="X1" s="6"/>
      <c r="Y1" s="7"/>
      <c r="Z1" s="705"/>
    </row>
    <row r="2" spans="1:27" ht="18.75">
      <c r="A2" s="3214"/>
      <c r="B2" s="3214"/>
      <c r="C2" s="3214"/>
      <c r="D2" s="468"/>
      <c r="E2" s="468"/>
      <c r="F2" s="468"/>
      <c r="G2" s="468"/>
      <c r="H2" s="468"/>
      <c r="I2" s="468"/>
      <c r="J2" s="468"/>
      <c r="K2" s="468"/>
      <c r="L2" s="468"/>
      <c r="M2" s="468"/>
      <c r="N2" s="468"/>
      <c r="O2" s="468"/>
      <c r="P2" s="468"/>
      <c r="Q2" s="468"/>
      <c r="R2" s="468"/>
      <c r="S2" s="468"/>
      <c r="T2" s="468"/>
      <c r="U2" s="468"/>
      <c r="V2" s="468"/>
      <c r="W2" s="468"/>
      <c r="X2" s="468"/>
      <c r="Y2" s="7"/>
      <c r="Z2" s="706"/>
    </row>
    <row r="3" spans="1:27" ht="34.5" customHeight="1" thickBot="1">
      <c r="A3" s="3801" t="s">
        <v>135</v>
      </c>
      <c r="B3" s="3802"/>
      <c r="C3" s="3802"/>
      <c r="D3" s="3802"/>
      <c r="E3" s="3802"/>
      <c r="F3" s="3802"/>
      <c r="G3" s="3802"/>
      <c r="H3" s="3802"/>
      <c r="I3" s="3802"/>
      <c r="J3" s="3802"/>
      <c r="K3" s="3802"/>
      <c r="L3" s="3802"/>
      <c r="M3" s="3802"/>
      <c r="N3" s="3802"/>
      <c r="O3" s="3802"/>
      <c r="P3" s="3802"/>
      <c r="Q3" s="3802"/>
      <c r="R3" s="3802"/>
      <c r="S3" s="3802"/>
      <c r="T3" s="3802"/>
      <c r="U3" s="3802"/>
      <c r="V3" s="3802"/>
      <c r="W3" s="3802"/>
      <c r="X3" s="3802"/>
      <c r="Y3" s="3803"/>
      <c r="Z3" s="626"/>
    </row>
    <row r="4" spans="1:27" ht="55.5" customHeight="1">
      <c r="A4" s="3817" t="s">
        <v>88</v>
      </c>
      <c r="B4" s="3811" t="s">
        <v>89</v>
      </c>
      <c r="C4" s="3804" t="s">
        <v>85</v>
      </c>
      <c r="D4" s="3804" t="s">
        <v>136</v>
      </c>
      <c r="E4" s="2422" t="s">
        <v>2</v>
      </c>
      <c r="F4" s="2422"/>
      <c r="G4" s="2422"/>
      <c r="H4" s="2422"/>
      <c r="I4" s="2422"/>
      <c r="J4" s="2422"/>
      <c r="K4" s="2422"/>
      <c r="L4" s="2422"/>
      <c r="M4" s="3813" t="s">
        <v>338</v>
      </c>
      <c r="N4" s="2422"/>
      <c r="O4" s="3815" t="s">
        <v>347</v>
      </c>
      <c r="P4" s="3692" t="s">
        <v>494</v>
      </c>
      <c r="Q4" s="3694" t="s">
        <v>495</v>
      </c>
      <c r="R4" s="3694"/>
      <c r="S4" s="3694"/>
      <c r="T4" s="3694"/>
      <c r="U4" s="3694"/>
      <c r="V4" s="3694"/>
      <c r="W4" s="3695"/>
      <c r="X4" s="3809" t="s">
        <v>488</v>
      </c>
      <c r="Y4" s="3807" t="s">
        <v>87</v>
      </c>
      <c r="Z4" s="1060"/>
    </row>
    <row r="5" spans="1:27" ht="27" customHeight="1">
      <c r="A5" s="3818"/>
      <c r="B5" s="3812"/>
      <c r="C5" s="3805"/>
      <c r="D5" s="3806"/>
      <c r="E5" s="2423"/>
      <c r="F5" s="2423"/>
      <c r="G5" s="2423"/>
      <c r="H5" s="2423"/>
      <c r="I5" s="2423"/>
      <c r="J5" s="2423"/>
      <c r="K5" s="2423"/>
      <c r="L5" s="2423"/>
      <c r="M5" s="3814"/>
      <c r="N5" s="2423"/>
      <c r="O5" s="3816"/>
      <c r="P5" s="3693"/>
      <c r="Q5" s="3696"/>
      <c r="R5" s="3696"/>
      <c r="S5" s="3696"/>
      <c r="T5" s="3696"/>
      <c r="U5" s="3696"/>
      <c r="V5" s="3696"/>
      <c r="W5" s="3697"/>
      <c r="X5" s="3810"/>
      <c r="Y5" s="3808"/>
      <c r="Z5" s="1060"/>
    </row>
    <row r="6" spans="1:27">
      <c r="A6" s="3819"/>
      <c r="B6" s="3812"/>
      <c r="C6" s="3805"/>
      <c r="D6" s="3806"/>
      <c r="E6" s="3208" t="s">
        <v>5</v>
      </c>
      <c r="F6" s="2424" t="s">
        <v>6</v>
      </c>
      <c r="G6" s="2424" t="s">
        <v>7</v>
      </c>
      <c r="H6" s="2424" t="s">
        <v>8</v>
      </c>
      <c r="I6" s="2425" t="s">
        <v>9</v>
      </c>
      <c r="J6" s="2425" t="s">
        <v>10</v>
      </c>
      <c r="K6" s="2425" t="s">
        <v>11</v>
      </c>
      <c r="L6" s="2425" t="s">
        <v>12</v>
      </c>
      <c r="M6" s="2426" t="s">
        <v>496</v>
      </c>
      <c r="N6" s="2425" t="s">
        <v>13</v>
      </c>
      <c r="O6" s="2425" t="s">
        <v>14</v>
      </c>
      <c r="P6" s="2425" t="s">
        <v>15</v>
      </c>
      <c r="Q6" s="2425" t="s">
        <v>16</v>
      </c>
      <c r="R6" s="2425" t="s">
        <v>17</v>
      </c>
      <c r="S6" s="2425" t="s">
        <v>259</v>
      </c>
      <c r="T6" s="2425" t="s">
        <v>263</v>
      </c>
      <c r="U6" s="2425" t="s">
        <v>324</v>
      </c>
      <c r="V6" s="2425" t="s">
        <v>325</v>
      </c>
      <c r="W6" s="2425" t="s">
        <v>323</v>
      </c>
      <c r="X6" s="3810"/>
      <c r="Y6" s="3808"/>
      <c r="Z6" s="1060"/>
    </row>
    <row r="7" spans="1:27" ht="13.5" customHeight="1">
      <c r="A7" s="2427">
        <v>1</v>
      </c>
      <c r="B7" s="2428">
        <v>2</v>
      </c>
      <c r="C7" s="2429" t="s">
        <v>137</v>
      </c>
      <c r="D7" s="2429" t="s">
        <v>138</v>
      </c>
      <c r="E7" s="2429"/>
      <c r="F7" s="2429"/>
      <c r="G7" s="2428"/>
      <c r="H7" s="2428"/>
      <c r="I7" s="2429"/>
      <c r="J7" s="2429"/>
      <c r="K7" s="2429"/>
      <c r="L7" s="2429"/>
      <c r="M7" s="2429">
        <v>5</v>
      </c>
      <c r="N7" s="2429" t="s">
        <v>326</v>
      </c>
      <c r="O7" s="2429" t="s">
        <v>326</v>
      </c>
      <c r="P7" s="2429">
        <v>6</v>
      </c>
      <c r="Q7" s="2429">
        <v>7</v>
      </c>
      <c r="R7" s="2429">
        <v>8</v>
      </c>
      <c r="S7" s="2429">
        <v>9</v>
      </c>
      <c r="T7" s="2429">
        <v>10</v>
      </c>
      <c r="U7" s="2429">
        <v>11</v>
      </c>
      <c r="V7" s="2429">
        <v>12</v>
      </c>
      <c r="W7" s="2429">
        <v>13</v>
      </c>
      <c r="X7" s="2430">
        <v>14</v>
      </c>
      <c r="Y7" s="2431">
        <v>15</v>
      </c>
      <c r="Z7" s="1060"/>
    </row>
    <row r="8" spans="1:27" ht="14.25" customHeight="1">
      <c r="A8" s="1066"/>
      <c r="B8" s="2432" t="s">
        <v>90</v>
      </c>
      <c r="C8" s="2432"/>
      <c r="D8" s="2433">
        <f>+D9+D10</f>
        <v>86701551</v>
      </c>
      <c r="E8" s="2433">
        <f>+E9+E10</f>
        <v>0</v>
      </c>
      <c r="F8" s="2433">
        <f t="shared" ref="F8:R8" si="0">+F9+F10</f>
        <v>0</v>
      </c>
      <c r="G8" s="2433">
        <f t="shared" si="0"/>
        <v>0</v>
      </c>
      <c r="H8" s="2433">
        <f t="shared" si="0"/>
        <v>0</v>
      </c>
      <c r="I8" s="2433">
        <f t="shared" si="0"/>
        <v>0</v>
      </c>
      <c r="J8" s="2433">
        <f t="shared" si="0"/>
        <v>0</v>
      </c>
      <c r="K8" s="2433">
        <f t="shared" si="0"/>
        <v>0</v>
      </c>
      <c r="L8" s="2433">
        <f t="shared" si="0"/>
        <v>0</v>
      </c>
      <c r="M8" s="2433">
        <f>+M9+M10</f>
        <v>753742</v>
      </c>
      <c r="N8" s="2433">
        <f>+N9+N10</f>
        <v>0</v>
      </c>
      <c r="O8" s="2433">
        <f t="shared" si="0"/>
        <v>754041</v>
      </c>
      <c r="P8" s="2433">
        <f t="shared" si="0"/>
        <v>10206395</v>
      </c>
      <c r="Q8" s="2433">
        <f t="shared" si="0"/>
        <v>12981595</v>
      </c>
      <c r="R8" s="2433">
        <f t="shared" si="0"/>
        <v>11641562</v>
      </c>
      <c r="S8" s="2433">
        <f t="shared" ref="S8:X8" si="1">+S9+S10</f>
        <v>12007985</v>
      </c>
      <c r="T8" s="2433">
        <f t="shared" si="1"/>
        <v>11971839</v>
      </c>
      <c r="U8" s="2433">
        <f t="shared" si="1"/>
        <v>9597275</v>
      </c>
      <c r="V8" s="2433">
        <f t="shared" si="1"/>
        <v>8877275</v>
      </c>
      <c r="W8" s="2433">
        <f t="shared" si="1"/>
        <v>8663883</v>
      </c>
      <c r="X8" s="2434">
        <f t="shared" si="1"/>
        <v>75741414</v>
      </c>
      <c r="Y8" s="2435"/>
      <c r="Z8" s="1061">
        <f>+O8+P8+Q8+R8</f>
        <v>35583593</v>
      </c>
      <c r="AA8" s="628"/>
    </row>
    <row r="9" spans="1:27" ht="13.5" customHeight="1">
      <c r="A9" s="719"/>
      <c r="B9" s="2432" t="s">
        <v>91</v>
      </c>
      <c r="C9" s="2432"/>
      <c r="D9" s="2433">
        <f t="shared" ref="D9:W9" si="2">+D25+D32+D52+D68+D116+D128+D176+D188+D200+D212+D80+D92+D104+D152</f>
        <v>86581798</v>
      </c>
      <c r="E9" s="2433">
        <f t="shared" si="2"/>
        <v>0</v>
      </c>
      <c r="F9" s="2433">
        <f t="shared" si="2"/>
        <v>0</v>
      </c>
      <c r="G9" s="2433">
        <f t="shared" si="2"/>
        <v>0</v>
      </c>
      <c r="H9" s="2433">
        <f t="shared" si="2"/>
        <v>0</v>
      </c>
      <c r="I9" s="2433">
        <f t="shared" si="2"/>
        <v>0</v>
      </c>
      <c r="J9" s="2433">
        <f t="shared" si="2"/>
        <v>0</v>
      </c>
      <c r="K9" s="2433">
        <f t="shared" si="2"/>
        <v>0</v>
      </c>
      <c r="L9" s="2433">
        <f t="shared" si="2"/>
        <v>0</v>
      </c>
      <c r="M9" s="2433">
        <f t="shared" si="2"/>
        <v>753742</v>
      </c>
      <c r="N9" s="2433">
        <f t="shared" si="2"/>
        <v>0</v>
      </c>
      <c r="O9" s="2433">
        <f t="shared" si="2"/>
        <v>754041</v>
      </c>
      <c r="P9" s="2433">
        <f t="shared" si="2"/>
        <v>10180440</v>
      </c>
      <c r="Q9" s="2433">
        <f t="shared" si="2"/>
        <v>12887797</v>
      </c>
      <c r="R9" s="2433">
        <f t="shared" si="2"/>
        <v>11641562</v>
      </c>
      <c r="S9" s="2433">
        <f t="shared" si="2"/>
        <v>12007985</v>
      </c>
      <c r="T9" s="2433">
        <f>+T25+T32+T52+T68+T116+T128+T176+T188+T200+T212+T80+T92+T104+T152</f>
        <v>11971839</v>
      </c>
      <c r="U9" s="2433">
        <f t="shared" si="2"/>
        <v>9597275</v>
      </c>
      <c r="V9" s="2433">
        <f t="shared" si="2"/>
        <v>8877275</v>
      </c>
      <c r="W9" s="2433">
        <f t="shared" si="2"/>
        <v>8663883</v>
      </c>
      <c r="X9" s="2434">
        <f>+X25+X32+X52+X68+X116+X128+X176+X188+X200+X212+X80+X92+X104+X152</f>
        <v>75647616</v>
      </c>
      <c r="Y9" s="2435"/>
      <c r="Z9" s="1061"/>
      <c r="AA9" s="628"/>
    </row>
    <row r="10" spans="1:27" ht="13.5" customHeight="1">
      <c r="A10" s="719"/>
      <c r="B10" s="2436" t="s">
        <v>20</v>
      </c>
      <c r="C10" s="2437"/>
      <c r="D10" s="2438">
        <f>D140+D164+D224</f>
        <v>119753</v>
      </c>
      <c r="E10" s="2438">
        <f t="shared" ref="E10:N10" si="3">E140+E164</f>
        <v>0</v>
      </c>
      <c r="F10" s="2438">
        <f t="shared" si="3"/>
        <v>0</v>
      </c>
      <c r="G10" s="2438">
        <f t="shared" si="3"/>
        <v>0</v>
      </c>
      <c r="H10" s="2438">
        <f t="shared" si="3"/>
        <v>0</v>
      </c>
      <c r="I10" s="2438">
        <f t="shared" si="3"/>
        <v>0</v>
      </c>
      <c r="J10" s="2438">
        <f t="shared" si="3"/>
        <v>0</v>
      </c>
      <c r="K10" s="2438">
        <f t="shared" si="3"/>
        <v>0</v>
      </c>
      <c r="L10" s="2438">
        <f t="shared" si="3"/>
        <v>0</v>
      </c>
      <c r="M10" s="2438">
        <f>M140+M164+M224</f>
        <v>0</v>
      </c>
      <c r="N10" s="2438">
        <f t="shared" si="3"/>
        <v>0</v>
      </c>
      <c r="O10" s="2438">
        <f t="shared" ref="O10:P10" si="4">O140+O164+O224</f>
        <v>0</v>
      </c>
      <c r="P10" s="2438">
        <f t="shared" si="4"/>
        <v>25955</v>
      </c>
      <c r="Q10" s="2438">
        <f>Q140+Q164+Q224</f>
        <v>93798</v>
      </c>
      <c r="R10" s="2438">
        <f t="shared" ref="R10:W10" si="5">R140+R164+R224</f>
        <v>0</v>
      </c>
      <c r="S10" s="2438">
        <f t="shared" si="5"/>
        <v>0</v>
      </c>
      <c r="T10" s="2438">
        <f t="shared" si="5"/>
        <v>0</v>
      </c>
      <c r="U10" s="2438">
        <f t="shared" si="5"/>
        <v>0</v>
      </c>
      <c r="V10" s="2438">
        <f t="shared" si="5"/>
        <v>0</v>
      </c>
      <c r="W10" s="2438">
        <f t="shared" si="5"/>
        <v>0</v>
      </c>
      <c r="X10" s="2434">
        <f>X140+X164+X224</f>
        <v>93798</v>
      </c>
      <c r="Y10" s="2435"/>
      <c r="Z10" s="1060"/>
    </row>
    <row r="11" spans="1:27" ht="13.5" customHeight="1">
      <c r="A11" s="719"/>
      <c r="B11" s="2260" t="s">
        <v>21</v>
      </c>
      <c r="C11" s="2260"/>
      <c r="D11" s="2439">
        <f>+D12+D15</f>
        <v>86701551</v>
      </c>
      <c r="E11" s="2439">
        <f t="shared" ref="E11:T11" si="6">E12+E15</f>
        <v>0</v>
      </c>
      <c r="F11" s="2439">
        <f t="shared" si="6"/>
        <v>0</v>
      </c>
      <c r="G11" s="2439">
        <f t="shared" si="6"/>
        <v>0</v>
      </c>
      <c r="H11" s="2439">
        <f t="shared" si="6"/>
        <v>0</v>
      </c>
      <c r="I11" s="2439">
        <f t="shared" si="6"/>
        <v>0</v>
      </c>
      <c r="J11" s="2439">
        <f t="shared" si="6"/>
        <v>0</v>
      </c>
      <c r="K11" s="2439">
        <f t="shared" si="6"/>
        <v>0</v>
      </c>
      <c r="L11" s="2439">
        <f t="shared" si="6"/>
        <v>0</v>
      </c>
      <c r="M11" s="2439">
        <f t="shared" si="6"/>
        <v>753742</v>
      </c>
      <c r="N11" s="2439">
        <f t="shared" si="6"/>
        <v>0</v>
      </c>
      <c r="O11" s="2439">
        <f t="shared" si="6"/>
        <v>754041</v>
      </c>
      <c r="P11" s="2439">
        <f t="shared" si="6"/>
        <v>10206395</v>
      </c>
      <c r="Q11" s="2439">
        <f t="shared" si="6"/>
        <v>12981595</v>
      </c>
      <c r="R11" s="2439">
        <f t="shared" si="6"/>
        <v>11641562</v>
      </c>
      <c r="S11" s="2439">
        <f t="shared" si="6"/>
        <v>12007985</v>
      </c>
      <c r="T11" s="2439">
        <f t="shared" si="6"/>
        <v>11971839</v>
      </c>
      <c r="U11" s="2439">
        <f>U12+U15</f>
        <v>9597275</v>
      </c>
      <c r="V11" s="2439">
        <f>V12+V15</f>
        <v>8877275</v>
      </c>
      <c r="W11" s="2439">
        <f>W12+W15</f>
        <v>8663883</v>
      </c>
      <c r="X11" s="2258">
        <f>X12+X15</f>
        <v>75741414</v>
      </c>
      <c r="Y11" s="2440"/>
      <c r="Z11" s="1061"/>
      <c r="AA11" s="628"/>
    </row>
    <row r="12" spans="1:27" s="629" customFormat="1" ht="13.5" customHeight="1">
      <c r="A12" s="719"/>
      <c r="B12" s="2441" t="s">
        <v>35</v>
      </c>
      <c r="C12" s="2441"/>
      <c r="D12" s="2442">
        <f>D13+D14</f>
        <v>13077629</v>
      </c>
      <c r="E12" s="2442">
        <f t="shared" ref="E12:T12" si="7">E13+E14</f>
        <v>0</v>
      </c>
      <c r="F12" s="2442">
        <f t="shared" si="7"/>
        <v>0</v>
      </c>
      <c r="G12" s="2442">
        <f t="shared" si="7"/>
        <v>0</v>
      </c>
      <c r="H12" s="2442">
        <f t="shared" si="7"/>
        <v>0</v>
      </c>
      <c r="I12" s="2442">
        <f t="shared" si="7"/>
        <v>0</v>
      </c>
      <c r="J12" s="2442">
        <f t="shared" si="7"/>
        <v>0</v>
      </c>
      <c r="K12" s="2442">
        <f t="shared" si="7"/>
        <v>0</v>
      </c>
      <c r="L12" s="2442">
        <f t="shared" si="7"/>
        <v>0</v>
      </c>
      <c r="M12" s="2442">
        <f t="shared" si="7"/>
        <v>116293</v>
      </c>
      <c r="N12" s="2442">
        <f t="shared" si="7"/>
        <v>0</v>
      </c>
      <c r="O12" s="2442">
        <f t="shared" si="7"/>
        <v>116338</v>
      </c>
      <c r="P12" s="2442">
        <f t="shared" si="7"/>
        <v>1540592</v>
      </c>
      <c r="Q12" s="2442">
        <f t="shared" si="7"/>
        <v>1960373</v>
      </c>
      <c r="R12" s="2442">
        <f t="shared" si="7"/>
        <v>1758809</v>
      </c>
      <c r="S12" s="2442">
        <f t="shared" si="7"/>
        <v>1818109</v>
      </c>
      <c r="T12" s="2442">
        <f t="shared" si="7"/>
        <v>1812687</v>
      </c>
      <c r="U12" s="2442">
        <f>U13+U14</f>
        <v>1439591</v>
      </c>
      <c r="V12" s="2442">
        <f>V13+V14</f>
        <v>1331592</v>
      </c>
      <c r="W12" s="2442">
        <f>W13+W14</f>
        <v>1299583</v>
      </c>
      <c r="X12" s="2443">
        <f>X13+X14</f>
        <v>11420744</v>
      </c>
      <c r="Y12" s="2435"/>
      <c r="Z12" s="1062"/>
    </row>
    <row r="13" spans="1:27" ht="12.75" customHeight="1">
      <c r="A13" s="719"/>
      <c r="B13" s="2444" t="s">
        <v>23</v>
      </c>
      <c r="C13" s="2444"/>
      <c r="D13" s="2445">
        <f>D54+D70+D130+D142+D94+D82+D214+D106+D154+D166+D178+D34+D226</f>
        <v>13077629</v>
      </c>
      <c r="E13" s="2445">
        <f t="shared" ref="E13:N13" si="8">E54+E70+E130+E142+E94+E82+E214+E106+E154+E166+E178</f>
        <v>0</v>
      </c>
      <c r="F13" s="2445">
        <f t="shared" si="8"/>
        <v>0</v>
      </c>
      <c r="G13" s="2445">
        <f t="shared" si="8"/>
        <v>0</v>
      </c>
      <c r="H13" s="2445">
        <f t="shared" si="8"/>
        <v>0</v>
      </c>
      <c r="I13" s="2445">
        <f t="shared" si="8"/>
        <v>0</v>
      </c>
      <c r="J13" s="2445">
        <f t="shared" si="8"/>
        <v>0</v>
      </c>
      <c r="K13" s="2445">
        <f t="shared" si="8"/>
        <v>0</v>
      </c>
      <c r="L13" s="2445">
        <f t="shared" si="8"/>
        <v>0</v>
      </c>
      <c r="M13" s="2445">
        <f>M54+M70+M130+M142+M94+M82+M214+M106+M154+M166+M178+M34+M226</f>
        <v>116293</v>
      </c>
      <c r="N13" s="2445">
        <f t="shared" si="8"/>
        <v>0</v>
      </c>
      <c r="O13" s="2445">
        <f t="shared" ref="O13:W13" si="9">O54+O70+O130+O142+O94+O82+O214+O106+O154+O166+O178+O34+O226</f>
        <v>116338</v>
      </c>
      <c r="P13" s="2445">
        <f t="shared" si="9"/>
        <v>1540592</v>
      </c>
      <c r="Q13" s="2445">
        <f t="shared" si="9"/>
        <v>1960373</v>
      </c>
      <c r="R13" s="2445">
        <f t="shared" si="9"/>
        <v>1758809</v>
      </c>
      <c r="S13" s="2445">
        <f t="shared" si="9"/>
        <v>1818109</v>
      </c>
      <c r="T13" s="2445">
        <f t="shared" si="9"/>
        <v>1812687</v>
      </c>
      <c r="U13" s="2445">
        <f t="shared" si="9"/>
        <v>1439591</v>
      </c>
      <c r="V13" s="2445">
        <f t="shared" si="9"/>
        <v>1331592</v>
      </c>
      <c r="W13" s="2445">
        <f t="shared" si="9"/>
        <v>1299583</v>
      </c>
      <c r="X13" s="2446">
        <f>SUM(Q13:W13)</f>
        <v>11420744</v>
      </c>
      <c r="Y13" s="2435"/>
      <c r="Z13" s="1061"/>
    </row>
    <row r="14" spans="1:27" ht="12.75" hidden="1" customHeight="1">
      <c r="A14" s="719"/>
      <c r="B14" s="2447" t="s">
        <v>24</v>
      </c>
      <c r="C14" s="2444"/>
      <c r="D14" s="1740">
        <f t="shared" ref="D14:W14" si="10">D57+D71+D119+D131+D179+D38+D95+D83+D167</f>
        <v>0</v>
      </c>
      <c r="E14" s="1740">
        <f t="shared" si="10"/>
        <v>0</v>
      </c>
      <c r="F14" s="1740">
        <f t="shared" si="10"/>
        <v>0</v>
      </c>
      <c r="G14" s="1740">
        <f t="shared" si="10"/>
        <v>0</v>
      </c>
      <c r="H14" s="1740">
        <f t="shared" si="10"/>
        <v>0</v>
      </c>
      <c r="I14" s="1740">
        <f t="shared" si="10"/>
        <v>0</v>
      </c>
      <c r="J14" s="1740">
        <f t="shared" si="10"/>
        <v>0</v>
      </c>
      <c r="K14" s="1740">
        <f t="shared" si="10"/>
        <v>0</v>
      </c>
      <c r="L14" s="1740">
        <f t="shared" si="10"/>
        <v>0</v>
      </c>
      <c r="M14" s="1740">
        <f t="shared" si="10"/>
        <v>0</v>
      </c>
      <c r="N14" s="1740">
        <f t="shared" si="10"/>
        <v>0</v>
      </c>
      <c r="O14" s="1740">
        <f t="shared" si="10"/>
        <v>0</v>
      </c>
      <c r="P14" s="1740">
        <f t="shared" si="10"/>
        <v>0</v>
      </c>
      <c r="Q14" s="1740">
        <f t="shared" si="10"/>
        <v>0</v>
      </c>
      <c r="R14" s="1740">
        <f t="shared" si="10"/>
        <v>0</v>
      </c>
      <c r="S14" s="1740">
        <f t="shared" si="10"/>
        <v>0</v>
      </c>
      <c r="T14" s="1740">
        <f t="shared" si="10"/>
        <v>0</v>
      </c>
      <c r="U14" s="1740">
        <f t="shared" si="10"/>
        <v>0</v>
      </c>
      <c r="V14" s="1740">
        <f t="shared" si="10"/>
        <v>0</v>
      </c>
      <c r="W14" s="1740">
        <f t="shared" si="10"/>
        <v>0</v>
      </c>
      <c r="X14" s="1742">
        <f>SUM(P14:T14)</f>
        <v>0</v>
      </c>
      <c r="Y14" s="2435"/>
      <c r="Z14" s="1061"/>
    </row>
    <row r="15" spans="1:27" s="629" customFormat="1" ht="12.75" customHeight="1">
      <c r="A15" s="719"/>
      <c r="B15" s="2448" t="s">
        <v>29</v>
      </c>
      <c r="C15" s="2448"/>
      <c r="D15" s="2442">
        <f>D17+D16</f>
        <v>73623922</v>
      </c>
      <c r="E15" s="2442">
        <f t="shared" ref="E15:N15" si="11">E17</f>
        <v>0</v>
      </c>
      <c r="F15" s="2442">
        <f t="shared" si="11"/>
        <v>0</v>
      </c>
      <c r="G15" s="2442">
        <f t="shared" si="11"/>
        <v>0</v>
      </c>
      <c r="H15" s="2442">
        <f t="shared" si="11"/>
        <v>0</v>
      </c>
      <c r="I15" s="2442">
        <f t="shared" si="11"/>
        <v>0</v>
      </c>
      <c r="J15" s="2442">
        <f t="shared" si="11"/>
        <v>0</v>
      </c>
      <c r="K15" s="2442">
        <f t="shared" si="11"/>
        <v>0</v>
      </c>
      <c r="L15" s="2442">
        <f t="shared" si="11"/>
        <v>0</v>
      </c>
      <c r="M15" s="2442">
        <f t="shared" si="11"/>
        <v>637449</v>
      </c>
      <c r="N15" s="2442">
        <f t="shared" si="11"/>
        <v>0</v>
      </c>
      <c r="O15" s="2442">
        <f t="shared" ref="O15:X15" si="12">O17+O16</f>
        <v>637703</v>
      </c>
      <c r="P15" s="2442">
        <f t="shared" si="12"/>
        <v>8665803</v>
      </c>
      <c r="Q15" s="2442">
        <f t="shared" si="12"/>
        <v>11021222</v>
      </c>
      <c r="R15" s="2442">
        <f t="shared" si="12"/>
        <v>9882753</v>
      </c>
      <c r="S15" s="2442">
        <f t="shared" si="12"/>
        <v>10189876</v>
      </c>
      <c r="T15" s="2442">
        <f t="shared" si="12"/>
        <v>10159152</v>
      </c>
      <c r="U15" s="2442">
        <f t="shared" si="12"/>
        <v>8157684</v>
      </c>
      <c r="V15" s="2442">
        <f t="shared" si="12"/>
        <v>7545683</v>
      </c>
      <c r="W15" s="2442">
        <f t="shared" si="12"/>
        <v>7364300</v>
      </c>
      <c r="X15" s="2443">
        <f t="shared" si="12"/>
        <v>64320670</v>
      </c>
      <c r="Y15" s="2435"/>
      <c r="Z15" s="1062"/>
    </row>
    <row r="16" spans="1:27" s="888" customFormat="1" ht="12.75" customHeight="1">
      <c r="A16" s="719"/>
      <c r="B16" s="2449" t="s">
        <v>31</v>
      </c>
      <c r="C16" s="2448"/>
      <c r="D16" s="2450">
        <f>+D40</f>
        <v>420817</v>
      </c>
      <c r="E16" s="2450"/>
      <c r="F16" s="2450"/>
      <c r="G16" s="2450"/>
      <c r="H16" s="2450"/>
      <c r="I16" s="2450"/>
      <c r="J16" s="2450"/>
      <c r="K16" s="2450"/>
      <c r="L16" s="2450"/>
      <c r="M16" s="2450"/>
      <c r="N16" s="2450"/>
      <c r="O16" s="2450">
        <f t="shared" ref="O16:S16" si="13">+O40</f>
        <v>0</v>
      </c>
      <c r="P16" s="2450">
        <f t="shared" si="13"/>
        <v>39776</v>
      </c>
      <c r="Q16" s="2450">
        <f t="shared" si="13"/>
        <v>203686</v>
      </c>
      <c r="R16" s="2450">
        <f t="shared" si="13"/>
        <v>103495</v>
      </c>
      <c r="S16" s="2450">
        <f t="shared" si="13"/>
        <v>60792</v>
      </c>
      <c r="T16" s="2450">
        <f>+T40</f>
        <v>13068</v>
      </c>
      <c r="U16" s="2450">
        <f t="shared" ref="U16:W16" si="14">+U40</f>
        <v>0</v>
      </c>
      <c r="V16" s="2450">
        <f t="shared" si="14"/>
        <v>0</v>
      </c>
      <c r="W16" s="2450">
        <f t="shared" si="14"/>
        <v>0</v>
      </c>
      <c r="X16" s="2446">
        <f>SUM(Q16:W16)</f>
        <v>381041</v>
      </c>
      <c r="Y16" s="2435"/>
      <c r="Z16" s="1062"/>
    </row>
    <row r="17" spans="1:27" ht="12.75" customHeight="1">
      <c r="A17" s="719"/>
      <c r="B17" s="2451" t="s">
        <v>32</v>
      </c>
      <c r="C17" s="2444"/>
      <c r="D17" s="2452">
        <f>+D59+D73+D121+D133+D181+D44+D193+D205+D27+D145+D97+D85+D217+D109+D157+D169+D229</f>
        <v>73203105</v>
      </c>
      <c r="E17" s="2452">
        <f t="shared" ref="E17:N17" si="15">+E59+E73+E121+E133+E181+E44+E193+E205+E27+E145+E97+E85+E217+E109+E157+E169</f>
        <v>0</v>
      </c>
      <c r="F17" s="2452">
        <f t="shared" si="15"/>
        <v>0</v>
      </c>
      <c r="G17" s="2452">
        <f t="shared" si="15"/>
        <v>0</v>
      </c>
      <c r="H17" s="2452">
        <f t="shared" si="15"/>
        <v>0</v>
      </c>
      <c r="I17" s="2452">
        <f t="shared" si="15"/>
        <v>0</v>
      </c>
      <c r="J17" s="2452">
        <f t="shared" si="15"/>
        <v>0</v>
      </c>
      <c r="K17" s="2452">
        <f t="shared" si="15"/>
        <v>0</v>
      </c>
      <c r="L17" s="2452">
        <f t="shared" si="15"/>
        <v>0</v>
      </c>
      <c r="M17" s="2452">
        <f>+M59+M73+M121+M133+M181+M44+M193+M205+M27+M145+M97+M85+M217+M109+M157+M169+M229</f>
        <v>637449</v>
      </c>
      <c r="N17" s="2452">
        <f t="shared" si="15"/>
        <v>0</v>
      </c>
      <c r="O17" s="2452">
        <f t="shared" ref="O17:V17" si="16">+O59+O73+O121+O133+O181+O44+O193+O205+O27+O145+O97+O85+O217+O109+O157+O169+O229</f>
        <v>637703</v>
      </c>
      <c r="P17" s="2452">
        <f t="shared" si="16"/>
        <v>8626027</v>
      </c>
      <c r="Q17" s="2452">
        <f t="shared" si="16"/>
        <v>10817536</v>
      </c>
      <c r="R17" s="2452">
        <f t="shared" si="16"/>
        <v>9779258</v>
      </c>
      <c r="S17" s="2452">
        <f t="shared" si="16"/>
        <v>10129084</v>
      </c>
      <c r="T17" s="2452">
        <f t="shared" si="16"/>
        <v>10146084</v>
      </c>
      <c r="U17" s="2452">
        <f t="shared" si="16"/>
        <v>8157684</v>
      </c>
      <c r="V17" s="2452">
        <f t="shared" si="16"/>
        <v>7545683</v>
      </c>
      <c r="W17" s="2452">
        <f>+W59+W73+W121+W133+W181+W44+W193+W205+W27+W145+W97+W85+W217+W109+W157+W169+W229</f>
        <v>7364300</v>
      </c>
      <c r="X17" s="2446">
        <f>SUM(Q17:W17)</f>
        <v>63939629</v>
      </c>
      <c r="Y17" s="2440"/>
      <c r="Z17" s="1061"/>
    </row>
    <row r="18" spans="1:27" ht="13.5" customHeight="1">
      <c r="A18" s="719"/>
      <c r="B18" s="2453" t="s">
        <v>33</v>
      </c>
      <c r="C18" s="2260"/>
      <c r="D18" s="2439">
        <f>D19+D21</f>
        <v>73623922</v>
      </c>
      <c r="E18" s="2439">
        <f t="shared" ref="E18:P18" si="17">E19+E21</f>
        <v>0</v>
      </c>
      <c r="F18" s="2439">
        <f t="shared" si="17"/>
        <v>0</v>
      </c>
      <c r="G18" s="2439">
        <f t="shared" si="17"/>
        <v>0</v>
      </c>
      <c r="H18" s="2439">
        <f t="shared" si="17"/>
        <v>0</v>
      </c>
      <c r="I18" s="2439">
        <f t="shared" si="17"/>
        <v>0</v>
      </c>
      <c r="J18" s="2439">
        <f t="shared" si="17"/>
        <v>0</v>
      </c>
      <c r="K18" s="2439">
        <f t="shared" si="17"/>
        <v>0</v>
      </c>
      <c r="L18" s="2439">
        <f t="shared" si="17"/>
        <v>0</v>
      </c>
      <c r="M18" s="2439">
        <f t="shared" si="17"/>
        <v>378288</v>
      </c>
      <c r="N18" s="2439">
        <f t="shared" si="17"/>
        <v>0</v>
      </c>
      <c r="O18" s="2439">
        <f t="shared" si="17"/>
        <v>378288</v>
      </c>
      <c r="P18" s="2439">
        <f t="shared" si="17"/>
        <v>8885188</v>
      </c>
      <c r="Q18" s="2439">
        <f t="shared" ref="Q18:W18" si="18">Q19+Q21</f>
        <v>10846016</v>
      </c>
      <c r="R18" s="2439">
        <f t="shared" si="18"/>
        <v>9943319</v>
      </c>
      <c r="S18" s="2439">
        <f t="shared" si="18"/>
        <v>10205879</v>
      </c>
      <c r="T18" s="2439">
        <f t="shared" si="18"/>
        <v>10238903</v>
      </c>
      <c r="U18" s="2439">
        <f t="shared" si="18"/>
        <v>8216346</v>
      </c>
      <c r="V18" s="2439">
        <f t="shared" si="18"/>
        <v>7545683</v>
      </c>
      <c r="W18" s="2439">
        <f t="shared" si="18"/>
        <v>7364300</v>
      </c>
      <c r="X18" s="3820" t="s">
        <v>75</v>
      </c>
      <c r="Y18" s="2435"/>
      <c r="Z18" s="1063">
        <f>+D8-D11</f>
        <v>0</v>
      </c>
    </row>
    <row r="19" spans="1:27" ht="13.5" hidden="1" customHeight="1">
      <c r="A19" s="719"/>
      <c r="B19" s="2454" t="s">
        <v>35</v>
      </c>
      <c r="C19" s="2455"/>
      <c r="D19" s="2456">
        <f>D20</f>
        <v>0</v>
      </c>
      <c r="E19" s="2456">
        <f t="shared" ref="E19:T19" si="19">E20</f>
        <v>0</v>
      </c>
      <c r="F19" s="2456">
        <f t="shared" si="19"/>
        <v>0</v>
      </c>
      <c r="G19" s="2456">
        <f t="shared" si="19"/>
        <v>0</v>
      </c>
      <c r="H19" s="2456">
        <f t="shared" si="19"/>
        <v>0</v>
      </c>
      <c r="I19" s="2456">
        <f t="shared" si="19"/>
        <v>0</v>
      </c>
      <c r="J19" s="2456">
        <f t="shared" si="19"/>
        <v>0</v>
      </c>
      <c r="K19" s="2456">
        <f t="shared" si="19"/>
        <v>0</v>
      </c>
      <c r="L19" s="2456">
        <f t="shared" si="19"/>
        <v>0</v>
      </c>
      <c r="M19" s="2456">
        <f t="shared" si="19"/>
        <v>0</v>
      </c>
      <c r="N19" s="2456">
        <f t="shared" si="19"/>
        <v>0</v>
      </c>
      <c r="O19" s="2456">
        <f t="shared" si="19"/>
        <v>0</v>
      </c>
      <c r="P19" s="2456">
        <f t="shared" si="19"/>
        <v>0</v>
      </c>
      <c r="Q19" s="2456">
        <f t="shared" si="19"/>
        <v>0</v>
      </c>
      <c r="R19" s="2456">
        <f t="shared" si="19"/>
        <v>0</v>
      </c>
      <c r="S19" s="2456">
        <f t="shared" si="19"/>
        <v>0</v>
      </c>
      <c r="T19" s="2456">
        <f t="shared" si="19"/>
        <v>0</v>
      </c>
      <c r="U19" s="2456">
        <f>U20</f>
        <v>0</v>
      </c>
      <c r="V19" s="2456">
        <f>V20</f>
        <v>0</v>
      </c>
      <c r="W19" s="2456">
        <f>W20</f>
        <v>0</v>
      </c>
      <c r="X19" s="3820"/>
      <c r="Y19" s="2435"/>
      <c r="Z19" s="1060"/>
    </row>
    <row r="20" spans="1:27" ht="13.5" hidden="1" customHeight="1">
      <c r="A20" s="719"/>
      <c r="B20" s="2457" t="s">
        <v>24</v>
      </c>
      <c r="C20" s="2458"/>
      <c r="D20" s="2452">
        <f>+D64+D76+D124+D136+D184+D47+D100+D88+D172</f>
        <v>0</v>
      </c>
      <c r="E20" s="2452">
        <f t="shared" ref="E20:W20" si="20">+E64+E76+E124+E136+E184+E47+E100+E88+E172</f>
        <v>0</v>
      </c>
      <c r="F20" s="2452">
        <f t="shared" si="20"/>
        <v>0</v>
      </c>
      <c r="G20" s="2452">
        <f t="shared" si="20"/>
        <v>0</v>
      </c>
      <c r="H20" s="2452">
        <f t="shared" si="20"/>
        <v>0</v>
      </c>
      <c r="I20" s="2452">
        <f t="shared" si="20"/>
        <v>0</v>
      </c>
      <c r="J20" s="2452">
        <f t="shared" si="20"/>
        <v>0</v>
      </c>
      <c r="K20" s="2452">
        <f t="shared" si="20"/>
        <v>0</v>
      </c>
      <c r="L20" s="2452">
        <f t="shared" si="20"/>
        <v>0</v>
      </c>
      <c r="M20" s="2452">
        <f t="shared" si="20"/>
        <v>0</v>
      </c>
      <c r="N20" s="2452">
        <f t="shared" si="20"/>
        <v>0</v>
      </c>
      <c r="O20" s="2452">
        <f t="shared" si="20"/>
        <v>0</v>
      </c>
      <c r="P20" s="2452">
        <f t="shared" si="20"/>
        <v>0</v>
      </c>
      <c r="Q20" s="2452">
        <f t="shared" si="20"/>
        <v>0</v>
      </c>
      <c r="R20" s="2452">
        <f t="shared" si="20"/>
        <v>0</v>
      </c>
      <c r="S20" s="2452">
        <f t="shared" si="20"/>
        <v>0</v>
      </c>
      <c r="T20" s="2452">
        <f t="shared" si="20"/>
        <v>0</v>
      </c>
      <c r="U20" s="2452">
        <f t="shared" si="20"/>
        <v>0</v>
      </c>
      <c r="V20" s="2452">
        <f t="shared" si="20"/>
        <v>0</v>
      </c>
      <c r="W20" s="2452">
        <f t="shared" si="20"/>
        <v>0</v>
      </c>
      <c r="X20" s="3820"/>
      <c r="Y20" s="2435"/>
      <c r="Z20" s="1060"/>
    </row>
    <row r="21" spans="1:27" s="637" customFormat="1" ht="15" customHeight="1">
      <c r="A21" s="865"/>
      <c r="B21" s="2459" t="s">
        <v>29</v>
      </c>
      <c r="C21" s="2460"/>
      <c r="D21" s="2456">
        <f>D23+D22</f>
        <v>73623922</v>
      </c>
      <c r="E21" s="2456">
        <f t="shared" ref="E21:N21" si="21">E23</f>
        <v>0</v>
      </c>
      <c r="F21" s="2456">
        <f t="shared" si="21"/>
        <v>0</v>
      </c>
      <c r="G21" s="2456">
        <f t="shared" si="21"/>
        <v>0</v>
      </c>
      <c r="H21" s="2456">
        <f t="shared" si="21"/>
        <v>0</v>
      </c>
      <c r="I21" s="2456">
        <f t="shared" si="21"/>
        <v>0</v>
      </c>
      <c r="J21" s="2456">
        <f t="shared" si="21"/>
        <v>0</v>
      </c>
      <c r="K21" s="2456">
        <f t="shared" si="21"/>
        <v>0</v>
      </c>
      <c r="L21" s="2456">
        <f t="shared" si="21"/>
        <v>0</v>
      </c>
      <c r="M21" s="2456">
        <f t="shared" si="21"/>
        <v>378288</v>
      </c>
      <c r="N21" s="2456">
        <f t="shared" si="21"/>
        <v>0</v>
      </c>
      <c r="O21" s="2456">
        <f t="shared" ref="O21:W21" si="22">O23+O22</f>
        <v>378288</v>
      </c>
      <c r="P21" s="2456">
        <f t="shared" si="22"/>
        <v>8885188</v>
      </c>
      <c r="Q21" s="2456">
        <f t="shared" si="22"/>
        <v>10846016</v>
      </c>
      <c r="R21" s="2456">
        <f t="shared" si="22"/>
        <v>9943319</v>
      </c>
      <c r="S21" s="2456">
        <f t="shared" si="22"/>
        <v>10205879</v>
      </c>
      <c r="T21" s="2456">
        <f t="shared" si="22"/>
        <v>10238903</v>
      </c>
      <c r="U21" s="2456">
        <f t="shared" si="22"/>
        <v>8216346</v>
      </c>
      <c r="V21" s="2456">
        <f t="shared" si="22"/>
        <v>7545683</v>
      </c>
      <c r="W21" s="2456">
        <f t="shared" si="22"/>
        <v>7364300</v>
      </c>
      <c r="X21" s="3820"/>
      <c r="Y21" s="2461"/>
      <c r="Z21" s="1064"/>
    </row>
    <row r="22" spans="1:27" s="887" customFormat="1" ht="15" customHeight="1">
      <c r="A22" s="865"/>
      <c r="B22" s="2449" t="s">
        <v>31</v>
      </c>
      <c r="C22" s="2460"/>
      <c r="D22" s="2462">
        <f>+D49</f>
        <v>420817</v>
      </c>
      <c r="E22" s="2463"/>
      <c r="F22" s="2463"/>
      <c r="G22" s="2463"/>
      <c r="H22" s="2463"/>
      <c r="I22" s="2463"/>
      <c r="J22" s="2463"/>
      <c r="K22" s="2463"/>
      <c r="L22" s="2463"/>
      <c r="M22" s="2463">
        <v>0</v>
      </c>
      <c r="N22" s="2463"/>
      <c r="O22" s="2462">
        <f t="shared" ref="O22:W22" si="23">+O49</f>
        <v>0</v>
      </c>
      <c r="P22" s="2462">
        <f t="shared" si="23"/>
        <v>0</v>
      </c>
      <c r="Q22" s="2462">
        <f t="shared" si="23"/>
        <v>28480</v>
      </c>
      <c r="R22" s="2462">
        <f t="shared" si="23"/>
        <v>164061</v>
      </c>
      <c r="S22" s="2462">
        <f t="shared" si="23"/>
        <v>76795</v>
      </c>
      <c r="T22" s="2462">
        <f t="shared" si="23"/>
        <v>92819</v>
      </c>
      <c r="U22" s="2462">
        <f t="shared" si="23"/>
        <v>58662</v>
      </c>
      <c r="V22" s="2462">
        <f t="shared" si="23"/>
        <v>0</v>
      </c>
      <c r="W22" s="2462">
        <f t="shared" si="23"/>
        <v>0</v>
      </c>
      <c r="X22" s="3821"/>
      <c r="Y22" s="1069"/>
      <c r="Z22" s="1064"/>
    </row>
    <row r="23" spans="1:27" ht="13.5" customHeight="1" thickBot="1">
      <c r="A23" s="866"/>
      <c r="B23" s="1070" t="s">
        <v>32</v>
      </c>
      <c r="C23" s="1070"/>
      <c r="D23" s="1071">
        <f>+D66+D78+D126+D138+D186+D50+D198+D210+D30+D150+D102+D90+D222+D114+D162+D174+D234</f>
        <v>73203105</v>
      </c>
      <c r="E23" s="1071">
        <f t="shared" ref="E23:N23" si="24">+E66+E78+E126+E138+E186+E50+E198+E210+E30+E150+E102+E90+E222+E114+E162+E174</f>
        <v>0</v>
      </c>
      <c r="F23" s="1071">
        <f t="shared" si="24"/>
        <v>0</v>
      </c>
      <c r="G23" s="1071">
        <f t="shared" si="24"/>
        <v>0</v>
      </c>
      <c r="H23" s="1071">
        <f t="shared" si="24"/>
        <v>0</v>
      </c>
      <c r="I23" s="1071">
        <f t="shared" si="24"/>
        <v>0</v>
      </c>
      <c r="J23" s="1071">
        <f t="shared" si="24"/>
        <v>0</v>
      </c>
      <c r="K23" s="1071">
        <f t="shared" si="24"/>
        <v>0</v>
      </c>
      <c r="L23" s="1071">
        <f t="shared" si="24"/>
        <v>0</v>
      </c>
      <c r="M23" s="1071">
        <f>+M66+M78+M126+M138+M186+M50+M198+M210+M30+M150+M102+M90+M222+M114+M162+M174+M234</f>
        <v>378288</v>
      </c>
      <c r="N23" s="1071">
        <f t="shared" si="24"/>
        <v>0</v>
      </c>
      <c r="O23" s="1071">
        <f t="shared" ref="O23:W23" si="25">+O66+O78+O126+O138+O186+O50+O198+O210+O30+O150+O102+O90+O222+O114+O162+O174+O234</f>
        <v>378288</v>
      </c>
      <c r="P23" s="1071">
        <f t="shared" si="25"/>
        <v>8885188</v>
      </c>
      <c r="Q23" s="1071">
        <f t="shared" si="25"/>
        <v>10817536</v>
      </c>
      <c r="R23" s="1071">
        <f t="shared" si="25"/>
        <v>9779258</v>
      </c>
      <c r="S23" s="1071">
        <f t="shared" si="25"/>
        <v>10129084</v>
      </c>
      <c r="T23" s="1071">
        <f t="shared" si="25"/>
        <v>10146084</v>
      </c>
      <c r="U23" s="1071">
        <f t="shared" si="25"/>
        <v>8157684</v>
      </c>
      <c r="V23" s="1071">
        <f t="shared" si="25"/>
        <v>7545683</v>
      </c>
      <c r="W23" s="1071">
        <f t="shared" si="25"/>
        <v>7364300</v>
      </c>
      <c r="X23" s="3822"/>
      <c r="Y23" s="1072"/>
      <c r="Z23" s="1061">
        <f>D23-D17</f>
        <v>0</v>
      </c>
    </row>
    <row r="24" spans="1:27" ht="24.75" hidden="1" customHeight="1">
      <c r="A24" s="3839"/>
      <c r="B24" s="956"/>
      <c r="C24" s="957" t="s">
        <v>125</v>
      </c>
      <c r="D24" s="958"/>
      <c r="E24" s="107"/>
      <c r="F24" s="107"/>
      <c r="G24" s="107"/>
      <c r="H24" s="107"/>
      <c r="I24" s="107"/>
      <c r="J24" s="107"/>
      <c r="K24" s="107"/>
      <c r="L24" s="107"/>
      <c r="M24" s="107"/>
      <c r="N24" s="107"/>
      <c r="O24" s="107"/>
      <c r="P24" s="107"/>
      <c r="Q24" s="107"/>
      <c r="R24" s="107"/>
      <c r="S24" s="107"/>
      <c r="T24" s="107"/>
      <c r="U24" s="107"/>
      <c r="V24" s="107"/>
      <c r="W24" s="107"/>
      <c r="X24" s="959"/>
      <c r="Y24" s="3790" t="s">
        <v>144</v>
      </c>
      <c r="Z24" s="1060"/>
    </row>
    <row r="25" spans="1:27" ht="13.5" hidden="1" customHeight="1">
      <c r="A25" s="3788"/>
      <c r="B25" s="2259" t="s">
        <v>21</v>
      </c>
      <c r="C25" s="2260"/>
      <c r="D25" s="2270">
        <f>+D26</f>
        <v>0</v>
      </c>
      <c r="E25" s="2270">
        <f t="shared" ref="E25:T25" si="26">+E26</f>
        <v>0</v>
      </c>
      <c r="F25" s="2270">
        <f t="shared" si="26"/>
        <v>0</v>
      </c>
      <c r="G25" s="2270">
        <f t="shared" si="26"/>
        <v>0</v>
      </c>
      <c r="H25" s="2270">
        <f t="shared" si="26"/>
        <v>0</v>
      </c>
      <c r="I25" s="2270">
        <f t="shared" si="26"/>
        <v>0</v>
      </c>
      <c r="J25" s="2270">
        <f t="shared" si="26"/>
        <v>0</v>
      </c>
      <c r="K25" s="2270">
        <f t="shared" si="26"/>
        <v>0</v>
      </c>
      <c r="L25" s="2270">
        <f t="shared" si="26"/>
        <v>0</v>
      </c>
      <c r="M25" s="2270">
        <f t="shared" si="26"/>
        <v>0</v>
      </c>
      <c r="N25" s="2270">
        <f t="shared" si="26"/>
        <v>0</v>
      </c>
      <c r="O25" s="2270">
        <f t="shared" si="26"/>
        <v>0</v>
      </c>
      <c r="P25" s="2270">
        <f t="shared" si="26"/>
        <v>0</v>
      </c>
      <c r="Q25" s="2270">
        <f t="shared" si="26"/>
        <v>0</v>
      </c>
      <c r="R25" s="2270">
        <f t="shared" si="26"/>
        <v>0</v>
      </c>
      <c r="S25" s="2270">
        <f t="shared" si="26"/>
        <v>0</v>
      </c>
      <c r="T25" s="2270">
        <f t="shared" si="26"/>
        <v>0</v>
      </c>
      <c r="U25" s="2270"/>
      <c r="V25" s="2270"/>
      <c r="W25" s="2270"/>
      <c r="X25" s="2261">
        <f>+X26</f>
        <v>0</v>
      </c>
      <c r="Y25" s="3791"/>
      <c r="Z25" s="1061">
        <f>+O25+P25+Q25+R25</f>
        <v>0</v>
      </c>
      <c r="AA25" s="628"/>
    </row>
    <row r="26" spans="1:27" ht="11.25" hidden="1" customHeight="1">
      <c r="A26" s="3788"/>
      <c r="B26" s="2267" t="s">
        <v>29</v>
      </c>
      <c r="C26" s="3840" t="s">
        <v>387</v>
      </c>
      <c r="D26" s="2268">
        <f t="shared" ref="D26:X26" si="27">+D27</f>
        <v>0</v>
      </c>
      <c r="E26" s="2268">
        <f t="shared" si="27"/>
        <v>0</v>
      </c>
      <c r="F26" s="2268">
        <f t="shared" si="27"/>
        <v>0</v>
      </c>
      <c r="G26" s="1763">
        <f t="shared" si="27"/>
        <v>0</v>
      </c>
      <c r="H26" s="1763">
        <f t="shared" si="27"/>
        <v>0</v>
      </c>
      <c r="I26" s="1763">
        <f t="shared" si="27"/>
        <v>0</v>
      </c>
      <c r="J26" s="2268">
        <f t="shared" si="27"/>
        <v>0</v>
      </c>
      <c r="K26" s="2268">
        <f t="shared" si="27"/>
        <v>0</v>
      </c>
      <c r="L26" s="1763">
        <f t="shared" si="27"/>
        <v>0</v>
      </c>
      <c r="M26" s="1763">
        <f t="shared" si="27"/>
        <v>0</v>
      </c>
      <c r="N26" s="1697">
        <f t="shared" si="27"/>
        <v>0</v>
      </c>
      <c r="O26" s="1697">
        <f t="shared" si="27"/>
        <v>0</v>
      </c>
      <c r="P26" s="1763">
        <f t="shared" si="27"/>
        <v>0</v>
      </c>
      <c r="Q26" s="1763">
        <f t="shared" si="27"/>
        <v>0</v>
      </c>
      <c r="R26" s="1763">
        <f t="shared" si="27"/>
        <v>0</v>
      </c>
      <c r="S26" s="1763">
        <f t="shared" si="27"/>
        <v>0</v>
      </c>
      <c r="T26" s="1763">
        <f t="shared" si="27"/>
        <v>0</v>
      </c>
      <c r="U26" s="1763"/>
      <c r="V26" s="1763"/>
      <c r="W26" s="1763"/>
      <c r="X26" s="2464">
        <f t="shared" si="27"/>
        <v>0</v>
      </c>
      <c r="Y26" s="3791"/>
      <c r="Z26" s="1060"/>
    </row>
    <row r="27" spans="1:27" ht="13.5" hidden="1" customHeight="1">
      <c r="A27" s="3788"/>
      <c r="B27" s="2263" t="s">
        <v>32</v>
      </c>
      <c r="C27" s="3840"/>
      <c r="D27" s="2266">
        <f>M27+O27+P27+Q27+R27+S27+T27+U27+V27+W27</f>
        <v>0</v>
      </c>
      <c r="E27" s="1710">
        <f>+F27+G27+H27</f>
        <v>0</v>
      </c>
      <c r="F27" s="1710">
        <v>0</v>
      </c>
      <c r="G27" s="1710">
        <v>0</v>
      </c>
      <c r="H27" s="1710">
        <v>0</v>
      </c>
      <c r="I27" s="1710">
        <v>0</v>
      </c>
      <c r="J27" s="1710">
        <v>0</v>
      </c>
      <c r="K27" s="1710"/>
      <c r="L27" s="1710"/>
      <c r="M27" s="1710"/>
      <c r="N27" s="1710"/>
      <c r="O27" s="1710"/>
      <c r="P27" s="1710">
        <v>0</v>
      </c>
      <c r="Q27" s="1710">
        <v>0</v>
      </c>
      <c r="R27" s="1710">
        <v>0</v>
      </c>
      <c r="S27" s="1710">
        <v>0</v>
      </c>
      <c r="T27" s="1710">
        <v>0</v>
      </c>
      <c r="U27" s="1710"/>
      <c r="V27" s="1710"/>
      <c r="W27" s="1710"/>
      <c r="X27" s="2265">
        <f>SUM(P27:T27)</f>
        <v>0</v>
      </c>
      <c r="Y27" s="3791"/>
      <c r="Z27" s="1060"/>
    </row>
    <row r="28" spans="1:27" ht="13.5" hidden="1" customHeight="1">
      <c r="A28" s="3823"/>
      <c r="B28" s="2259" t="s">
        <v>33</v>
      </c>
      <c r="C28" s="2260"/>
      <c r="D28" s="2270">
        <f>+D29</f>
        <v>0</v>
      </c>
      <c r="E28" s="2270">
        <f t="shared" ref="E28:T29" si="28">+E29</f>
        <v>0</v>
      </c>
      <c r="F28" s="2270">
        <f t="shared" si="28"/>
        <v>0</v>
      </c>
      <c r="G28" s="2270">
        <f t="shared" si="28"/>
        <v>0</v>
      </c>
      <c r="H28" s="2270">
        <f t="shared" si="28"/>
        <v>0</v>
      </c>
      <c r="I28" s="2270">
        <f t="shared" si="28"/>
        <v>0</v>
      </c>
      <c r="J28" s="2270">
        <f t="shared" si="28"/>
        <v>0</v>
      </c>
      <c r="K28" s="2270">
        <f t="shared" si="28"/>
        <v>0</v>
      </c>
      <c r="L28" s="2270">
        <f t="shared" si="28"/>
        <v>0</v>
      </c>
      <c r="M28" s="2270">
        <f t="shared" si="28"/>
        <v>0</v>
      </c>
      <c r="N28" s="2270">
        <f t="shared" si="28"/>
        <v>0</v>
      </c>
      <c r="O28" s="2270">
        <f t="shared" si="28"/>
        <v>0</v>
      </c>
      <c r="P28" s="2270">
        <f t="shared" si="28"/>
        <v>0</v>
      </c>
      <c r="Q28" s="2270">
        <f t="shared" si="28"/>
        <v>0</v>
      </c>
      <c r="R28" s="2270">
        <f t="shared" si="28"/>
        <v>0</v>
      </c>
      <c r="S28" s="2270">
        <f t="shared" si="28"/>
        <v>0</v>
      </c>
      <c r="T28" s="2270">
        <f t="shared" si="28"/>
        <v>0</v>
      </c>
      <c r="U28" s="2270"/>
      <c r="V28" s="2270"/>
      <c r="W28" s="2270"/>
      <c r="X28" s="2465" t="s">
        <v>75</v>
      </c>
      <c r="Y28" s="3824"/>
      <c r="Z28" s="1060"/>
    </row>
    <row r="29" spans="1:27" ht="11.25" hidden="1" customHeight="1">
      <c r="A29" s="3823"/>
      <c r="B29" s="2267" t="s">
        <v>29</v>
      </c>
      <c r="C29" s="3841" t="s">
        <v>309</v>
      </c>
      <c r="D29" s="2268">
        <f>+D30</f>
        <v>0</v>
      </c>
      <c r="E29" s="2268">
        <f t="shared" si="28"/>
        <v>0</v>
      </c>
      <c r="F29" s="2268">
        <f t="shared" si="28"/>
        <v>0</v>
      </c>
      <c r="G29" s="2268">
        <f t="shared" si="28"/>
        <v>0</v>
      </c>
      <c r="H29" s="2268">
        <f t="shared" si="28"/>
        <v>0</v>
      </c>
      <c r="I29" s="2268">
        <f t="shared" si="28"/>
        <v>0</v>
      </c>
      <c r="J29" s="2268">
        <f t="shared" si="28"/>
        <v>0</v>
      </c>
      <c r="K29" s="2268">
        <f t="shared" si="28"/>
        <v>0</v>
      </c>
      <c r="L29" s="2268">
        <f t="shared" si="28"/>
        <v>0</v>
      </c>
      <c r="M29" s="2268">
        <f t="shared" si="28"/>
        <v>0</v>
      </c>
      <c r="N29" s="2268">
        <f t="shared" si="28"/>
        <v>0</v>
      </c>
      <c r="O29" s="2268">
        <f t="shared" si="28"/>
        <v>0</v>
      </c>
      <c r="P29" s="2268">
        <f t="shared" si="28"/>
        <v>0</v>
      </c>
      <c r="Q29" s="2268">
        <f t="shared" si="28"/>
        <v>0</v>
      </c>
      <c r="R29" s="2268">
        <f t="shared" si="28"/>
        <v>0</v>
      </c>
      <c r="S29" s="2268">
        <f t="shared" si="28"/>
        <v>0</v>
      </c>
      <c r="T29" s="2268">
        <f t="shared" si="28"/>
        <v>0</v>
      </c>
      <c r="U29" s="2268"/>
      <c r="V29" s="2268"/>
      <c r="W29" s="2268"/>
      <c r="X29" s="2466"/>
      <c r="Y29" s="3824"/>
      <c r="Z29" s="1060"/>
    </row>
    <row r="30" spans="1:27" ht="13.5" hidden="1" customHeight="1">
      <c r="A30" s="3823"/>
      <c r="B30" s="2333" t="s">
        <v>32</v>
      </c>
      <c r="C30" s="3841"/>
      <c r="D30" s="2266">
        <f>M30+O30+P30+Q30+R30+S30+T30+U30+V30+W30</f>
        <v>0</v>
      </c>
      <c r="E30" s="1710">
        <f>+F30+G30+H30</f>
        <v>0</v>
      </c>
      <c r="F30" s="1710"/>
      <c r="G30" s="1710">
        <v>0</v>
      </c>
      <c r="H30" s="1710">
        <v>0</v>
      </c>
      <c r="I30" s="1710">
        <v>0</v>
      </c>
      <c r="J30" s="1710">
        <v>0</v>
      </c>
      <c r="K30" s="1710"/>
      <c r="L30" s="1710"/>
      <c r="M30" s="1710"/>
      <c r="N30" s="1710"/>
      <c r="O30" s="1710"/>
      <c r="P30" s="1710">
        <v>0</v>
      </c>
      <c r="Q30" s="1710">
        <v>0</v>
      </c>
      <c r="R30" s="1710">
        <v>0</v>
      </c>
      <c r="S30" s="1710">
        <v>0</v>
      </c>
      <c r="T30" s="1710">
        <v>0</v>
      </c>
      <c r="U30" s="1710"/>
      <c r="V30" s="1710"/>
      <c r="W30" s="1710"/>
      <c r="X30" s="2265"/>
      <c r="Y30" s="3824"/>
      <c r="Z30" s="1060"/>
    </row>
    <row r="31" spans="1:27" ht="39" customHeight="1">
      <c r="A31" s="3836" t="s">
        <v>77</v>
      </c>
      <c r="B31" s="2255" t="s">
        <v>406</v>
      </c>
      <c r="C31" s="2256" t="s">
        <v>125</v>
      </c>
      <c r="D31" s="1740"/>
      <c r="E31" s="1740"/>
      <c r="F31" s="1740"/>
      <c r="G31" s="1740"/>
      <c r="H31" s="1740"/>
      <c r="I31" s="2257"/>
      <c r="J31" s="2257"/>
      <c r="K31" s="2257"/>
      <c r="L31" s="2257"/>
      <c r="M31" s="2257"/>
      <c r="N31" s="2257"/>
      <c r="O31" s="2257"/>
      <c r="P31" s="2257"/>
      <c r="Q31" s="2257"/>
      <c r="R31" s="2257"/>
      <c r="S31" s="2257"/>
      <c r="T31" s="2257"/>
      <c r="U31" s="2257"/>
      <c r="V31" s="2257"/>
      <c r="W31" s="2257"/>
      <c r="X31" s="2258"/>
      <c r="Y31" s="3791" t="s">
        <v>418</v>
      </c>
      <c r="Z31" s="1060"/>
    </row>
    <row r="32" spans="1:27" s="637" customFormat="1" ht="13.5" customHeight="1">
      <c r="A32" s="3826"/>
      <c r="B32" s="2259" t="s">
        <v>21</v>
      </c>
      <c r="C32" s="2260"/>
      <c r="D32" s="1551">
        <f t="shared" ref="D32:U32" si="29">+D33+D39</f>
        <v>499079</v>
      </c>
      <c r="E32" s="1551">
        <f t="shared" si="29"/>
        <v>0</v>
      </c>
      <c r="F32" s="1551">
        <f t="shared" si="29"/>
        <v>0</v>
      </c>
      <c r="G32" s="1551">
        <f t="shared" si="29"/>
        <v>0</v>
      </c>
      <c r="H32" s="1551">
        <f t="shared" si="29"/>
        <v>0</v>
      </c>
      <c r="I32" s="1551">
        <f t="shared" si="29"/>
        <v>0</v>
      </c>
      <c r="J32" s="1551">
        <f t="shared" si="29"/>
        <v>0</v>
      </c>
      <c r="K32" s="1551">
        <f t="shared" si="29"/>
        <v>0</v>
      </c>
      <c r="L32" s="1551">
        <f t="shared" si="29"/>
        <v>0</v>
      </c>
      <c r="M32" s="1551">
        <f>+M33+M39</f>
        <v>0</v>
      </c>
      <c r="N32" s="1551">
        <f t="shared" si="29"/>
        <v>0</v>
      </c>
      <c r="O32" s="1551">
        <f t="shared" si="29"/>
        <v>0</v>
      </c>
      <c r="P32" s="1551">
        <f t="shared" si="29"/>
        <v>47024</v>
      </c>
      <c r="Q32" s="1551">
        <f t="shared" si="29"/>
        <v>241002</v>
      </c>
      <c r="R32" s="1551">
        <f t="shared" si="29"/>
        <v>122559</v>
      </c>
      <c r="S32" s="1551">
        <f t="shared" si="29"/>
        <v>72320</v>
      </c>
      <c r="T32" s="1551">
        <f t="shared" si="29"/>
        <v>16174</v>
      </c>
      <c r="U32" s="1551">
        <f t="shared" si="29"/>
        <v>0</v>
      </c>
      <c r="V32" s="1551">
        <v>0</v>
      </c>
      <c r="W32" s="1551">
        <v>0</v>
      </c>
      <c r="X32" s="2261">
        <f>+X33+X39</f>
        <v>452055</v>
      </c>
      <c r="Y32" s="3791"/>
      <c r="Z32" s="3184">
        <f>+O32+P32+Q32+R32</f>
        <v>410585</v>
      </c>
      <c r="AA32" s="3185"/>
    </row>
    <row r="33" spans="1:26" s="637" customFormat="1" ht="13.5" customHeight="1">
      <c r="A33" s="3826"/>
      <c r="B33" s="3246" t="s">
        <v>35</v>
      </c>
      <c r="C33" s="3794" t="s">
        <v>485</v>
      </c>
      <c r="D33" s="1763">
        <f t="shared" ref="D33:N33" si="30">+D34+D38</f>
        <v>78262</v>
      </c>
      <c r="E33" s="1763">
        <f t="shared" si="30"/>
        <v>0</v>
      </c>
      <c r="F33" s="1763">
        <f t="shared" si="30"/>
        <v>0</v>
      </c>
      <c r="G33" s="1763">
        <f t="shared" si="30"/>
        <v>0</v>
      </c>
      <c r="H33" s="1763">
        <f t="shared" si="30"/>
        <v>0</v>
      </c>
      <c r="I33" s="1763">
        <f t="shared" si="30"/>
        <v>0</v>
      </c>
      <c r="J33" s="1763">
        <f t="shared" si="30"/>
        <v>0</v>
      </c>
      <c r="K33" s="1763">
        <f t="shared" si="30"/>
        <v>0</v>
      </c>
      <c r="L33" s="1763">
        <f t="shared" si="30"/>
        <v>0</v>
      </c>
      <c r="M33" s="1763">
        <f>+M34+M38</f>
        <v>0</v>
      </c>
      <c r="N33" s="1763">
        <f t="shared" si="30"/>
        <v>0</v>
      </c>
      <c r="O33" s="1763">
        <f>+O34+O38</f>
        <v>0</v>
      </c>
      <c r="P33" s="1763">
        <f>+P34+P38</f>
        <v>7248</v>
      </c>
      <c r="Q33" s="1763">
        <f>+Q34+Q38</f>
        <v>37316</v>
      </c>
      <c r="R33" s="1763">
        <f>+R34+R38</f>
        <v>19064</v>
      </c>
      <c r="S33" s="1763">
        <f>+S34+S38</f>
        <v>11528</v>
      </c>
      <c r="T33" s="1763">
        <f>+T34</f>
        <v>3106</v>
      </c>
      <c r="U33" s="1763">
        <f>+U34</f>
        <v>0</v>
      </c>
      <c r="V33" s="1763">
        <v>0</v>
      </c>
      <c r="W33" s="1763">
        <v>0</v>
      </c>
      <c r="X33" s="2464">
        <f>+X34+X38</f>
        <v>71014</v>
      </c>
      <c r="Y33" s="3791"/>
      <c r="Z33" s="1064"/>
    </row>
    <row r="34" spans="1:26" s="637" customFormat="1" ht="13.5" customHeight="1">
      <c r="A34" s="3826"/>
      <c r="B34" s="2333" t="s">
        <v>23</v>
      </c>
      <c r="C34" s="3795"/>
      <c r="D34" s="2234">
        <f>M34+P34+Q34+R34+S34+T34+U34+V34+W34</f>
        <v>78262</v>
      </c>
      <c r="E34" s="1710">
        <f>+F34+G34+H34</f>
        <v>0</v>
      </c>
      <c r="F34" s="1710">
        <v>0</v>
      </c>
      <c r="G34" s="1713"/>
      <c r="H34" s="1713"/>
      <c r="I34" s="1713"/>
      <c r="J34" s="1713">
        <v>0</v>
      </c>
      <c r="K34" s="1710">
        <v>0</v>
      </c>
      <c r="L34" s="1710">
        <v>0</v>
      </c>
      <c r="M34" s="2273">
        <f>+E34+I34+J34+K34+L34+N34+O34</f>
        <v>0</v>
      </c>
      <c r="N34" s="1710"/>
      <c r="O34" s="1710">
        <v>0</v>
      </c>
      <c r="P34" s="1710">
        <f>+P36+P37</f>
        <v>7248</v>
      </c>
      <c r="Q34" s="1710">
        <f t="shared" ref="Q34:T34" si="31">+Q36+Q37</f>
        <v>37316</v>
      </c>
      <c r="R34" s="1710">
        <f t="shared" si="31"/>
        <v>19064</v>
      </c>
      <c r="S34" s="1710">
        <f t="shared" si="31"/>
        <v>11528</v>
      </c>
      <c r="T34" s="1710">
        <f t="shared" si="31"/>
        <v>3106</v>
      </c>
      <c r="U34" s="1710">
        <v>0</v>
      </c>
      <c r="V34" s="1710">
        <v>0</v>
      </c>
      <c r="W34" s="1710">
        <v>0</v>
      </c>
      <c r="X34" s="2265">
        <f>SUM(Q34:W34)</f>
        <v>71014</v>
      </c>
      <c r="Y34" s="3791"/>
      <c r="Z34" s="1064"/>
    </row>
    <row r="35" spans="1:26" s="3186" customFormat="1" ht="13.5" hidden="1" customHeight="1">
      <c r="A35" s="3837"/>
      <c r="B35" s="3247" t="s">
        <v>181</v>
      </c>
      <c r="C35" s="3838"/>
      <c r="D35" s="2266"/>
      <c r="E35" s="1710"/>
      <c r="F35" s="1710"/>
      <c r="G35" s="1713"/>
      <c r="H35" s="1713"/>
      <c r="I35" s="1713"/>
      <c r="J35" s="1713"/>
      <c r="K35" s="1710"/>
      <c r="L35" s="1710"/>
      <c r="M35" s="3248"/>
      <c r="N35" s="3248"/>
      <c r="O35" s="3248"/>
      <c r="P35" s="3248"/>
      <c r="Q35" s="3248"/>
      <c r="R35" s="3248"/>
      <c r="S35" s="3248"/>
      <c r="T35" s="3248"/>
      <c r="U35" s="3248"/>
      <c r="V35" s="3248"/>
      <c r="W35" s="1710"/>
      <c r="X35" s="2265"/>
      <c r="Y35" s="3791"/>
      <c r="Z35" s="1064"/>
    </row>
    <row r="36" spans="1:26" s="3186" customFormat="1" ht="13.5" hidden="1" customHeight="1">
      <c r="A36" s="3837"/>
      <c r="B36" s="3247" t="s">
        <v>126</v>
      </c>
      <c r="C36" s="3838"/>
      <c r="D36" s="2266"/>
      <c r="E36" s="1710"/>
      <c r="F36" s="1710"/>
      <c r="G36" s="1713"/>
      <c r="H36" s="1713"/>
      <c r="I36" s="1713"/>
      <c r="J36" s="1713"/>
      <c r="K36" s="1710"/>
      <c r="L36" s="1710"/>
      <c r="M36" s="3248"/>
      <c r="N36" s="3248"/>
      <c r="O36" s="3248"/>
      <c r="P36" s="3248">
        <f>12069-8950</f>
        <v>3119</v>
      </c>
      <c r="Q36" s="3248">
        <f>21813+8950</f>
        <v>30763</v>
      </c>
      <c r="R36" s="3248">
        <v>12591</v>
      </c>
      <c r="S36" s="3248">
        <v>10929</v>
      </c>
      <c r="T36" s="3248">
        <v>2920</v>
      </c>
      <c r="U36" s="3248"/>
      <c r="V36" s="3248"/>
      <c r="W36" s="1710"/>
      <c r="X36" s="3249">
        <f>SUM(Q36:T36)</f>
        <v>57203</v>
      </c>
      <c r="Y36" s="3791"/>
      <c r="Z36" s="1064"/>
    </row>
    <row r="37" spans="1:26" s="3186" customFormat="1" ht="13.5" hidden="1" customHeight="1">
      <c r="A37" s="3837"/>
      <c r="B37" s="3247" t="s">
        <v>377</v>
      </c>
      <c r="C37" s="3838"/>
      <c r="D37" s="2266"/>
      <c r="E37" s="1710"/>
      <c r="F37" s="1710"/>
      <c r="G37" s="1713"/>
      <c r="H37" s="1713"/>
      <c r="I37" s="1713"/>
      <c r="J37" s="1713"/>
      <c r="K37" s="1710"/>
      <c r="L37" s="1710"/>
      <c r="M37" s="3248"/>
      <c r="N37" s="3248"/>
      <c r="O37" s="3248"/>
      <c r="P37" s="3248">
        <f>4396-267</f>
        <v>4129</v>
      </c>
      <c r="Q37" s="3248">
        <f>6286+267</f>
        <v>6553</v>
      </c>
      <c r="R37" s="3248">
        <v>6473</v>
      </c>
      <c r="S37" s="3248">
        <v>599</v>
      </c>
      <c r="T37" s="3248">
        <v>186</v>
      </c>
      <c r="U37" s="3248"/>
      <c r="V37" s="3248"/>
      <c r="W37" s="1710"/>
      <c r="X37" s="3249">
        <f>SUM(Q37:T37)</f>
        <v>13811</v>
      </c>
      <c r="Y37" s="3791"/>
      <c r="Z37" s="1064"/>
    </row>
    <row r="38" spans="1:26" s="637" customFormat="1" ht="14.25" hidden="1" customHeight="1">
      <c r="A38" s="3826"/>
      <c r="B38" s="2333" t="s">
        <v>24</v>
      </c>
      <c r="C38" s="3795"/>
      <c r="D38" s="2266">
        <f>M38+O38+P38+Q38+R38+S38+T38+U38+V38+W38</f>
        <v>0</v>
      </c>
      <c r="E38" s="1710">
        <v>0</v>
      </c>
      <c r="F38" s="1710"/>
      <c r="G38" s="1710"/>
      <c r="H38" s="1713"/>
      <c r="I38" s="1713">
        <v>0</v>
      </c>
      <c r="J38" s="1710">
        <v>0</v>
      </c>
      <c r="K38" s="1710"/>
      <c r="L38" s="1710"/>
      <c r="M38" s="1710">
        <f>+L38+K38+J38+I38+E38+N38</f>
        <v>0</v>
      </c>
      <c r="N38" s="1710"/>
      <c r="O38" s="1710"/>
      <c r="P38" s="1710"/>
      <c r="Q38" s="1710"/>
      <c r="R38" s="1710"/>
      <c r="S38" s="1710"/>
      <c r="T38" s="1710"/>
      <c r="U38" s="1710"/>
      <c r="V38" s="1710"/>
      <c r="W38" s="1710"/>
      <c r="X38" s="2265">
        <f>SUM(P38:T38)</f>
        <v>0</v>
      </c>
      <c r="Y38" s="3791"/>
      <c r="Z38" s="1064"/>
    </row>
    <row r="39" spans="1:26" s="637" customFormat="1" ht="13.5" customHeight="1">
      <c r="A39" s="3826"/>
      <c r="B39" s="2467" t="s">
        <v>29</v>
      </c>
      <c r="C39" s="3795"/>
      <c r="D39" s="2268">
        <f>+D44+D40</f>
        <v>420817</v>
      </c>
      <c r="E39" s="2268">
        <f t="shared" ref="E39:N39" si="32">+E44</f>
        <v>0</v>
      </c>
      <c r="F39" s="2268">
        <f t="shared" si="32"/>
        <v>0</v>
      </c>
      <c r="G39" s="2268">
        <f t="shared" si="32"/>
        <v>0</v>
      </c>
      <c r="H39" s="2268">
        <f t="shared" si="32"/>
        <v>0</v>
      </c>
      <c r="I39" s="2268">
        <f t="shared" si="32"/>
        <v>0</v>
      </c>
      <c r="J39" s="2268">
        <f t="shared" si="32"/>
        <v>0</v>
      </c>
      <c r="K39" s="2268">
        <f t="shared" si="32"/>
        <v>0</v>
      </c>
      <c r="L39" s="2268">
        <f t="shared" si="32"/>
        <v>0</v>
      </c>
      <c r="M39" s="2268">
        <f t="shared" si="32"/>
        <v>0</v>
      </c>
      <c r="N39" s="2268">
        <f t="shared" si="32"/>
        <v>0</v>
      </c>
      <c r="O39" s="2268">
        <f>+O44+O40</f>
        <v>0</v>
      </c>
      <c r="P39" s="2268">
        <f>+P44+P40</f>
        <v>39776</v>
      </c>
      <c r="Q39" s="2268">
        <f>+Q44+Q40</f>
        <v>203686</v>
      </c>
      <c r="R39" s="2268">
        <f>+R44+R40</f>
        <v>103495</v>
      </c>
      <c r="S39" s="2268">
        <f>+S44+S40</f>
        <v>60792</v>
      </c>
      <c r="T39" s="2268">
        <f>+T40</f>
        <v>13068</v>
      </c>
      <c r="U39" s="2268">
        <v>0</v>
      </c>
      <c r="V39" s="2268">
        <v>0</v>
      </c>
      <c r="W39" s="2268">
        <v>0</v>
      </c>
      <c r="X39" s="2466">
        <f>+X44+X40</f>
        <v>381041</v>
      </c>
      <c r="Y39" s="3791"/>
      <c r="Z39" s="1064"/>
    </row>
    <row r="40" spans="1:26" s="887" customFormat="1" ht="13.5" customHeight="1">
      <c r="A40" s="3826"/>
      <c r="B40" s="2333" t="s">
        <v>31</v>
      </c>
      <c r="C40" s="3795"/>
      <c r="D40" s="2234">
        <f>M40+P40+Q40+R40+S40+T40+U40+V40+W40</f>
        <v>420817</v>
      </c>
      <c r="E40" s="1710"/>
      <c r="F40" s="1710"/>
      <c r="G40" s="1713"/>
      <c r="H40" s="1713"/>
      <c r="I40" s="1713"/>
      <c r="J40" s="1713"/>
      <c r="K40" s="1710"/>
      <c r="L40" s="1710"/>
      <c r="M40" s="2273">
        <f>+E40+I40+J40+K40+L40+N40+O40</f>
        <v>0</v>
      </c>
      <c r="N40" s="1710"/>
      <c r="O40" s="1710">
        <v>0</v>
      </c>
      <c r="P40" s="1710">
        <f>+P42+P43</f>
        <v>39776</v>
      </c>
      <c r="Q40" s="1710">
        <f t="shared" ref="Q40:T40" si="33">+Q42+Q43</f>
        <v>203686</v>
      </c>
      <c r="R40" s="1710">
        <f t="shared" si="33"/>
        <v>103495</v>
      </c>
      <c r="S40" s="1710">
        <f t="shared" si="33"/>
        <v>60792</v>
      </c>
      <c r="T40" s="1710">
        <f t="shared" si="33"/>
        <v>13068</v>
      </c>
      <c r="U40" s="1710">
        <v>0</v>
      </c>
      <c r="V40" s="1710">
        <v>0</v>
      </c>
      <c r="W40" s="1710">
        <v>0</v>
      </c>
      <c r="X40" s="2265">
        <f>SUM(Q40:W40)</f>
        <v>381041</v>
      </c>
      <c r="Y40" s="3791"/>
      <c r="Z40" s="3184">
        <f>D40-D49</f>
        <v>0</v>
      </c>
    </row>
    <row r="41" spans="1:26" s="3186" customFormat="1" ht="13.5" hidden="1" customHeight="1">
      <c r="A41" s="3826"/>
      <c r="B41" s="3247" t="s">
        <v>181</v>
      </c>
      <c r="C41" s="3795"/>
      <c r="D41" s="2266"/>
      <c r="E41" s="1710"/>
      <c r="F41" s="1710"/>
      <c r="G41" s="1713"/>
      <c r="H41" s="1713"/>
      <c r="I41" s="1713"/>
      <c r="J41" s="1713"/>
      <c r="K41" s="1710"/>
      <c r="L41" s="1710"/>
      <c r="M41" s="1710"/>
      <c r="N41" s="1710"/>
      <c r="O41" s="3248"/>
      <c r="P41" s="3248"/>
      <c r="Q41" s="3248"/>
      <c r="R41" s="3248"/>
      <c r="S41" s="3248"/>
      <c r="T41" s="3248"/>
      <c r="U41" s="3248"/>
      <c r="V41" s="3248"/>
      <c r="W41" s="3248"/>
      <c r="X41" s="3249"/>
      <c r="Y41" s="3791"/>
      <c r="Z41" s="1064"/>
    </row>
    <row r="42" spans="1:26" s="3186" customFormat="1" ht="13.5" hidden="1" customHeight="1">
      <c r="A42" s="3826"/>
      <c r="B42" s="3247" t="s">
        <v>126</v>
      </c>
      <c r="C42" s="3795"/>
      <c r="D42" s="2266"/>
      <c r="E42" s="1710"/>
      <c r="F42" s="1710"/>
      <c r="G42" s="1713"/>
      <c r="H42" s="1713"/>
      <c r="I42" s="1713"/>
      <c r="J42" s="1713"/>
      <c r="K42" s="1710"/>
      <c r="L42" s="1710"/>
      <c r="M42" s="1710"/>
      <c r="N42" s="1710"/>
      <c r="O42" s="3248"/>
      <c r="P42" s="3248">
        <f>1482+22607+1482+35502+2780-47478</f>
        <v>16375</v>
      </c>
      <c r="Q42" s="3248">
        <f>1482+28167+1112+84605+3706+47478</f>
        <v>166550</v>
      </c>
      <c r="R42" s="3248">
        <f>1482+13343+1112+47172+3706</f>
        <v>66815</v>
      </c>
      <c r="S42" s="3248">
        <f>1482+15195+1853+32381+6486</f>
        <v>57397</v>
      </c>
      <c r="T42" s="3248">
        <f>3706+371+6085+1853</f>
        <v>12015</v>
      </c>
      <c r="U42" s="3248"/>
      <c r="V42" s="3248"/>
      <c r="W42" s="3248"/>
      <c r="X42" s="3249">
        <f>SUM(Q42:T42)</f>
        <v>302777</v>
      </c>
      <c r="Y42" s="3791"/>
      <c r="Z42" s="1064"/>
    </row>
    <row r="43" spans="1:26" s="3186" customFormat="1" ht="13.5" hidden="1" customHeight="1">
      <c r="A43" s="3826"/>
      <c r="B43" s="3247" t="s">
        <v>377</v>
      </c>
      <c r="C43" s="3795"/>
      <c r="D43" s="2266"/>
      <c r="E43" s="1710"/>
      <c r="F43" s="1710"/>
      <c r="G43" s="1713"/>
      <c r="H43" s="1713"/>
      <c r="I43" s="1713"/>
      <c r="J43" s="1713"/>
      <c r="K43" s="1710"/>
      <c r="L43" s="1710"/>
      <c r="M43" s="1710"/>
      <c r="N43" s="1710"/>
      <c r="O43" s="3248"/>
      <c r="P43" s="3248">
        <f>21067+3349+497-1512</f>
        <v>23401</v>
      </c>
      <c r="Q43" s="3248">
        <f>28369+1756+4789+710+1512</f>
        <v>37136</v>
      </c>
      <c r="R43" s="3248">
        <f>28654+2364+4931+731</f>
        <v>36680</v>
      </c>
      <c r="S43" s="3248">
        <f>2663+220+445+67</f>
        <v>3395</v>
      </c>
      <c r="T43" s="3248">
        <f>672+222+138+21</f>
        <v>1053</v>
      </c>
      <c r="U43" s="3248"/>
      <c r="V43" s="3248"/>
      <c r="W43" s="3248"/>
      <c r="X43" s="3249">
        <f>SUM(Q43:T43)</f>
        <v>78264</v>
      </c>
      <c r="Y43" s="3791"/>
      <c r="Z43" s="1064"/>
    </row>
    <row r="44" spans="1:26" s="637" customFormat="1" ht="13.5" hidden="1" customHeight="1" collapsed="1">
      <c r="A44" s="3826"/>
      <c r="B44" s="2333" t="s">
        <v>32</v>
      </c>
      <c r="C44" s="3795"/>
      <c r="D44" s="2266">
        <f>M44+O44+P44+Q44+R44+S44+T44+U44+V44+W44</f>
        <v>0</v>
      </c>
      <c r="E44" s="1710">
        <v>0</v>
      </c>
      <c r="F44" s="1710"/>
      <c r="G44" s="1713"/>
      <c r="H44" s="1713"/>
      <c r="I44" s="1713">
        <v>0</v>
      </c>
      <c r="J44" s="1713">
        <v>0</v>
      </c>
      <c r="K44" s="1713"/>
      <c r="L44" s="1710"/>
      <c r="M44" s="1710">
        <f>+L44+K44+J44+I44+E44+N44</f>
        <v>0</v>
      </c>
      <c r="N44" s="1710"/>
      <c r="O44" s="1710"/>
      <c r="P44" s="1710"/>
      <c r="Q44" s="1710"/>
      <c r="R44" s="1710"/>
      <c r="S44" s="1710"/>
      <c r="T44" s="1710"/>
      <c r="U44" s="1710"/>
      <c r="V44" s="1710"/>
      <c r="W44" s="1710"/>
      <c r="X44" s="2265">
        <f>SUM(P44:T44)</f>
        <v>0</v>
      </c>
      <c r="Y44" s="3791"/>
      <c r="Z44" s="3184"/>
    </row>
    <row r="45" spans="1:26" s="637" customFormat="1" ht="12.75" customHeight="1">
      <c r="A45" s="3827"/>
      <c r="B45" s="2259" t="s">
        <v>33</v>
      </c>
      <c r="C45" s="2260"/>
      <c r="D45" s="1691">
        <f>+D46+D48</f>
        <v>420817</v>
      </c>
      <c r="E45" s="1691">
        <f t="shared" ref="E45:U45" si="34">+E46+E48</f>
        <v>0</v>
      </c>
      <c r="F45" s="1691">
        <f t="shared" si="34"/>
        <v>0</v>
      </c>
      <c r="G45" s="1691">
        <f t="shared" si="34"/>
        <v>0</v>
      </c>
      <c r="H45" s="1691">
        <f t="shared" si="34"/>
        <v>0</v>
      </c>
      <c r="I45" s="1691">
        <f t="shared" si="34"/>
        <v>0</v>
      </c>
      <c r="J45" s="1691">
        <f t="shared" si="34"/>
        <v>0</v>
      </c>
      <c r="K45" s="1691">
        <f t="shared" si="34"/>
        <v>0</v>
      </c>
      <c r="L45" s="1691">
        <f t="shared" si="34"/>
        <v>0</v>
      </c>
      <c r="M45" s="1691">
        <f t="shared" si="34"/>
        <v>0</v>
      </c>
      <c r="N45" s="1691">
        <f t="shared" si="34"/>
        <v>0</v>
      </c>
      <c r="O45" s="1691">
        <f t="shared" si="34"/>
        <v>0</v>
      </c>
      <c r="P45" s="1691">
        <f t="shared" si="34"/>
        <v>0</v>
      </c>
      <c r="Q45" s="1691">
        <f t="shared" si="34"/>
        <v>28480</v>
      </c>
      <c r="R45" s="1691">
        <f t="shared" si="34"/>
        <v>164061</v>
      </c>
      <c r="S45" s="1691">
        <f t="shared" si="34"/>
        <v>76795</v>
      </c>
      <c r="T45" s="1691">
        <f t="shared" si="34"/>
        <v>92819</v>
      </c>
      <c r="U45" s="1691">
        <f t="shared" si="34"/>
        <v>58662</v>
      </c>
      <c r="V45" s="1691">
        <v>0</v>
      </c>
      <c r="W45" s="1691">
        <v>0</v>
      </c>
      <c r="X45" s="3796" t="s">
        <v>75</v>
      </c>
      <c r="Y45" s="3824"/>
      <c r="Z45" s="3184"/>
    </row>
    <row r="46" spans="1:26" s="637" customFormat="1" ht="13.5" hidden="1" customHeight="1">
      <c r="A46" s="3827"/>
      <c r="B46" s="3246" t="s">
        <v>35</v>
      </c>
      <c r="C46" s="3798" t="s">
        <v>407</v>
      </c>
      <c r="D46" s="2268">
        <f>+D47</f>
        <v>0</v>
      </c>
      <c r="E46" s="2268">
        <f t="shared" ref="E46:O46" si="35">+E47</f>
        <v>0</v>
      </c>
      <c r="F46" s="2268">
        <f t="shared" si="35"/>
        <v>0</v>
      </c>
      <c r="G46" s="2268">
        <f t="shared" si="35"/>
        <v>0</v>
      </c>
      <c r="H46" s="2268">
        <f t="shared" si="35"/>
        <v>0</v>
      </c>
      <c r="I46" s="2268">
        <f t="shared" si="35"/>
        <v>0</v>
      </c>
      <c r="J46" s="2268">
        <f t="shared" si="35"/>
        <v>0</v>
      </c>
      <c r="K46" s="2268">
        <f t="shared" si="35"/>
        <v>0</v>
      </c>
      <c r="L46" s="2268">
        <f t="shared" si="35"/>
        <v>0</v>
      </c>
      <c r="M46" s="2268">
        <f t="shared" si="35"/>
        <v>0</v>
      </c>
      <c r="N46" s="2268">
        <f t="shared" si="35"/>
        <v>0</v>
      </c>
      <c r="O46" s="2268">
        <f t="shared" si="35"/>
        <v>0</v>
      </c>
      <c r="P46" s="2268"/>
      <c r="Q46" s="2268"/>
      <c r="R46" s="2268"/>
      <c r="S46" s="2268"/>
      <c r="T46" s="2268"/>
      <c r="U46" s="2268"/>
      <c r="V46" s="2268"/>
      <c r="W46" s="2268"/>
      <c r="X46" s="3796"/>
      <c r="Y46" s="3824"/>
      <c r="Z46" s="1064"/>
    </row>
    <row r="47" spans="1:26" s="637" customFormat="1" ht="13.5" hidden="1" customHeight="1">
      <c r="A47" s="3827"/>
      <c r="B47" s="2333" t="s">
        <v>24</v>
      </c>
      <c r="C47" s="3795"/>
      <c r="D47" s="2266">
        <f>M47+O47+P47+Q47+R47+S47+T47+U47+V47+W47</f>
        <v>0</v>
      </c>
      <c r="E47" s="1710">
        <v>0</v>
      </c>
      <c r="F47" s="1710"/>
      <c r="G47" s="1710"/>
      <c r="H47" s="1713"/>
      <c r="I47" s="1713">
        <v>0</v>
      </c>
      <c r="J47" s="2266">
        <v>0</v>
      </c>
      <c r="K47" s="2266"/>
      <c r="L47" s="2266"/>
      <c r="M47" s="1710">
        <f>+L47+K47+J47+I47+E47+N47</f>
        <v>0</v>
      </c>
      <c r="N47" s="2266"/>
      <c r="O47" s="2266"/>
      <c r="P47" s="2266"/>
      <c r="Q47" s="2266"/>
      <c r="R47" s="2266"/>
      <c r="S47" s="2266"/>
      <c r="T47" s="2266"/>
      <c r="U47" s="2266"/>
      <c r="V47" s="2266"/>
      <c r="W47" s="2266"/>
      <c r="X47" s="3796"/>
      <c r="Y47" s="3824"/>
      <c r="Z47" s="1064"/>
    </row>
    <row r="48" spans="1:26" s="637" customFormat="1" ht="12" customHeight="1">
      <c r="A48" s="3827"/>
      <c r="B48" s="2467" t="s">
        <v>29</v>
      </c>
      <c r="C48" s="3799"/>
      <c r="D48" s="2268">
        <f>+D50+D49</f>
        <v>420817</v>
      </c>
      <c r="E48" s="2268">
        <f t="shared" ref="E48:N48" si="36">+E50</f>
        <v>0</v>
      </c>
      <c r="F48" s="2268">
        <f t="shared" si="36"/>
        <v>0</v>
      </c>
      <c r="G48" s="2268">
        <f t="shared" si="36"/>
        <v>0</v>
      </c>
      <c r="H48" s="2268">
        <f t="shared" si="36"/>
        <v>0</v>
      </c>
      <c r="I48" s="2268">
        <f t="shared" si="36"/>
        <v>0</v>
      </c>
      <c r="J48" s="2268">
        <f t="shared" si="36"/>
        <v>0</v>
      </c>
      <c r="K48" s="2268">
        <f t="shared" si="36"/>
        <v>0</v>
      </c>
      <c r="L48" s="2268">
        <f t="shared" si="36"/>
        <v>0</v>
      </c>
      <c r="M48" s="2268">
        <f t="shared" si="36"/>
        <v>0</v>
      </c>
      <c r="N48" s="2268">
        <f t="shared" si="36"/>
        <v>0</v>
      </c>
      <c r="O48" s="2268">
        <f>+O50+O49</f>
        <v>0</v>
      </c>
      <c r="P48" s="2268">
        <f t="shared" ref="P48:U48" si="37">+P50+P49</f>
        <v>0</v>
      </c>
      <c r="Q48" s="2268">
        <f t="shared" si="37"/>
        <v>28480</v>
      </c>
      <c r="R48" s="2268">
        <f t="shared" si="37"/>
        <v>164061</v>
      </c>
      <c r="S48" s="2268">
        <f>+S50+S49</f>
        <v>76795</v>
      </c>
      <c r="T48" s="2268">
        <f t="shared" si="37"/>
        <v>92819</v>
      </c>
      <c r="U48" s="2268">
        <f t="shared" si="37"/>
        <v>58662</v>
      </c>
      <c r="V48" s="2268">
        <v>0</v>
      </c>
      <c r="W48" s="2268">
        <v>0</v>
      </c>
      <c r="X48" s="3796"/>
      <c r="Y48" s="3824"/>
      <c r="Z48" s="1064"/>
    </row>
    <row r="49" spans="1:26" s="887" customFormat="1" ht="15.75" customHeight="1" thickBot="1">
      <c r="A49" s="3827"/>
      <c r="B49" s="2333" t="s">
        <v>31</v>
      </c>
      <c r="C49" s="3799"/>
      <c r="D49" s="2234">
        <f>M49+P49+Q49+R49+S49+T49+U49+V49+W49</f>
        <v>420817</v>
      </c>
      <c r="E49" s="1710"/>
      <c r="F49" s="1710"/>
      <c r="G49" s="1713"/>
      <c r="H49" s="1713"/>
      <c r="I49" s="1713"/>
      <c r="J49" s="1713"/>
      <c r="K49" s="1710"/>
      <c r="L49" s="1710"/>
      <c r="M49" s="2273">
        <f>+E49+I49+J49+K49+L49+N49+O49</f>
        <v>0</v>
      </c>
      <c r="N49" s="1710"/>
      <c r="O49" s="1710">
        <v>0</v>
      </c>
      <c r="P49" s="1710">
        <v>0</v>
      </c>
      <c r="Q49" s="1710">
        <f>88766-60286</f>
        <v>28480</v>
      </c>
      <c r="R49" s="1710">
        <f>154696+9365</f>
        <v>164061</v>
      </c>
      <c r="S49" s="1710">
        <f>103495-26700</f>
        <v>76795</v>
      </c>
      <c r="T49" s="1710">
        <f>60792+32027</f>
        <v>92819</v>
      </c>
      <c r="U49" s="1710">
        <f>13068+45594</f>
        <v>58662</v>
      </c>
      <c r="V49" s="1710">
        <v>0</v>
      </c>
      <c r="W49" s="1710">
        <v>0</v>
      </c>
      <c r="X49" s="3796"/>
      <c r="Y49" s="3824"/>
      <c r="Z49" s="1064"/>
    </row>
    <row r="50" spans="1:26" ht="13.5" hidden="1" customHeight="1" thickBot="1">
      <c r="A50" s="3828"/>
      <c r="B50" s="961" t="s">
        <v>32</v>
      </c>
      <c r="C50" s="3800"/>
      <c r="D50" s="962">
        <f>M50+O50+P50+Q50+R50+S50+T50+U50+V50+W50</f>
        <v>0</v>
      </c>
      <c r="E50" s="963">
        <v>0</v>
      </c>
      <c r="F50" s="963"/>
      <c r="G50" s="964"/>
      <c r="H50" s="964"/>
      <c r="I50" s="964">
        <v>0</v>
      </c>
      <c r="J50" s="963">
        <v>0</v>
      </c>
      <c r="K50" s="963"/>
      <c r="L50" s="963"/>
      <c r="M50" s="963">
        <f>+L50+K50+J50+I50+E50+N50</f>
        <v>0</v>
      </c>
      <c r="N50" s="963"/>
      <c r="O50" s="963">
        <v>0</v>
      </c>
      <c r="P50" s="963"/>
      <c r="Q50" s="963"/>
      <c r="R50" s="963"/>
      <c r="S50" s="963"/>
      <c r="T50" s="963"/>
      <c r="U50" s="963"/>
      <c r="V50" s="963"/>
      <c r="W50" s="963"/>
      <c r="X50" s="3797"/>
      <c r="Y50" s="3830"/>
      <c r="Z50" s="1060"/>
    </row>
    <row r="51" spans="1:26" ht="28.15" customHeight="1">
      <c r="A51" s="3825" t="s">
        <v>411</v>
      </c>
      <c r="B51" s="3250" t="s">
        <v>504</v>
      </c>
      <c r="C51" s="1305" t="s">
        <v>125</v>
      </c>
      <c r="D51" s="75"/>
      <c r="E51" s="76"/>
      <c r="F51" s="76"/>
      <c r="G51" s="76"/>
      <c r="H51" s="76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1306"/>
      <c r="Y51" s="3829" t="s">
        <v>419</v>
      </c>
      <c r="Z51" s="1060"/>
    </row>
    <row r="52" spans="1:26" ht="13.5" customHeight="1">
      <c r="A52" s="3826"/>
      <c r="B52" s="2259" t="s">
        <v>21</v>
      </c>
      <c r="C52" s="1307"/>
      <c r="D52" s="2439">
        <f t="shared" ref="D52:M52" si="38">+D53+D58</f>
        <v>1439977</v>
      </c>
      <c r="E52" s="1551">
        <f t="shared" si="38"/>
        <v>0</v>
      </c>
      <c r="F52" s="1551">
        <f t="shared" si="38"/>
        <v>0</v>
      </c>
      <c r="G52" s="1551">
        <f t="shared" si="38"/>
        <v>0</v>
      </c>
      <c r="H52" s="1551">
        <f t="shared" si="38"/>
        <v>0</v>
      </c>
      <c r="I52" s="1551">
        <f t="shared" si="38"/>
        <v>0</v>
      </c>
      <c r="J52" s="1551">
        <f t="shared" si="38"/>
        <v>0</v>
      </c>
      <c r="K52" s="1551">
        <f t="shared" si="38"/>
        <v>0</v>
      </c>
      <c r="L52" s="1551">
        <f t="shared" si="38"/>
        <v>0</v>
      </c>
      <c r="M52" s="1551">
        <f t="shared" si="38"/>
        <v>0</v>
      </c>
      <c r="N52" s="1551">
        <f t="shared" ref="N52:W52" si="39">+N53+N58</f>
        <v>0</v>
      </c>
      <c r="O52" s="1551">
        <f t="shared" si="39"/>
        <v>0</v>
      </c>
      <c r="P52" s="1551">
        <f t="shared" si="39"/>
        <v>472000</v>
      </c>
      <c r="Q52" s="1551">
        <f t="shared" si="39"/>
        <v>967977</v>
      </c>
      <c r="R52" s="1551">
        <f t="shared" si="39"/>
        <v>0</v>
      </c>
      <c r="S52" s="1551">
        <f t="shared" si="39"/>
        <v>0</v>
      </c>
      <c r="T52" s="1551">
        <f t="shared" si="39"/>
        <v>0</v>
      </c>
      <c r="U52" s="1551">
        <f t="shared" si="39"/>
        <v>0</v>
      </c>
      <c r="V52" s="1551">
        <f t="shared" si="39"/>
        <v>0</v>
      </c>
      <c r="W52" s="1551">
        <f t="shared" si="39"/>
        <v>0</v>
      </c>
      <c r="X52" s="2261">
        <f>+X53+X58</f>
        <v>967977</v>
      </c>
      <c r="Y52" s="3791"/>
      <c r="Z52" s="1061">
        <f>+O52+P52+Q52+R52</f>
        <v>1439977</v>
      </c>
    </row>
    <row r="53" spans="1:26" ht="13.5" customHeight="1">
      <c r="A53" s="3826"/>
      <c r="B53" s="2262" t="s">
        <v>35</v>
      </c>
      <c r="C53" s="3831" t="s">
        <v>414</v>
      </c>
      <c r="D53" s="1763">
        <f t="shared" ref="D53:X53" si="40">+D54+D57</f>
        <v>215997</v>
      </c>
      <c r="E53" s="1763">
        <f t="shared" si="40"/>
        <v>0</v>
      </c>
      <c r="F53" s="1763">
        <f t="shared" si="40"/>
        <v>0</v>
      </c>
      <c r="G53" s="1763">
        <f t="shared" si="40"/>
        <v>0</v>
      </c>
      <c r="H53" s="1763">
        <f t="shared" si="40"/>
        <v>0</v>
      </c>
      <c r="I53" s="1763">
        <f t="shared" si="40"/>
        <v>0</v>
      </c>
      <c r="J53" s="1763">
        <f t="shared" si="40"/>
        <v>0</v>
      </c>
      <c r="K53" s="1763">
        <f t="shared" si="40"/>
        <v>0</v>
      </c>
      <c r="L53" s="1763">
        <f t="shared" si="40"/>
        <v>0</v>
      </c>
      <c r="M53" s="1763">
        <f t="shared" si="40"/>
        <v>0</v>
      </c>
      <c r="N53" s="1763">
        <f t="shared" si="40"/>
        <v>0</v>
      </c>
      <c r="O53" s="1763">
        <f t="shared" si="40"/>
        <v>0</v>
      </c>
      <c r="P53" s="1763">
        <f t="shared" si="40"/>
        <v>70800</v>
      </c>
      <c r="Q53" s="1763">
        <f t="shared" si="40"/>
        <v>145197</v>
      </c>
      <c r="R53" s="1763">
        <f t="shared" si="40"/>
        <v>0</v>
      </c>
      <c r="S53" s="1763">
        <f t="shared" si="40"/>
        <v>0</v>
      </c>
      <c r="T53" s="1763">
        <f t="shared" si="40"/>
        <v>0</v>
      </c>
      <c r="U53" s="1763">
        <f t="shared" si="40"/>
        <v>0</v>
      </c>
      <c r="V53" s="1763">
        <f t="shared" si="40"/>
        <v>0</v>
      </c>
      <c r="W53" s="1763">
        <f t="shared" si="40"/>
        <v>0</v>
      </c>
      <c r="X53" s="2464">
        <f t="shared" si="40"/>
        <v>145197</v>
      </c>
      <c r="Y53" s="3791"/>
      <c r="Z53" s="1060"/>
    </row>
    <row r="54" spans="1:26" ht="12.75" customHeight="1">
      <c r="A54" s="3826"/>
      <c r="B54" s="2263" t="s">
        <v>23</v>
      </c>
      <c r="C54" s="3832"/>
      <c r="D54" s="2264">
        <f>M54+P54+Q54+R54+S54+T54+U54+V54+W54</f>
        <v>215997</v>
      </c>
      <c r="E54" s="1710">
        <f>+F54+G54+H54</f>
        <v>0</v>
      </c>
      <c r="F54" s="1710"/>
      <c r="G54" s="1713"/>
      <c r="H54" s="1713"/>
      <c r="I54" s="1713"/>
      <c r="J54" s="1713">
        <v>0</v>
      </c>
      <c r="K54" s="1710">
        <v>0</v>
      </c>
      <c r="L54" s="1710">
        <v>0</v>
      </c>
      <c r="M54" s="2254">
        <f>+E54+I54+J54+K54+L54+N54+O54</f>
        <v>0</v>
      </c>
      <c r="N54" s="1710"/>
      <c r="O54" s="1710">
        <f>+O55+O56</f>
        <v>0</v>
      </c>
      <c r="P54" s="1713">
        <f t="shared" ref="P54:W54" si="41">+P55+P56</f>
        <v>70800</v>
      </c>
      <c r="Q54" s="1713">
        <f t="shared" si="41"/>
        <v>145197</v>
      </c>
      <c r="R54" s="1710">
        <f t="shared" si="41"/>
        <v>0</v>
      </c>
      <c r="S54" s="1710">
        <f t="shared" si="41"/>
        <v>0</v>
      </c>
      <c r="T54" s="1710">
        <f t="shared" si="41"/>
        <v>0</v>
      </c>
      <c r="U54" s="1710">
        <f t="shared" si="41"/>
        <v>0</v>
      </c>
      <c r="V54" s="1710">
        <f t="shared" si="41"/>
        <v>0</v>
      </c>
      <c r="W54" s="1710">
        <f t="shared" si="41"/>
        <v>0</v>
      </c>
      <c r="X54" s="2265">
        <f>SUM(Q54:W54)</f>
        <v>145197</v>
      </c>
      <c r="Y54" s="3791"/>
      <c r="Z54" s="1060"/>
    </row>
    <row r="55" spans="1:26" s="889" customFormat="1" ht="13.5" hidden="1" customHeight="1">
      <c r="A55" s="3826"/>
      <c r="B55" s="2263" t="s">
        <v>377</v>
      </c>
      <c r="C55" s="3832"/>
      <c r="D55" s="2266">
        <f>SUM(M55:W55)</f>
        <v>103940</v>
      </c>
      <c r="E55" s="1710"/>
      <c r="F55" s="1710"/>
      <c r="G55" s="1713"/>
      <c r="H55" s="1713"/>
      <c r="I55" s="1713"/>
      <c r="J55" s="1713"/>
      <c r="K55" s="1710"/>
      <c r="L55" s="1710"/>
      <c r="M55" s="1710">
        <v>0</v>
      </c>
      <c r="N55" s="1710"/>
      <c r="O55" s="1710">
        <v>0</v>
      </c>
      <c r="P55" s="1710">
        <f>52520-5905</f>
        <v>46615</v>
      </c>
      <c r="Q55" s="1713">
        <f>57325+0</f>
        <v>57325</v>
      </c>
      <c r="R55" s="1710"/>
      <c r="S55" s="1710"/>
      <c r="T55" s="1710"/>
      <c r="U55" s="1710"/>
      <c r="V55" s="1710"/>
      <c r="W55" s="1710"/>
      <c r="X55" s="2265"/>
      <c r="Y55" s="3791"/>
      <c r="Z55" s="1060"/>
    </row>
    <row r="56" spans="1:26" s="889" customFormat="1" ht="13.5" hidden="1" customHeight="1">
      <c r="A56" s="3826"/>
      <c r="B56" s="2263" t="s">
        <v>412</v>
      </c>
      <c r="C56" s="3832"/>
      <c r="D56" s="2266">
        <f>SUM(M56:W56)</f>
        <v>112057</v>
      </c>
      <c r="E56" s="1710"/>
      <c r="F56" s="1710"/>
      <c r="G56" s="1713"/>
      <c r="H56" s="1713"/>
      <c r="I56" s="1713"/>
      <c r="J56" s="1713"/>
      <c r="K56" s="1710"/>
      <c r="L56" s="1710"/>
      <c r="M56" s="1710">
        <v>0</v>
      </c>
      <c r="N56" s="1710"/>
      <c r="O56" s="1710">
        <v>0</v>
      </c>
      <c r="P56" s="1710">
        <f>50784-26599</f>
        <v>24185</v>
      </c>
      <c r="Q56" s="1713">
        <f>55368+32504</f>
        <v>87872</v>
      </c>
      <c r="R56" s="1710"/>
      <c r="S56" s="1710"/>
      <c r="T56" s="1710"/>
      <c r="U56" s="1710"/>
      <c r="V56" s="1710"/>
      <c r="W56" s="1710"/>
      <c r="X56" s="2265"/>
      <c r="Y56" s="3791"/>
      <c r="Z56" s="1060"/>
    </row>
    <row r="57" spans="1:26" ht="12.75" hidden="1" customHeight="1">
      <c r="A57" s="3826"/>
      <c r="B57" s="2263" t="s">
        <v>24</v>
      </c>
      <c r="C57" s="3832"/>
      <c r="D57" s="2266">
        <f>SUM(M57:R57)</f>
        <v>0</v>
      </c>
      <c r="E57" s="1710"/>
      <c r="F57" s="1710"/>
      <c r="G57" s="1710"/>
      <c r="H57" s="1710"/>
      <c r="I57" s="1713"/>
      <c r="J57" s="1710"/>
      <c r="K57" s="1710"/>
      <c r="L57" s="1710"/>
      <c r="M57" s="1710">
        <f>+L57+K57+J57+I57+E57</f>
        <v>0</v>
      </c>
      <c r="N57" s="1710"/>
      <c r="O57" s="1710">
        <v>0</v>
      </c>
      <c r="P57" s="1710"/>
      <c r="Q57" s="1710"/>
      <c r="R57" s="1710"/>
      <c r="S57" s="1710"/>
      <c r="T57" s="1710"/>
      <c r="U57" s="1710"/>
      <c r="V57" s="1710"/>
      <c r="W57" s="1710"/>
      <c r="X57" s="2265">
        <f>SUM(P57:W57)</f>
        <v>0</v>
      </c>
      <c r="Y57" s="3791"/>
      <c r="Z57" s="1060"/>
    </row>
    <row r="58" spans="1:26" ht="13.5" customHeight="1">
      <c r="A58" s="3826"/>
      <c r="B58" s="2262" t="s">
        <v>29</v>
      </c>
      <c r="C58" s="3832"/>
      <c r="D58" s="2268">
        <f>+D59</f>
        <v>1223980</v>
      </c>
      <c r="E58" s="2268">
        <f t="shared" ref="E58:W58" si="42">+E59</f>
        <v>0</v>
      </c>
      <c r="F58" s="2268">
        <f t="shared" si="42"/>
        <v>0</v>
      </c>
      <c r="G58" s="2268">
        <f t="shared" si="42"/>
        <v>0</v>
      </c>
      <c r="H58" s="2268">
        <f t="shared" si="42"/>
        <v>0</v>
      </c>
      <c r="I58" s="2268">
        <f t="shared" si="42"/>
        <v>0</v>
      </c>
      <c r="J58" s="2268">
        <f t="shared" si="42"/>
        <v>0</v>
      </c>
      <c r="K58" s="2268">
        <f t="shared" si="42"/>
        <v>0</v>
      </c>
      <c r="L58" s="2268">
        <f t="shared" si="42"/>
        <v>0</v>
      </c>
      <c r="M58" s="2268">
        <f t="shared" si="42"/>
        <v>0</v>
      </c>
      <c r="N58" s="2268">
        <f t="shared" si="42"/>
        <v>0</v>
      </c>
      <c r="O58" s="2268">
        <f t="shared" si="42"/>
        <v>0</v>
      </c>
      <c r="P58" s="2268">
        <f t="shared" si="42"/>
        <v>401200</v>
      </c>
      <c r="Q58" s="2268">
        <f t="shared" si="42"/>
        <v>822780</v>
      </c>
      <c r="R58" s="2268">
        <f t="shared" si="42"/>
        <v>0</v>
      </c>
      <c r="S58" s="2268">
        <f t="shared" si="42"/>
        <v>0</v>
      </c>
      <c r="T58" s="2268">
        <f t="shared" si="42"/>
        <v>0</v>
      </c>
      <c r="U58" s="2268">
        <f t="shared" si="42"/>
        <v>0</v>
      </c>
      <c r="V58" s="2268">
        <f t="shared" si="42"/>
        <v>0</v>
      </c>
      <c r="W58" s="2268">
        <f t="shared" si="42"/>
        <v>0</v>
      </c>
      <c r="X58" s="2466">
        <f>+X59</f>
        <v>822780</v>
      </c>
      <c r="Y58" s="3791"/>
      <c r="Z58" s="1060"/>
    </row>
    <row r="59" spans="1:26" ht="12" customHeight="1" collapsed="1">
      <c r="A59" s="3826"/>
      <c r="B59" s="2263" t="s">
        <v>32</v>
      </c>
      <c r="C59" s="3832"/>
      <c r="D59" s="2264">
        <f>M59+P59+Q59+R59+S59+T59+U59+V59+W59</f>
        <v>1223980</v>
      </c>
      <c r="E59" s="1710"/>
      <c r="F59" s="1710"/>
      <c r="G59" s="1710"/>
      <c r="H59" s="1710"/>
      <c r="I59" s="1713"/>
      <c r="J59" s="1713"/>
      <c r="K59" s="1710"/>
      <c r="L59" s="1710"/>
      <c r="M59" s="2254">
        <f>+E59+I59+J59+K59+L59+N59+O59</f>
        <v>0</v>
      </c>
      <c r="N59" s="1710"/>
      <c r="O59" s="1710">
        <v>0</v>
      </c>
      <c r="P59" s="1710">
        <f>+P60+P61</f>
        <v>401200</v>
      </c>
      <c r="Q59" s="1710">
        <f t="shared" ref="Q59:W59" si="43">+Q60+Q61</f>
        <v>822780</v>
      </c>
      <c r="R59" s="1710">
        <f t="shared" si="43"/>
        <v>0</v>
      </c>
      <c r="S59" s="1710">
        <f t="shared" si="43"/>
        <v>0</v>
      </c>
      <c r="T59" s="1710">
        <f t="shared" si="43"/>
        <v>0</v>
      </c>
      <c r="U59" s="1710">
        <f t="shared" si="43"/>
        <v>0</v>
      </c>
      <c r="V59" s="1710">
        <f t="shared" si="43"/>
        <v>0</v>
      </c>
      <c r="W59" s="1710">
        <f t="shared" si="43"/>
        <v>0</v>
      </c>
      <c r="X59" s="2265">
        <f>SUM(Q59:W59)</f>
        <v>822780</v>
      </c>
      <c r="Y59" s="3791"/>
      <c r="Z59" s="1060"/>
    </row>
    <row r="60" spans="1:26" s="889" customFormat="1" ht="13.5" hidden="1" customHeight="1">
      <c r="A60" s="3826"/>
      <c r="B60" s="2263" t="s">
        <v>377</v>
      </c>
      <c r="C60" s="3207"/>
      <c r="D60" s="2266">
        <f>SUM(M60:W60)</f>
        <v>588989</v>
      </c>
      <c r="E60" s="1710"/>
      <c r="F60" s="1710"/>
      <c r="G60" s="1710"/>
      <c r="H60" s="1710"/>
      <c r="I60" s="1713"/>
      <c r="J60" s="1713"/>
      <c r="K60" s="1710"/>
      <c r="L60" s="1710"/>
      <c r="M60" s="1710"/>
      <c r="N60" s="1710"/>
      <c r="O60" s="1710">
        <v>0</v>
      </c>
      <c r="P60" s="1710">
        <f>297619-33471</f>
        <v>264148</v>
      </c>
      <c r="Q60" s="1710">
        <v>324841</v>
      </c>
      <c r="R60" s="1710"/>
      <c r="S60" s="1710"/>
      <c r="T60" s="1710"/>
      <c r="U60" s="1710"/>
      <c r="V60" s="1710"/>
      <c r="W60" s="1710"/>
      <c r="X60" s="2265"/>
      <c r="Y60" s="3791"/>
      <c r="Z60" s="1060"/>
    </row>
    <row r="61" spans="1:26" s="889" customFormat="1" ht="13.5" hidden="1" customHeight="1">
      <c r="A61" s="3826"/>
      <c r="B61" s="2263" t="s">
        <v>412</v>
      </c>
      <c r="C61" s="3207"/>
      <c r="D61" s="2266">
        <f>SUM(M61:W61)</f>
        <v>634991</v>
      </c>
      <c r="E61" s="1710"/>
      <c r="F61" s="1710"/>
      <c r="G61" s="1710"/>
      <c r="H61" s="1710"/>
      <c r="I61" s="1713"/>
      <c r="J61" s="1713"/>
      <c r="K61" s="1710"/>
      <c r="L61" s="1710"/>
      <c r="M61" s="1710"/>
      <c r="N61" s="1710"/>
      <c r="O61" s="1710">
        <v>0</v>
      </c>
      <c r="P61" s="1710">
        <f>287770-150718</f>
        <v>137052</v>
      </c>
      <c r="Q61" s="1710">
        <f>313750+184189</f>
        <v>497939</v>
      </c>
      <c r="R61" s="1710"/>
      <c r="S61" s="1710"/>
      <c r="T61" s="1710"/>
      <c r="U61" s="1710"/>
      <c r="V61" s="1710"/>
      <c r="W61" s="1710"/>
      <c r="X61" s="2265"/>
      <c r="Y61" s="3791"/>
      <c r="Z61" s="1060"/>
    </row>
    <row r="62" spans="1:26" ht="13.5" customHeight="1">
      <c r="A62" s="3827"/>
      <c r="B62" s="2259" t="s">
        <v>33</v>
      </c>
      <c r="C62" s="2260"/>
      <c r="D62" s="2270">
        <f t="shared" ref="D62:W62" si="44">+D63+D65</f>
        <v>1223980</v>
      </c>
      <c r="E62" s="2270">
        <f t="shared" si="44"/>
        <v>0</v>
      </c>
      <c r="F62" s="2270">
        <f t="shared" si="44"/>
        <v>0</v>
      </c>
      <c r="G62" s="2270">
        <f t="shared" si="44"/>
        <v>0</v>
      </c>
      <c r="H62" s="2270">
        <f t="shared" si="44"/>
        <v>0</v>
      </c>
      <c r="I62" s="2270">
        <f t="shared" si="44"/>
        <v>0</v>
      </c>
      <c r="J62" s="2270">
        <f t="shared" si="44"/>
        <v>0</v>
      </c>
      <c r="K62" s="2270">
        <f t="shared" si="44"/>
        <v>0</v>
      </c>
      <c r="L62" s="2270">
        <f t="shared" si="44"/>
        <v>0</v>
      </c>
      <c r="M62" s="2270">
        <f t="shared" si="44"/>
        <v>0</v>
      </c>
      <c r="N62" s="2270">
        <f t="shared" si="44"/>
        <v>0</v>
      </c>
      <c r="O62" s="2270">
        <f t="shared" si="44"/>
        <v>0</v>
      </c>
      <c r="P62" s="2270">
        <f t="shared" si="44"/>
        <v>401200</v>
      </c>
      <c r="Q62" s="2270">
        <f t="shared" si="44"/>
        <v>822780</v>
      </c>
      <c r="R62" s="2270">
        <f t="shared" si="44"/>
        <v>0</v>
      </c>
      <c r="S62" s="2270">
        <f t="shared" si="44"/>
        <v>0</v>
      </c>
      <c r="T62" s="2270">
        <f t="shared" si="44"/>
        <v>0</v>
      </c>
      <c r="U62" s="2270">
        <f t="shared" si="44"/>
        <v>0</v>
      </c>
      <c r="V62" s="2270">
        <f t="shared" si="44"/>
        <v>0</v>
      </c>
      <c r="W62" s="2270">
        <f t="shared" si="44"/>
        <v>0</v>
      </c>
      <c r="X62" s="3796" t="s">
        <v>75</v>
      </c>
      <c r="Y62" s="3824"/>
      <c r="Z62" s="1060"/>
    </row>
    <row r="63" spans="1:26" ht="13.5" hidden="1" customHeight="1">
      <c r="A63" s="3827"/>
      <c r="B63" s="2262" t="s">
        <v>35</v>
      </c>
      <c r="C63" s="3833" t="s">
        <v>413</v>
      </c>
      <c r="D63" s="2268">
        <f>+D64</f>
        <v>0</v>
      </c>
      <c r="E63" s="2268">
        <f t="shared" ref="E63:W63" si="45">+E64</f>
        <v>0</v>
      </c>
      <c r="F63" s="2268">
        <f t="shared" si="45"/>
        <v>0</v>
      </c>
      <c r="G63" s="2268">
        <f t="shared" si="45"/>
        <v>0</v>
      </c>
      <c r="H63" s="2268">
        <f t="shared" si="45"/>
        <v>0</v>
      </c>
      <c r="I63" s="2268">
        <f t="shared" si="45"/>
        <v>0</v>
      </c>
      <c r="J63" s="2268">
        <f t="shared" si="45"/>
        <v>0</v>
      </c>
      <c r="K63" s="2268">
        <f t="shared" si="45"/>
        <v>0</v>
      </c>
      <c r="L63" s="2268">
        <f t="shared" si="45"/>
        <v>0</v>
      </c>
      <c r="M63" s="2268">
        <f t="shared" si="45"/>
        <v>0</v>
      </c>
      <c r="N63" s="2268">
        <f t="shared" si="45"/>
        <v>0</v>
      </c>
      <c r="O63" s="2268">
        <f t="shared" si="45"/>
        <v>0</v>
      </c>
      <c r="P63" s="2268">
        <f t="shared" si="45"/>
        <v>0</v>
      </c>
      <c r="Q63" s="2268">
        <f t="shared" si="45"/>
        <v>0</v>
      </c>
      <c r="R63" s="2268">
        <f t="shared" si="45"/>
        <v>0</v>
      </c>
      <c r="S63" s="2268">
        <f t="shared" si="45"/>
        <v>0</v>
      </c>
      <c r="T63" s="2268">
        <f t="shared" si="45"/>
        <v>0</v>
      </c>
      <c r="U63" s="2268">
        <f t="shared" si="45"/>
        <v>0</v>
      </c>
      <c r="V63" s="2268">
        <f t="shared" si="45"/>
        <v>0</v>
      </c>
      <c r="W63" s="2268">
        <f t="shared" si="45"/>
        <v>0</v>
      </c>
      <c r="X63" s="3796"/>
      <c r="Y63" s="3824"/>
      <c r="Z63" s="1060"/>
    </row>
    <row r="64" spans="1:26" ht="13.5" hidden="1" customHeight="1">
      <c r="A64" s="3827"/>
      <c r="B64" s="2263" t="s">
        <v>24</v>
      </c>
      <c r="C64" s="3834"/>
      <c r="D64" s="2266">
        <f>SUM(M64:R64)</f>
        <v>0</v>
      </c>
      <c r="E64" s="1710"/>
      <c r="F64" s="1710"/>
      <c r="G64" s="1710"/>
      <c r="H64" s="1713"/>
      <c r="I64" s="1713"/>
      <c r="J64" s="2266"/>
      <c r="K64" s="2266"/>
      <c r="L64" s="2266"/>
      <c r="M64" s="1710">
        <f>+L64+K64+J64+I64+E64</f>
        <v>0</v>
      </c>
      <c r="N64" s="1710"/>
      <c r="O64" s="2266">
        <v>0</v>
      </c>
      <c r="P64" s="2266"/>
      <c r="Q64" s="2266"/>
      <c r="R64" s="2266"/>
      <c r="S64" s="2266"/>
      <c r="T64" s="2266"/>
      <c r="U64" s="2266"/>
      <c r="V64" s="2266"/>
      <c r="W64" s="2266"/>
      <c r="X64" s="3796"/>
      <c r="Y64" s="3824"/>
      <c r="Z64" s="1060"/>
    </row>
    <row r="65" spans="1:29" ht="13.9" customHeight="1">
      <c r="A65" s="3827"/>
      <c r="B65" s="2262" t="s">
        <v>29</v>
      </c>
      <c r="C65" s="3834"/>
      <c r="D65" s="2268">
        <f t="shared" ref="D65:W65" si="46">+D66</f>
        <v>1223980</v>
      </c>
      <c r="E65" s="2268">
        <f t="shared" si="46"/>
        <v>0</v>
      </c>
      <c r="F65" s="2268">
        <f t="shared" si="46"/>
        <v>0</v>
      </c>
      <c r="G65" s="2268">
        <f t="shared" si="46"/>
        <v>0</v>
      </c>
      <c r="H65" s="2268">
        <f t="shared" si="46"/>
        <v>0</v>
      </c>
      <c r="I65" s="2268">
        <f t="shared" si="46"/>
        <v>0</v>
      </c>
      <c r="J65" s="2268">
        <f t="shared" si="46"/>
        <v>0</v>
      </c>
      <c r="K65" s="2268">
        <f t="shared" si="46"/>
        <v>0</v>
      </c>
      <c r="L65" s="2268">
        <f t="shared" si="46"/>
        <v>0</v>
      </c>
      <c r="M65" s="2268">
        <f t="shared" si="46"/>
        <v>0</v>
      </c>
      <c r="N65" s="2268">
        <f t="shared" si="46"/>
        <v>0</v>
      </c>
      <c r="O65" s="2268">
        <f t="shared" si="46"/>
        <v>0</v>
      </c>
      <c r="P65" s="2268">
        <f t="shared" si="46"/>
        <v>401200</v>
      </c>
      <c r="Q65" s="2268">
        <f t="shared" si="46"/>
        <v>822780</v>
      </c>
      <c r="R65" s="2268">
        <f t="shared" si="46"/>
        <v>0</v>
      </c>
      <c r="S65" s="2268">
        <f t="shared" si="46"/>
        <v>0</v>
      </c>
      <c r="T65" s="2268">
        <f t="shared" si="46"/>
        <v>0</v>
      </c>
      <c r="U65" s="2268">
        <f t="shared" si="46"/>
        <v>0</v>
      </c>
      <c r="V65" s="2268">
        <f t="shared" si="46"/>
        <v>0</v>
      </c>
      <c r="W65" s="2268">
        <f t="shared" si="46"/>
        <v>0</v>
      </c>
      <c r="X65" s="3796"/>
      <c r="Y65" s="3824"/>
      <c r="Z65" s="1060"/>
    </row>
    <row r="66" spans="1:29" ht="13.5" customHeight="1" thickBot="1">
      <c r="A66" s="3828"/>
      <c r="B66" s="1308" t="s">
        <v>32</v>
      </c>
      <c r="C66" s="3835"/>
      <c r="D66" s="2218">
        <f>M66+P66+Q66+R66+S66+T66+U66+V66+W66</f>
        <v>1223980</v>
      </c>
      <c r="E66" s="963"/>
      <c r="F66" s="963"/>
      <c r="G66" s="964"/>
      <c r="H66" s="964"/>
      <c r="I66" s="964"/>
      <c r="J66" s="963"/>
      <c r="K66" s="963"/>
      <c r="L66" s="963"/>
      <c r="M66" s="2219">
        <f>+E66+I66+J66+K66+L66+N66+O66</f>
        <v>0</v>
      </c>
      <c r="N66" s="963"/>
      <c r="O66" s="963">
        <v>0</v>
      </c>
      <c r="P66" s="963">
        <f>585389-184189</f>
        <v>401200</v>
      </c>
      <c r="Q66" s="963">
        <f>638591+184189</f>
        <v>822780</v>
      </c>
      <c r="R66" s="963">
        <v>0</v>
      </c>
      <c r="S66" s="963">
        <v>0</v>
      </c>
      <c r="T66" s="963">
        <v>0</v>
      </c>
      <c r="U66" s="963">
        <v>0</v>
      </c>
      <c r="V66" s="963">
        <v>0</v>
      </c>
      <c r="W66" s="963">
        <v>0</v>
      </c>
      <c r="X66" s="3797"/>
      <c r="Y66" s="3830"/>
      <c r="Z66" s="1060"/>
    </row>
    <row r="67" spans="1:29" hidden="1">
      <c r="A67" s="3787"/>
      <c r="B67" s="956"/>
      <c r="C67" s="957" t="s">
        <v>125</v>
      </c>
      <c r="D67" s="106"/>
      <c r="E67" s="106"/>
      <c r="F67" s="106"/>
      <c r="G67" s="106"/>
      <c r="H67" s="106"/>
      <c r="I67" s="107"/>
      <c r="J67" s="107"/>
      <c r="K67" s="107"/>
      <c r="L67" s="107"/>
      <c r="M67" s="107"/>
      <c r="N67" s="107"/>
      <c r="O67" s="107"/>
      <c r="P67" s="107"/>
      <c r="Q67" s="107"/>
      <c r="R67" s="107"/>
      <c r="S67" s="107"/>
      <c r="T67" s="107"/>
      <c r="U67" s="107"/>
      <c r="V67" s="107"/>
      <c r="W67" s="107"/>
      <c r="X67" s="959"/>
      <c r="Y67" s="3790" t="s">
        <v>144</v>
      </c>
      <c r="Z67" s="1061"/>
    </row>
    <row r="68" spans="1:29" ht="13.5" hidden="1" customHeight="1">
      <c r="A68" s="3788"/>
      <c r="B68" s="2259" t="s">
        <v>21</v>
      </c>
      <c r="C68" s="2260"/>
      <c r="D68" s="1551">
        <f t="shared" ref="D68:P68" si="47">+D69+D72</f>
        <v>0</v>
      </c>
      <c r="E68" s="1551">
        <f t="shared" si="47"/>
        <v>0</v>
      </c>
      <c r="F68" s="1551">
        <f t="shared" si="47"/>
        <v>0</v>
      </c>
      <c r="G68" s="1551">
        <f t="shared" si="47"/>
        <v>0</v>
      </c>
      <c r="H68" s="1551">
        <f t="shared" si="47"/>
        <v>0</v>
      </c>
      <c r="I68" s="1551">
        <f t="shared" si="47"/>
        <v>0</v>
      </c>
      <c r="J68" s="1551">
        <f t="shared" si="47"/>
        <v>0</v>
      </c>
      <c r="K68" s="1551">
        <f t="shared" si="47"/>
        <v>0</v>
      </c>
      <c r="L68" s="1551">
        <f t="shared" si="47"/>
        <v>0</v>
      </c>
      <c r="M68" s="1551">
        <f>+M69+M72</f>
        <v>0</v>
      </c>
      <c r="N68" s="1551">
        <f t="shared" si="47"/>
        <v>0</v>
      </c>
      <c r="O68" s="1551">
        <f t="shared" si="47"/>
        <v>0</v>
      </c>
      <c r="P68" s="1551">
        <f t="shared" si="47"/>
        <v>0</v>
      </c>
      <c r="Q68" s="1551"/>
      <c r="R68" s="1551"/>
      <c r="S68" s="1551"/>
      <c r="T68" s="1551"/>
      <c r="U68" s="1551"/>
      <c r="V68" s="1551"/>
      <c r="W68" s="1551"/>
      <c r="X68" s="2261">
        <f>+X69+X72</f>
        <v>0</v>
      </c>
      <c r="Y68" s="3791"/>
      <c r="Z68" s="1061">
        <f>+O68+P68+Q68+R68</f>
        <v>0</v>
      </c>
      <c r="AA68" s="628"/>
    </row>
    <row r="69" spans="1:29" ht="13.5" hidden="1" customHeight="1">
      <c r="A69" s="3788"/>
      <c r="B69" s="2262" t="s">
        <v>35</v>
      </c>
      <c r="C69" s="3794" t="s">
        <v>309</v>
      </c>
      <c r="D69" s="1763">
        <f t="shared" ref="D69:P69" si="48">+D70+D71</f>
        <v>0</v>
      </c>
      <c r="E69" s="1763">
        <f t="shared" si="48"/>
        <v>0</v>
      </c>
      <c r="F69" s="1763">
        <f t="shared" si="48"/>
        <v>0</v>
      </c>
      <c r="G69" s="1763">
        <f t="shared" si="48"/>
        <v>0</v>
      </c>
      <c r="H69" s="1763">
        <f t="shared" si="48"/>
        <v>0</v>
      </c>
      <c r="I69" s="1763">
        <f t="shared" si="48"/>
        <v>0</v>
      </c>
      <c r="J69" s="1763">
        <f t="shared" si="48"/>
        <v>0</v>
      </c>
      <c r="K69" s="1763">
        <f t="shared" si="48"/>
        <v>0</v>
      </c>
      <c r="L69" s="1763">
        <f t="shared" si="48"/>
        <v>0</v>
      </c>
      <c r="M69" s="1763">
        <f>+M70+M71</f>
        <v>0</v>
      </c>
      <c r="N69" s="1763">
        <f t="shared" si="48"/>
        <v>0</v>
      </c>
      <c r="O69" s="1763">
        <f t="shared" si="48"/>
        <v>0</v>
      </c>
      <c r="P69" s="1763">
        <f t="shared" si="48"/>
        <v>0</v>
      </c>
      <c r="Q69" s="1763"/>
      <c r="R69" s="1763"/>
      <c r="S69" s="1763"/>
      <c r="T69" s="1763"/>
      <c r="U69" s="1763"/>
      <c r="V69" s="1763"/>
      <c r="W69" s="1763"/>
      <c r="X69" s="1751">
        <f>+X70+X71</f>
        <v>0</v>
      </c>
      <c r="Y69" s="3791"/>
      <c r="Z69" s="1060"/>
    </row>
    <row r="70" spans="1:29" ht="13.5" hidden="1" customHeight="1">
      <c r="A70" s="3788"/>
      <c r="B70" s="2263" t="s">
        <v>23</v>
      </c>
      <c r="C70" s="3795"/>
      <c r="D70" s="2266">
        <f>SUM(M70:R70)</f>
        <v>0</v>
      </c>
      <c r="E70" s="1710">
        <f>+F70+G70+H70</f>
        <v>0</v>
      </c>
      <c r="F70" s="1710">
        <v>0</v>
      </c>
      <c r="G70" s="1710"/>
      <c r="H70" s="1713"/>
      <c r="I70" s="1713"/>
      <c r="J70" s="1713"/>
      <c r="K70" s="1710"/>
      <c r="L70" s="1710"/>
      <c r="M70" s="1710">
        <f>+L70+K70+J70+I70+E70</f>
        <v>0</v>
      </c>
      <c r="N70" s="1710"/>
      <c r="O70" s="1710">
        <v>0</v>
      </c>
      <c r="P70" s="1710">
        <v>0</v>
      </c>
      <c r="Q70" s="1710"/>
      <c r="R70" s="1710"/>
      <c r="S70" s="1710"/>
      <c r="T70" s="1710"/>
      <c r="U70" s="1710"/>
      <c r="V70" s="1710"/>
      <c r="W70" s="1710"/>
      <c r="X70" s="2265">
        <f>SUM(P70:W70)</f>
        <v>0</v>
      </c>
      <c r="Y70" s="3791"/>
      <c r="Z70" s="1060"/>
    </row>
    <row r="71" spans="1:29" ht="13.5" hidden="1" customHeight="1">
      <c r="A71" s="3788"/>
      <c r="B71" s="2263" t="s">
        <v>24</v>
      </c>
      <c r="C71" s="3795"/>
      <c r="D71" s="2266">
        <f>SUM(M71:R71)</f>
        <v>0</v>
      </c>
      <c r="E71" s="1710">
        <f>+F71+G71+H71</f>
        <v>0</v>
      </c>
      <c r="F71" s="1710"/>
      <c r="G71" s="1710"/>
      <c r="H71" s="1713"/>
      <c r="I71" s="1713"/>
      <c r="J71" s="1713"/>
      <c r="K71" s="1710"/>
      <c r="L71" s="1710"/>
      <c r="M71" s="1710">
        <f>+L71+K71+J71+I71+E71</f>
        <v>0</v>
      </c>
      <c r="N71" s="1710"/>
      <c r="O71" s="1710">
        <v>0</v>
      </c>
      <c r="P71" s="1710">
        <v>0</v>
      </c>
      <c r="Q71" s="1710"/>
      <c r="R71" s="1710"/>
      <c r="S71" s="1710"/>
      <c r="T71" s="1710"/>
      <c r="U71" s="1710"/>
      <c r="V71" s="1710"/>
      <c r="W71" s="1710"/>
      <c r="X71" s="2265">
        <f>SUM(P71:W71)</f>
        <v>0</v>
      </c>
      <c r="Y71" s="3791"/>
      <c r="Z71" s="1060"/>
    </row>
    <row r="72" spans="1:29" ht="12.75" hidden="1" customHeight="1">
      <c r="A72" s="3788"/>
      <c r="B72" s="2267" t="s">
        <v>29</v>
      </c>
      <c r="C72" s="3795"/>
      <c r="D72" s="2268">
        <f>+D73</f>
        <v>0</v>
      </c>
      <c r="E72" s="2268">
        <f t="shared" ref="E72:X72" si="49">+E73</f>
        <v>0</v>
      </c>
      <c r="F72" s="2268">
        <f t="shared" si="49"/>
        <v>0</v>
      </c>
      <c r="G72" s="2268">
        <f t="shared" si="49"/>
        <v>0</v>
      </c>
      <c r="H72" s="2268">
        <f t="shared" si="49"/>
        <v>0</v>
      </c>
      <c r="I72" s="2268">
        <f t="shared" si="49"/>
        <v>0</v>
      </c>
      <c r="J72" s="2268">
        <f t="shared" si="49"/>
        <v>0</v>
      </c>
      <c r="K72" s="2268">
        <f t="shared" si="49"/>
        <v>0</v>
      </c>
      <c r="L72" s="2268">
        <f t="shared" si="49"/>
        <v>0</v>
      </c>
      <c r="M72" s="2268">
        <f t="shared" si="49"/>
        <v>0</v>
      </c>
      <c r="N72" s="2268">
        <f t="shared" si="49"/>
        <v>0</v>
      </c>
      <c r="O72" s="2268">
        <f t="shared" si="49"/>
        <v>0</v>
      </c>
      <c r="P72" s="2268">
        <f t="shared" si="49"/>
        <v>0</v>
      </c>
      <c r="Q72" s="2268"/>
      <c r="R72" s="2268"/>
      <c r="S72" s="2268"/>
      <c r="T72" s="2268"/>
      <c r="U72" s="2268"/>
      <c r="V72" s="2268"/>
      <c r="W72" s="2268"/>
      <c r="X72" s="2269">
        <f t="shared" si="49"/>
        <v>0</v>
      </c>
      <c r="Y72" s="3791"/>
      <c r="Z72" s="1060"/>
    </row>
    <row r="73" spans="1:29" ht="13.5" hidden="1" customHeight="1">
      <c r="A73" s="3788"/>
      <c r="B73" s="2263" t="s">
        <v>32</v>
      </c>
      <c r="C73" s="3795"/>
      <c r="D73" s="2266">
        <f>SUM(M73:R73)</f>
        <v>0</v>
      </c>
      <c r="E73" s="1710">
        <f>+F73+G73+H73</f>
        <v>0</v>
      </c>
      <c r="F73" s="1710"/>
      <c r="G73" s="1710"/>
      <c r="H73" s="1713"/>
      <c r="I73" s="1713"/>
      <c r="J73" s="1713"/>
      <c r="K73" s="1710"/>
      <c r="L73" s="1710"/>
      <c r="M73" s="1710">
        <f>+L73+K73+J73+I73+E73</f>
        <v>0</v>
      </c>
      <c r="N73" s="1710"/>
      <c r="O73" s="1710">
        <v>0</v>
      </c>
      <c r="P73" s="1710">
        <v>0</v>
      </c>
      <c r="Q73" s="1710"/>
      <c r="R73" s="1710"/>
      <c r="S73" s="1710"/>
      <c r="T73" s="1710"/>
      <c r="U73" s="1710"/>
      <c r="V73" s="1710"/>
      <c r="W73" s="1710"/>
      <c r="X73" s="2265">
        <f>SUM(P73:W73)</f>
        <v>0</v>
      </c>
      <c r="Y73" s="3791"/>
      <c r="Z73" s="1060"/>
    </row>
    <row r="74" spans="1:29" ht="13.5" hidden="1" customHeight="1">
      <c r="A74" s="3823"/>
      <c r="B74" s="2259" t="s">
        <v>33</v>
      </c>
      <c r="C74" s="2260"/>
      <c r="D74" s="2270">
        <f t="shared" ref="D74:L74" si="50">+D75+D77</f>
        <v>0</v>
      </c>
      <c r="E74" s="2270">
        <f t="shared" si="50"/>
        <v>0</v>
      </c>
      <c r="F74" s="2270">
        <f t="shared" si="50"/>
        <v>0</v>
      </c>
      <c r="G74" s="2270">
        <f t="shared" si="50"/>
        <v>0</v>
      </c>
      <c r="H74" s="2270">
        <f t="shared" si="50"/>
        <v>0</v>
      </c>
      <c r="I74" s="2270">
        <f t="shared" si="50"/>
        <v>0</v>
      </c>
      <c r="J74" s="2270">
        <f t="shared" si="50"/>
        <v>0</v>
      </c>
      <c r="K74" s="2270">
        <f t="shared" si="50"/>
        <v>0</v>
      </c>
      <c r="L74" s="2270">
        <f t="shared" si="50"/>
        <v>0</v>
      </c>
      <c r="M74" s="2270">
        <f>+M75+M77</f>
        <v>0</v>
      </c>
      <c r="N74" s="2270">
        <f>+N75+N77</f>
        <v>0</v>
      </c>
      <c r="O74" s="2270">
        <f>+O75+O77</f>
        <v>0</v>
      </c>
      <c r="P74" s="2270">
        <f>+P75+P77</f>
        <v>0</v>
      </c>
      <c r="Q74" s="2270"/>
      <c r="R74" s="2270"/>
      <c r="S74" s="2270"/>
      <c r="T74" s="2270"/>
      <c r="U74" s="2270"/>
      <c r="V74" s="2270"/>
      <c r="W74" s="2270"/>
      <c r="X74" s="3796" t="s">
        <v>75</v>
      </c>
      <c r="Y74" s="3824"/>
      <c r="Z74" s="1060"/>
    </row>
    <row r="75" spans="1:29" ht="13.5" hidden="1" customHeight="1">
      <c r="A75" s="3823"/>
      <c r="B75" s="2262" t="s">
        <v>35</v>
      </c>
      <c r="C75" s="3798" t="s">
        <v>309</v>
      </c>
      <c r="D75" s="2268">
        <f t="shared" ref="D75:P75" si="51">+D76</f>
        <v>0</v>
      </c>
      <c r="E75" s="2268">
        <f t="shared" si="51"/>
        <v>0</v>
      </c>
      <c r="F75" s="2268">
        <f t="shared" si="51"/>
        <v>0</v>
      </c>
      <c r="G75" s="2268">
        <f t="shared" si="51"/>
        <v>0</v>
      </c>
      <c r="H75" s="2268">
        <f t="shared" si="51"/>
        <v>0</v>
      </c>
      <c r="I75" s="2268">
        <f t="shared" si="51"/>
        <v>0</v>
      </c>
      <c r="J75" s="2268">
        <f t="shared" si="51"/>
        <v>0</v>
      </c>
      <c r="K75" s="2268">
        <f t="shared" si="51"/>
        <v>0</v>
      </c>
      <c r="L75" s="2268">
        <f t="shared" si="51"/>
        <v>0</v>
      </c>
      <c r="M75" s="2268">
        <f t="shared" si="51"/>
        <v>0</v>
      </c>
      <c r="N75" s="2268">
        <f t="shared" si="51"/>
        <v>0</v>
      </c>
      <c r="O75" s="2268">
        <f t="shared" si="51"/>
        <v>0</v>
      </c>
      <c r="P75" s="2268">
        <f t="shared" si="51"/>
        <v>0</v>
      </c>
      <c r="Q75" s="2268"/>
      <c r="R75" s="2268"/>
      <c r="S75" s="2268"/>
      <c r="T75" s="2268"/>
      <c r="U75" s="2268"/>
      <c r="V75" s="2268"/>
      <c r="W75" s="2268"/>
      <c r="X75" s="3796"/>
      <c r="Y75" s="3824"/>
      <c r="Z75" s="1060"/>
    </row>
    <row r="76" spans="1:29" ht="13.5" hidden="1" customHeight="1">
      <c r="A76" s="3823"/>
      <c r="B76" s="2263" t="s">
        <v>24</v>
      </c>
      <c r="C76" s="3795"/>
      <c r="D76" s="2266">
        <f>SUM(M76:R76)</f>
        <v>0</v>
      </c>
      <c r="E76" s="1710">
        <f>+F76+G76+H76</f>
        <v>0</v>
      </c>
      <c r="F76" s="2266"/>
      <c r="G76" s="2266"/>
      <c r="H76" s="2266"/>
      <c r="I76" s="2266"/>
      <c r="J76" s="2266"/>
      <c r="K76" s="2266"/>
      <c r="L76" s="2266"/>
      <c r="M76" s="1710">
        <f>+L76+K76+J76+I76+E76</f>
        <v>0</v>
      </c>
      <c r="N76" s="2266"/>
      <c r="O76" s="2266">
        <v>0</v>
      </c>
      <c r="P76" s="2266">
        <v>0</v>
      </c>
      <c r="Q76" s="2266"/>
      <c r="R76" s="2266"/>
      <c r="S76" s="2266"/>
      <c r="T76" s="2266"/>
      <c r="U76" s="2266"/>
      <c r="V76" s="2266"/>
      <c r="W76" s="2266"/>
      <c r="X76" s="3796"/>
      <c r="Y76" s="3824"/>
      <c r="Z76" s="1060"/>
    </row>
    <row r="77" spans="1:29" ht="12" hidden="1" customHeight="1">
      <c r="A77" s="3823"/>
      <c r="B77" s="2267" t="s">
        <v>29</v>
      </c>
      <c r="C77" s="3799"/>
      <c r="D77" s="2268">
        <f t="shared" ref="D77:P77" si="52">+D78</f>
        <v>0</v>
      </c>
      <c r="E77" s="2268">
        <f t="shared" si="52"/>
        <v>0</v>
      </c>
      <c r="F77" s="2268">
        <f t="shared" si="52"/>
        <v>0</v>
      </c>
      <c r="G77" s="2268">
        <f t="shared" si="52"/>
        <v>0</v>
      </c>
      <c r="H77" s="2268">
        <f t="shared" si="52"/>
        <v>0</v>
      </c>
      <c r="I77" s="2268">
        <f t="shared" si="52"/>
        <v>0</v>
      </c>
      <c r="J77" s="2268">
        <f t="shared" si="52"/>
        <v>0</v>
      </c>
      <c r="K77" s="2268">
        <f t="shared" si="52"/>
        <v>0</v>
      </c>
      <c r="L77" s="2268">
        <f t="shared" si="52"/>
        <v>0</v>
      </c>
      <c r="M77" s="2268">
        <f t="shared" si="52"/>
        <v>0</v>
      </c>
      <c r="N77" s="2268">
        <f t="shared" si="52"/>
        <v>0</v>
      </c>
      <c r="O77" s="2268">
        <f t="shared" si="52"/>
        <v>0</v>
      </c>
      <c r="P77" s="2268">
        <f t="shared" si="52"/>
        <v>0</v>
      </c>
      <c r="Q77" s="2268"/>
      <c r="R77" s="2268"/>
      <c r="S77" s="2268"/>
      <c r="T77" s="2268"/>
      <c r="U77" s="2268"/>
      <c r="V77" s="2268"/>
      <c r="W77" s="2268"/>
      <c r="X77" s="3796"/>
      <c r="Y77" s="3824"/>
      <c r="Z77" s="1060"/>
    </row>
    <row r="78" spans="1:29" ht="13.5" hidden="1" customHeight="1">
      <c r="A78" s="3823"/>
      <c r="B78" s="2333" t="s">
        <v>32</v>
      </c>
      <c r="C78" s="3799"/>
      <c r="D78" s="2266">
        <f>SUM(M78:R78)</f>
        <v>0</v>
      </c>
      <c r="E78" s="1710">
        <f>+F78+G78+H78</f>
        <v>0</v>
      </c>
      <c r="F78" s="1710"/>
      <c r="G78" s="1710"/>
      <c r="H78" s="1710"/>
      <c r="I78" s="1710"/>
      <c r="J78" s="1710"/>
      <c r="K78" s="1710"/>
      <c r="L78" s="1710"/>
      <c r="M78" s="1710">
        <f>+L78+K78+J78+I78+E78</f>
        <v>0</v>
      </c>
      <c r="N78" s="1710">
        <f>18449-18449</f>
        <v>0</v>
      </c>
      <c r="O78" s="1710">
        <v>0</v>
      </c>
      <c r="P78" s="1710">
        <v>0</v>
      </c>
      <c r="Q78" s="1710"/>
      <c r="R78" s="1710"/>
      <c r="S78" s="1710"/>
      <c r="T78" s="1710"/>
      <c r="U78" s="1710"/>
      <c r="V78" s="1710"/>
      <c r="W78" s="1710"/>
      <c r="X78" s="3796"/>
      <c r="Y78" s="3824"/>
      <c r="Z78" s="1060"/>
    </row>
    <row r="79" spans="1:29" ht="26.25" hidden="1" customHeight="1">
      <c r="A79" s="3788" t="s">
        <v>79</v>
      </c>
      <c r="B79" s="2255"/>
      <c r="C79" s="2256" t="s">
        <v>125</v>
      </c>
      <c r="D79" s="1740"/>
      <c r="E79" s="1740"/>
      <c r="F79" s="1740"/>
      <c r="G79" s="1740"/>
      <c r="H79" s="1740"/>
      <c r="I79" s="2257"/>
      <c r="J79" s="2257"/>
      <c r="K79" s="2257"/>
      <c r="L79" s="2257"/>
      <c r="M79" s="2257"/>
      <c r="N79" s="2257"/>
      <c r="O79" s="2257"/>
      <c r="P79" s="2257"/>
      <c r="Q79" s="2257"/>
      <c r="R79" s="2257"/>
      <c r="S79" s="2257"/>
      <c r="T79" s="2257"/>
      <c r="U79" s="2257"/>
      <c r="V79" s="2257"/>
      <c r="W79" s="2257"/>
      <c r="X79" s="2258"/>
      <c r="Y79" s="3791" t="s">
        <v>144</v>
      </c>
      <c r="Z79" s="1060"/>
      <c r="AC79" s="636"/>
    </row>
    <row r="80" spans="1:29" ht="13.5" hidden="1" customHeight="1">
      <c r="A80" s="3788"/>
      <c r="B80" s="2259" t="s">
        <v>21</v>
      </c>
      <c r="C80" s="2260"/>
      <c r="D80" s="1551">
        <f t="shared" ref="D80:P80" si="53">+D81+D84</f>
        <v>0</v>
      </c>
      <c r="E80" s="1551">
        <f t="shared" si="53"/>
        <v>0</v>
      </c>
      <c r="F80" s="1551">
        <f t="shared" si="53"/>
        <v>0</v>
      </c>
      <c r="G80" s="1551">
        <f t="shared" si="53"/>
        <v>0</v>
      </c>
      <c r="H80" s="1551">
        <f t="shared" si="53"/>
        <v>0</v>
      </c>
      <c r="I80" s="1551">
        <f t="shared" si="53"/>
        <v>0</v>
      </c>
      <c r="J80" s="1551">
        <f t="shared" si="53"/>
        <v>0</v>
      </c>
      <c r="K80" s="1551">
        <f t="shared" si="53"/>
        <v>0</v>
      </c>
      <c r="L80" s="1551">
        <f t="shared" si="53"/>
        <v>0</v>
      </c>
      <c r="M80" s="1551">
        <f>+M81+M84</f>
        <v>0</v>
      </c>
      <c r="N80" s="1551">
        <f t="shared" si="53"/>
        <v>0</v>
      </c>
      <c r="O80" s="1551">
        <f t="shared" si="53"/>
        <v>0</v>
      </c>
      <c r="P80" s="1551">
        <f t="shared" si="53"/>
        <v>0</v>
      </c>
      <c r="Q80" s="1551"/>
      <c r="R80" s="1551"/>
      <c r="S80" s="1551"/>
      <c r="T80" s="1551"/>
      <c r="U80" s="1551"/>
      <c r="V80" s="1551"/>
      <c r="W80" s="1551"/>
      <c r="X80" s="2261">
        <f>+X81+X84</f>
        <v>0</v>
      </c>
      <c r="Y80" s="3791"/>
      <c r="Z80" s="1061">
        <f>+O80+P80+Q80+R80</f>
        <v>0</v>
      </c>
      <c r="AA80" s="628"/>
      <c r="AB80" s="628"/>
      <c r="AC80" s="628"/>
    </row>
    <row r="81" spans="1:26" ht="13.5" hidden="1" customHeight="1">
      <c r="A81" s="3788"/>
      <c r="B81" s="2262" t="s">
        <v>35</v>
      </c>
      <c r="C81" s="3794" t="s">
        <v>309</v>
      </c>
      <c r="D81" s="1763">
        <f t="shared" ref="D81:P81" si="54">+D82+D83</f>
        <v>0</v>
      </c>
      <c r="E81" s="1763">
        <f t="shared" si="54"/>
        <v>0</v>
      </c>
      <c r="F81" s="1763">
        <f t="shared" si="54"/>
        <v>0</v>
      </c>
      <c r="G81" s="1763">
        <f t="shared" si="54"/>
        <v>0</v>
      </c>
      <c r="H81" s="1763">
        <f t="shared" si="54"/>
        <v>0</v>
      </c>
      <c r="I81" s="1763">
        <f t="shared" si="54"/>
        <v>0</v>
      </c>
      <c r="J81" s="1763">
        <f t="shared" si="54"/>
        <v>0</v>
      </c>
      <c r="K81" s="1763">
        <f t="shared" si="54"/>
        <v>0</v>
      </c>
      <c r="L81" s="1763">
        <f t="shared" si="54"/>
        <v>0</v>
      </c>
      <c r="M81" s="1763">
        <f>+M82+M83</f>
        <v>0</v>
      </c>
      <c r="N81" s="1763">
        <f t="shared" si="54"/>
        <v>0</v>
      </c>
      <c r="O81" s="1763">
        <f t="shared" si="54"/>
        <v>0</v>
      </c>
      <c r="P81" s="1763">
        <f t="shared" si="54"/>
        <v>0</v>
      </c>
      <c r="Q81" s="1763"/>
      <c r="R81" s="1763"/>
      <c r="S81" s="1763"/>
      <c r="T81" s="1763"/>
      <c r="U81" s="1763"/>
      <c r="V81" s="1763"/>
      <c r="W81" s="1763"/>
      <c r="X81" s="1751">
        <f>+X82+X83</f>
        <v>0</v>
      </c>
      <c r="Y81" s="3791"/>
      <c r="Z81" s="1060"/>
    </row>
    <row r="82" spans="1:26" ht="13.5" hidden="1" customHeight="1">
      <c r="A82" s="3788"/>
      <c r="B82" s="2263" t="s">
        <v>23</v>
      </c>
      <c r="C82" s="3795"/>
      <c r="D82" s="2266">
        <f>M82+O82+P82+Q82+R82+S82+T82+U82+V82+W82</f>
        <v>0</v>
      </c>
      <c r="E82" s="1710"/>
      <c r="F82" s="1710"/>
      <c r="G82" s="1710"/>
      <c r="H82" s="1713"/>
      <c r="I82" s="1713"/>
      <c r="J82" s="1713"/>
      <c r="K82" s="1710"/>
      <c r="L82" s="1710"/>
      <c r="M82" s="1710"/>
      <c r="N82" s="1710"/>
      <c r="O82" s="1710"/>
      <c r="P82" s="1710">
        <v>0</v>
      </c>
      <c r="Q82" s="1710"/>
      <c r="R82" s="1710"/>
      <c r="S82" s="1710"/>
      <c r="T82" s="1710"/>
      <c r="U82" s="1710"/>
      <c r="V82" s="1710"/>
      <c r="W82" s="1710"/>
      <c r="X82" s="2265">
        <f>SUM(P82:T82)</f>
        <v>0</v>
      </c>
      <c r="Y82" s="3791"/>
      <c r="Z82" s="1060"/>
    </row>
    <row r="83" spans="1:26" ht="12" hidden="1" customHeight="1">
      <c r="A83" s="3788"/>
      <c r="B83" s="2263" t="s">
        <v>24</v>
      </c>
      <c r="C83" s="3795"/>
      <c r="D83" s="2266">
        <f>M83+O83+P83+Q83+R83+S83+T83+U83+V83+W83</f>
        <v>0</v>
      </c>
      <c r="E83" s="1710"/>
      <c r="F83" s="1710"/>
      <c r="G83" s="1710"/>
      <c r="H83" s="1713"/>
      <c r="I83" s="1713"/>
      <c r="J83" s="1713"/>
      <c r="K83" s="1710"/>
      <c r="L83" s="1710"/>
      <c r="M83" s="1710"/>
      <c r="N83" s="1710"/>
      <c r="O83" s="1710"/>
      <c r="P83" s="1710">
        <v>0</v>
      </c>
      <c r="Q83" s="1710"/>
      <c r="R83" s="1710"/>
      <c r="S83" s="1710"/>
      <c r="T83" s="1710"/>
      <c r="U83" s="1710"/>
      <c r="V83" s="1710"/>
      <c r="W83" s="1710"/>
      <c r="X83" s="2265">
        <f>SUM(P83:T83)</f>
        <v>0</v>
      </c>
      <c r="Y83" s="3791"/>
      <c r="Z83" s="1060"/>
    </row>
    <row r="84" spans="1:26" ht="13.5" hidden="1" customHeight="1">
      <c r="A84" s="3788"/>
      <c r="B84" s="2267" t="s">
        <v>29</v>
      </c>
      <c r="C84" s="3795"/>
      <c r="D84" s="2268">
        <f>+D85</f>
        <v>0</v>
      </c>
      <c r="E84" s="2268">
        <f t="shared" ref="E84:X84" si="55">+E85</f>
        <v>0</v>
      </c>
      <c r="F84" s="2268">
        <f t="shared" si="55"/>
        <v>0</v>
      </c>
      <c r="G84" s="2268">
        <f t="shared" si="55"/>
        <v>0</v>
      </c>
      <c r="H84" s="2268">
        <f t="shared" si="55"/>
        <v>0</v>
      </c>
      <c r="I84" s="2268">
        <f t="shared" si="55"/>
        <v>0</v>
      </c>
      <c r="J84" s="2268">
        <f t="shared" si="55"/>
        <v>0</v>
      </c>
      <c r="K84" s="2268">
        <f t="shared" si="55"/>
        <v>0</v>
      </c>
      <c r="L84" s="2268">
        <f t="shared" si="55"/>
        <v>0</v>
      </c>
      <c r="M84" s="2268">
        <f t="shared" si="55"/>
        <v>0</v>
      </c>
      <c r="N84" s="2268">
        <f t="shared" si="55"/>
        <v>0</v>
      </c>
      <c r="O84" s="2268">
        <f t="shared" si="55"/>
        <v>0</v>
      </c>
      <c r="P84" s="2268">
        <f t="shared" si="55"/>
        <v>0</v>
      </c>
      <c r="Q84" s="2268"/>
      <c r="R84" s="2268"/>
      <c r="S84" s="2268"/>
      <c r="T84" s="2268"/>
      <c r="U84" s="2268"/>
      <c r="V84" s="2268"/>
      <c r="W84" s="2268"/>
      <c r="X84" s="2269">
        <f t="shared" si="55"/>
        <v>0</v>
      </c>
      <c r="Y84" s="3791"/>
      <c r="Z84" s="1060"/>
    </row>
    <row r="85" spans="1:26" ht="12.75" hidden="1" customHeight="1">
      <c r="A85" s="3788"/>
      <c r="B85" s="2263" t="s">
        <v>32</v>
      </c>
      <c r="C85" s="3795"/>
      <c r="D85" s="2266">
        <f>M85+O85+P85+Q85+R85+S85+T85+U85+V85+W85</f>
        <v>0</v>
      </c>
      <c r="E85" s="1710"/>
      <c r="F85" s="1710"/>
      <c r="G85" s="1710"/>
      <c r="H85" s="1713"/>
      <c r="I85" s="1713"/>
      <c r="J85" s="1713"/>
      <c r="K85" s="1710"/>
      <c r="L85" s="1710"/>
      <c r="M85" s="1710"/>
      <c r="N85" s="1710"/>
      <c r="O85" s="1710"/>
      <c r="P85" s="1710"/>
      <c r="Q85" s="1710"/>
      <c r="R85" s="1710"/>
      <c r="S85" s="1710"/>
      <c r="T85" s="1710"/>
      <c r="U85" s="1710"/>
      <c r="V85" s="1710"/>
      <c r="W85" s="1710"/>
      <c r="X85" s="2265">
        <f>SUM(P85:T85)</f>
        <v>0</v>
      </c>
      <c r="Y85" s="3791"/>
      <c r="Z85" s="1060"/>
    </row>
    <row r="86" spans="1:26" ht="13.5" hidden="1" customHeight="1">
      <c r="A86" s="3823"/>
      <c r="B86" s="2259" t="s">
        <v>33</v>
      </c>
      <c r="C86" s="2260"/>
      <c r="D86" s="2270">
        <f t="shared" ref="D86:L86" si="56">+D87+D89</f>
        <v>0</v>
      </c>
      <c r="E86" s="2270">
        <f t="shared" si="56"/>
        <v>0</v>
      </c>
      <c r="F86" s="2270">
        <f t="shared" si="56"/>
        <v>0</v>
      </c>
      <c r="G86" s="2270">
        <f t="shared" si="56"/>
        <v>0</v>
      </c>
      <c r="H86" s="2270">
        <f t="shared" si="56"/>
        <v>0</v>
      </c>
      <c r="I86" s="2270">
        <f t="shared" si="56"/>
        <v>0</v>
      </c>
      <c r="J86" s="2270">
        <f t="shared" si="56"/>
        <v>0</v>
      </c>
      <c r="K86" s="2270">
        <f t="shared" si="56"/>
        <v>0</v>
      </c>
      <c r="L86" s="2270">
        <f t="shared" si="56"/>
        <v>0</v>
      </c>
      <c r="M86" s="2270">
        <f>+M87+M89</f>
        <v>0</v>
      </c>
      <c r="N86" s="2270">
        <f>+N87+N89</f>
        <v>0</v>
      </c>
      <c r="O86" s="2270">
        <f>+O87+O89</f>
        <v>0</v>
      </c>
      <c r="P86" s="2270">
        <f>+P87+P89</f>
        <v>0</v>
      </c>
      <c r="Q86" s="2270"/>
      <c r="R86" s="2270"/>
      <c r="S86" s="2270"/>
      <c r="T86" s="2270"/>
      <c r="U86" s="2270"/>
      <c r="V86" s="2270"/>
      <c r="W86" s="2270"/>
      <c r="X86" s="3796" t="s">
        <v>75</v>
      </c>
      <c r="Y86" s="3824"/>
      <c r="Z86" s="1060"/>
    </row>
    <row r="87" spans="1:26" ht="13.5" hidden="1" customHeight="1">
      <c r="A87" s="3823"/>
      <c r="B87" s="2262" t="s">
        <v>35</v>
      </c>
      <c r="C87" s="3798" t="s">
        <v>309</v>
      </c>
      <c r="D87" s="2268">
        <f t="shared" ref="D87:P87" si="57">+D88</f>
        <v>0</v>
      </c>
      <c r="E87" s="2268">
        <f t="shared" si="57"/>
        <v>0</v>
      </c>
      <c r="F87" s="2268">
        <f t="shared" si="57"/>
        <v>0</v>
      </c>
      <c r="G87" s="2268">
        <f t="shared" si="57"/>
        <v>0</v>
      </c>
      <c r="H87" s="2268">
        <f t="shared" si="57"/>
        <v>0</v>
      </c>
      <c r="I87" s="2268">
        <f t="shared" si="57"/>
        <v>0</v>
      </c>
      <c r="J87" s="2268">
        <f t="shared" si="57"/>
        <v>0</v>
      </c>
      <c r="K87" s="2268">
        <f t="shared" si="57"/>
        <v>0</v>
      </c>
      <c r="L87" s="2268">
        <f t="shared" si="57"/>
        <v>0</v>
      </c>
      <c r="M87" s="2268">
        <f t="shared" si="57"/>
        <v>0</v>
      </c>
      <c r="N87" s="2268">
        <f t="shared" si="57"/>
        <v>0</v>
      </c>
      <c r="O87" s="2268">
        <f t="shared" si="57"/>
        <v>0</v>
      </c>
      <c r="P87" s="2268">
        <f t="shared" si="57"/>
        <v>0</v>
      </c>
      <c r="Q87" s="2268"/>
      <c r="R87" s="2268"/>
      <c r="S87" s="2268"/>
      <c r="T87" s="2268"/>
      <c r="U87" s="2268"/>
      <c r="V87" s="2268"/>
      <c r="W87" s="2268"/>
      <c r="X87" s="3796"/>
      <c r="Y87" s="3824"/>
      <c r="Z87" s="1060"/>
    </row>
    <row r="88" spans="1:26" ht="13.5" hidden="1" customHeight="1">
      <c r="A88" s="3823"/>
      <c r="B88" s="2263" t="s">
        <v>24</v>
      </c>
      <c r="C88" s="3795"/>
      <c r="D88" s="2266">
        <f>M88+O88+P88+Q88+R88+S88+T88+U88+V88+W88</f>
        <v>0</v>
      </c>
      <c r="E88" s="1710"/>
      <c r="F88" s="2266"/>
      <c r="G88" s="2266"/>
      <c r="H88" s="2266"/>
      <c r="I88" s="2266"/>
      <c r="J88" s="2266"/>
      <c r="K88" s="2266"/>
      <c r="L88" s="2266"/>
      <c r="M88" s="1710"/>
      <c r="N88" s="2266"/>
      <c r="O88" s="2266"/>
      <c r="P88" s="2266"/>
      <c r="Q88" s="2266"/>
      <c r="R88" s="2266"/>
      <c r="S88" s="2266"/>
      <c r="T88" s="2266"/>
      <c r="U88" s="2266"/>
      <c r="V88" s="2266"/>
      <c r="W88" s="2266"/>
      <c r="X88" s="3796"/>
      <c r="Y88" s="3824"/>
      <c r="Z88" s="1060"/>
    </row>
    <row r="89" spans="1:26" ht="12" hidden="1" customHeight="1">
      <c r="A89" s="3823"/>
      <c r="B89" s="2267" t="s">
        <v>29</v>
      </c>
      <c r="C89" s="3799"/>
      <c r="D89" s="2268">
        <f t="shared" ref="D89:P89" si="58">+D90</f>
        <v>0</v>
      </c>
      <c r="E89" s="2268">
        <f t="shared" si="58"/>
        <v>0</v>
      </c>
      <c r="F89" s="2268">
        <f t="shared" si="58"/>
        <v>0</v>
      </c>
      <c r="G89" s="2268">
        <f t="shared" si="58"/>
        <v>0</v>
      </c>
      <c r="H89" s="2268">
        <f t="shared" si="58"/>
        <v>0</v>
      </c>
      <c r="I89" s="2268">
        <f t="shared" si="58"/>
        <v>0</v>
      </c>
      <c r="J89" s="2268">
        <f t="shared" si="58"/>
        <v>0</v>
      </c>
      <c r="K89" s="2268">
        <f t="shared" si="58"/>
        <v>0</v>
      </c>
      <c r="L89" s="2268">
        <f t="shared" si="58"/>
        <v>0</v>
      </c>
      <c r="M89" s="2268">
        <f t="shared" si="58"/>
        <v>0</v>
      </c>
      <c r="N89" s="2268">
        <f t="shared" si="58"/>
        <v>0</v>
      </c>
      <c r="O89" s="2268">
        <f t="shared" si="58"/>
        <v>0</v>
      </c>
      <c r="P89" s="2268">
        <f t="shared" si="58"/>
        <v>0</v>
      </c>
      <c r="Q89" s="2268"/>
      <c r="R89" s="2268"/>
      <c r="S89" s="2268"/>
      <c r="T89" s="2268"/>
      <c r="U89" s="2268"/>
      <c r="V89" s="2268"/>
      <c r="W89" s="2268"/>
      <c r="X89" s="3796"/>
      <c r="Y89" s="3824"/>
      <c r="Z89" s="1060"/>
    </row>
    <row r="90" spans="1:26" ht="13.5" hidden="1" customHeight="1" thickBot="1">
      <c r="A90" s="3842"/>
      <c r="B90" s="961" t="s">
        <v>32</v>
      </c>
      <c r="C90" s="3800"/>
      <c r="D90" s="962">
        <f>M90+O90+P90+Q90+R90+S90+T90+U90+V90+W90</f>
        <v>0</v>
      </c>
      <c r="E90" s="963"/>
      <c r="F90" s="963"/>
      <c r="G90" s="963"/>
      <c r="H90" s="963"/>
      <c r="I90" s="963"/>
      <c r="J90" s="963"/>
      <c r="K90" s="963"/>
      <c r="L90" s="963"/>
      <c r="M90" s="963"/>
      <c r="N90" s="963"/>
      <c r="O90" s="963"/>
      <c r="P90" s="963"/>
      <c r="Q90" s="963"/>
      <c r="R90" s="963"/>
      <c r="S90" s="963"/>
      <c r="T90" s="963"/>
      <c r="U90" s="963"/>
      <c r="V90" s="963"/>
      <c r="W90" s="963"/>
      <c r="X90" s="3797"/>
      <c r="Y90" s="3830"/>
      <c r="Z90" s="1060"/>
    </row>
    <row r="91" spans="1:26" ht="25.5" hidden="1" customHeight="1">
      <c r="A91" s="3787" t="s">
        <v>80</v>
      </c>
      <c r="B91" s="956"/>
      <c r="C91" s="957" t="s">
        <v>125</v>
      </c>
      <c r="D91" s="106"/>
      <c r="E91" s="106"/>
      <c r="F91" s="106"/>
      <c r="G91" s="106"/>
      <c r="H91" s="106"/>
      <c r="I91" s="107"/>
      <c r="J91" s="107"/>
      <c r="K91" s="107"/>
      <c r="L91" s="107"/>
      <c r="M91" s="107"/>
      <c r="N91" s="107"/>
      <c r="O91" s="107"/>
      <c r="P91" s="107"/>
      <c r="Q91" s="107"/>
      <c r="R91" s="107"/>
      <c r="S91" s="107"/>
      <c r="T91" s="107"/>
      <c r="U91" s="107"/>
      <c r="V91" s="107"/>
      <c r="W91" s="107"/>
      <c r="X91" s="959"/>
      <c r="Y91" s="3790" t="s">
        <v>144</v>
      </c>
      <c r="Z91" s="1060"/>
    </row>
    <row r="92" spans="1:26" ht="13.5" hidden="1" customHeight="1">
      <c r="A92" s="3788"/>
      <c r="B92" s="2259" t="s">
        <v>21</v>
      </c>
      <c r="C92" s="2260"/>
      <c r="D92" s="1551">
        <f>+D93+D96</f>
        <v>0</v>
      </c>
      <c r="E92" s="1551"/>
      <c r="F92" s="1551"/>
      <c r="G92" s="1551"/>
      <c r="H92" s="1551"/>
      <c r="I92" s="1551"/>
      <c r="J92" s="1551"/>
      <c r="K92" s="1551"/>
      <c r="L92" s="1551">
        <f t="shared" ref="L92:Q92" si="59">+L93+L96</f>
        <v>0</v>
      </c>
      <c r="M92" s="1551">
        <f t="shared" si="59"/>
        <v>0</v>
      </c>
      <c r="N92" s="1551">
        <f t="shared" si="59"/>
        <v>0</v>
      </c>
      <c r="O92" s="1551">
        <f t="shared" si="59"/>
        <v>0</v>
      </c>
      <c r="P92" s="1551">
        <f t="shared" si="59"/>
        <v>0</v>
      </c>
      <c r="Q92" s="1551">
        <f t="shared" si="59"/>
        <v>0</v>
      </c>
      <c r="R92" s="1551"/>
      <c r="S92" s="1551"/>
      <c r="T92" s="1551"/>
      <c r="U92" s="1551"/>
      <c r="V92" s="1551"/>
      <c r="W92" s="1551"/>
      <c r="X92" s="2261">
        <f>+X93+X96</f>
        <v>0</v>
      </c>
      <c r="Y92" s="3791"/>
      <c r="Z92" s="1061">
        <f>+O92+P92+Q92+R92</f>
        <v>0</v>
      </c>
    </row>
    <row r="93" spans="1:26" ht="13.5" hidden="1" customHeight="1">
      <c r="A93" s="3788"/>
      <c r="B93" s="2262" t="s">
        <v>35</v>
      </c>
      <c r="C93" s="3794" t="s">
        <v>309</v>
      </c>
      <c r="D93" s="1763">
        <f>+D94+D95</f>
        <v>0</v>
      </c>
      <c r="E93" s="1763"/>
      <c r="F93" s="1763"/>
      <c r="G93" s="1763"/>
      <c r="H93" s="1763"/>
      <c r="I93" s="1763"/>
      <c r="J93" s="1763"/>
      <c r="K93" s="1763"/>
      <c r="L93" s="1763">
        <f t="shared" ref="L93:Q93" si="60">+L94+L95</f>
        <v>0</v>
      </c>
      <c r="M93" s="1763">
        <f t="shared" si="60"/>
        <v>0</v>
      </c>
      <c r="N93" s="1763">
        <f t="shared" si="60"/>
        <v>0</v>
      </c>
      <c r="O93" s="1763">
        <f t="shared" si="60"/>
        <v>0</v>
      </c>
      <c r="P93" s="1763">
        <f t="shared" si="60"/>
        <v>0</v>
      </c>
      <c r="Q93" s="1763">
        <f t="shared" si="60"/>
        <v>0</v>
      </c>
      <c r="R93" s="1763"/>
      <c r="S93" s="1763"/>
      <c r="T93" s="1763"/>
      <c r="U93" s="1763"/>
      <c r="V93" s="1763"/>
      <c r="W93" s="1763"/>
      <c r="X93" s="1751">
        <f>+X94+X95</f>
        <v>0</v>
      </c>
      <c r="Y93" s="3791"/>
      <c r="Z93" s="1060"/>
    </row>
    <row r="94" spans="1:26" ht="11.25" hidden="1" customHeight="1">
      <c r="A94" s="3788"/>
      <c r="B94" s="2263" t="s">
        <v>23</v>
      </c>
      <c r="C94" s="3795"/>
      <c r="D94" s="2266">
        <f>M94+O94+P94+Q94+R94+S94+T94+U94+V94+W94</f>
        <v>0</v>
      </c>
      <c r="E94" s="1710"/>
      <c r="F94" s="1710"/>
      <c r="G94" s="1710"/>
      <c r="H94" s="1713"/>
      <c r="I94" s="1713"/>
      <c r="J94" s="1713"/>
      <c r="K94" s="1710"/>
      <c r="L94" s="1710"/>
      <c r="M94" s="1710"/>
      <c r="N94" s="1710"/>
      <c r="O94" s="1710"/>
      <c r="P94" s="1710"/>
      <c r="Q94" s="1710">
        <v>0</v>
      </c>
      <c r="R94" s="1710"/>
      <c r="S94" s="1710"/>
      <c r="T94" s="1710"/>
      <c r="U94" s="1710"/>
      <c r="V94" s="1710"/>
      <c r="W94" s="1710"/>
      <c r="X94" s="2265">
        <f>SUM(P94:T94)</f>
        <v>0</v>
      </c>
      <c r="Y94" s="3791"/>
      <c r="Z94" s="1060"/>
    </row>
    <row r="95" spans="1:26" hidden="1">
      <c r="A95" s="3788"/>
      <c r="B95" s="2263" t="s">
        <v>24</v>
      </c>
      <c r="C95" s="3795"/>
      <c r="D95" s="2266">
        <f>M95+O95+P95+Q95+R95+S95+T95+U95+V95+W95</f>
        <v>0</v>
      </c>
      <c r="E95" s="1710"/>
      <c r="F95" s="1710"/>
      <c r="G95" s="1710"/>
      <c r="H95" s="1713"/>
      <c r="I95" s="1713"/>
      <c r="J95" s="1713"/>
      <c r="K95" s="1710"/>
      <c r="L95" s="1710"/>
      <c r="M95" s="1710"/>
      <c r="N95" s="1710"/>
      <c r="O95" s="1710"/>
      <c r="P95" s="1710"/>
      <c r="Q95" s="1710">
        <v>0</v>
      </c>
      <c r="R95" s="1710"/>
      <c r="S95" s="1710"/>
      <c r="T95" s="1710"/>
      <c r="U95" s="1710"/>
      <c r="V95" s="1710"/>
      <c r="W95" s="1710"/>
      <c r="X95" s="2265">
        <f>SUM(P95:T95)</f>
        <v>0</v>
      </c>
      <c r="Y95" s="3791"/>
      <c r="Z95" s="1060"/>
    </row>
    <row r="96" spans="1:26" ht="12.75" hidden="1" customHeight="1">
      <c r="A96" s="3788"/>
      <c r="B96" s="2267" t="s">
        <v>29</v>
      </c>
      <c r="C96" s="3795"/>
      <c r="D96" s="2268">
        <f>+D97</f>
        <v>0</v>
      </c>
      <c r="E96" s="2268"/>
      <c r="F96" s="2268"/>
      <c r="G96" s="2268"/>
      <c r="H96" s="2268"/>
      <c r="I96" s="2268"/>
      <c r="J96" s="2268"/>
      <c r="K96" s="2268"/>
      <c r="L96" s="2268">
        <f t="shared" ref="L96:Q96" si="61">+L97</f>
        <v>0</v>
      </c>
      <c r="M96" s="2268">
        <f t="shared" si="61"/>
        <v>0</v>
      </c>
      <c r="N96" s="2268">
        <f t="shared" si="61"/>
        <v>0</v>
      </c>
      <c r="O96" s="2268">
        <f t="shared" si="61"/>
        <v>0</v>
      </c>
      <c r="P96" s="2268">
        <f t="shared" si="61"/>
        <v>0</v>
      </c>
      <c r="Q96" s="2268">
        <f t="shared" si="61"/>
        <v>0</v>
      </c>
      <c r="R96" s="2268"/>
      <c r="S96" s="2268"/>
      <c r="T96" s="2268"/>
      <c r="U96" s="2268"/>
      <c r="V96" s="2268"/>
      <c r="W96" s="2268"/>
      <c r="X96" s="2269">
        <f>+X97</f>
        <v>0</v>
      </c>
      <c r="Y96" s="3791"/>
      <c r="Z96" s="1060"/>
    </row>
    <row r="97" spans="1:29" hidden="1">
      <c r="A97" s="3788"/>
      <c r="B97" s="2263" t="s">
        <v>32</v>
      </c>
      <c r="C97" s="3795"/>
      <c r="D97" s="2266">
        <f>M97+O97+P97+Q97+R97+S97+T97+U97+V97+W97</f>
        <v>0</v>
      </c>
      <c r="E97" s="1710"/>
      <c r="F97" s="1710"/>
      <c r="G97" s="1710"/>
      <c r="H97" s="1713"/>
      <c r="I97" s="1713"/>
      <c r="J97" s="1713"/>
      <c r="K97" s="1710"/>
      <c r="L97" s="1710"/>
      <c r="M97" s="1710"/>
      <c r="N97" s="1710"/>
      <c r="O97" s="1710"/>
      <c r="P97" s="1710"/>
      <c r="Q97" s="1710">
        <v>0</v>
      </c>
      <c r="R97" s="1710"/>
      <c r="S97" s="1710"/>
      <c r="T97" s="1710"/>
      <c r="U97" s="1710"/>
      <c r="V97" s="1710"/>
      <c r="W97" s="1710"/>
      <c r="X97" s="2265">
        <f>SUM(P97:T97)</f>
        <v>0</v>
      </c>
      <c r="Y97" s="3791"/>
      <c r="Z97" s="1060"/>
    </row>
    <row r="98" spans="1:29" ht="13.5" hidden="1" customHeight="1">
      <c r="A98" s="3788"/>
      <c r="B98" s="2259" t="s">
        <v>33</v>
      </c>
      <c r="C98" s="2260"/>
      <c r="D98" s="2270">
        <f>+D99+D101</f>
        <v>0</v>
      </c>
      <c r="E98" s="2270"/>
      <c r="F98" s="2270"/>
      <c r="G98" s="2270"/>
      <c r="H98" s="2270"/>
      <c r="I98" s="2270"/>
      <c r="J98" s="2270"/>
      <c r="K98" s="2270"/>
      <c r="L98" s="2270">
        <f t="shared" ref="L98:Q98" si="62">+L99+L101</f>
        <v>0</v>
      </c>
      <c r="M98" s="2270">
        <f t="shared" si="62"/>
        <v>0</v>
      </c>
      <c r="N98" s="2270">
        <f t="shared" si="62"/>
        <v>0</v>
      </c>
      <c r="O98" s="2270">
        <f t="shared" si="62"/>
        <v>0</v>
      </c>
      <c r="P98" s="2270">
        <f t="shared" si="62"/>
        <v>0</v>
      </c>
      <c r="Q98" s="2270">
        <f t="shared" si="62"/>
        <v>0</v>
      </c>
      <c r="R98" s="2270"/>
      <c r="S98" s="2270"/>
      <c r="T98" s="2270"/>
      <c r="U98" s="2270"/>
      <c r="V98" s="2270"/>
      <c r="W98" s="2270"/>
      <c r="X98" s="3796" t="s">
        <v>75</v>
      </c>
      <c r="Y98" s="3824"/>
      <c r="Z98" s="1060"/>
    </row>
    <row r="99" spans="1:29" ht="11.25" hidden="1" customHeight="1">
      <c r="A99" s="3788"/>
      <c r="B99" s="2262" t="s">
        <v>35</v>
      </c>
      <c r="C99" s="3798" t="s">
        <v>308</v>
      </c>
      <c r="D99" s="2268">
        <f>+D100</f>
        <v>0</v>
      </c>
      <c r="E99" s="2268"/>
      <c r="F99" s="2268"/>
      <c r="G99" s="2268"/>
      <c r="H99" s="2268"/>
      <c r="I99" s="2268"/>
      <c r="J99" s="2268"/>
      <c r="K99" s="2268"/>
      <c r="L99" s="2268">
        <f t="shared" ref="L99:Q99" si="63">+L100</f>
        <v>0</v>
      </c>
      <c r="M99" s="2268">
        <f t="shared" si="63"/>
        <v>0</v>
      </c>
      <c r="N99" s="2268">
        <f t="shared" si="63"/>
        <v>0</v>
      </c>
      <c r="O99" s="2268">
        <f t="shared" si="63"/>
        <v>0</v>
      </c>
      <c r="P99" s="2268">
        <f t="shared" si="63"/>
        <v>0</v>
      </c>
      <c r="Q99" s="2268">
        <f t="shared" si="63"/>
        <v>0</v>
      </c>
      <c r="R99" s="2268"/>
      <c r="S99" s="2268"/>
      <c r="T99" s="2268"/>
      <c r="U99" s="2268"/>
      <c r="V99" s="2268"/>
      <c r="W99" s="2268"/>
      <c r="X99" s="3796"/>
      <c r="Y99" s="3824"/>
      <c r="Z99" s="1060"/>
    </row>
    <row r="100" spans="1:29" ht="11.25" hidden="1" customHeight="1">
      <c r="A100" s="3788"/>
      <c r="B100" s="2263" t="s">
        <v>24</v>
      </c>
      <c r="C100" s="3795"/>
      <c r="D100" s="2266">
        <f>M100+O100+P100+Q100+R100+S100+T100+U100+V100+W100</f>
        <v>0</v>
      </c>
      <c r="E100" s="1710"/>
      <c r="F100" s="2266"/>
      <c r="G100" s="2266"/>
      <c r="H100" s="2266"/>
      <c r="I100" s="2266"/>
      <c r="J100" s="2266"/>
      <c r="K100" s="2266"/>
      <c r="L100" s="2266"/>
      <c r="M100" s="1710"/>
      <c r="N100" s="2266"/>
      <c r="O100" s="2266"/>
      <c r="P100" s="2266"/>
      <c r="Q100" s="2266"/>
      <c r="R100" s="2266"/>
      <c r="S100" s="2266"/>
      <c r="T100" s="2266"/>
      <c r="U100" s="2266"/>
      <c r="V100" s="2266"/>
      <c r="W100" s="2266"/>
      <c r="X100" s="3796"/>
      <c r="Y100" s="3824"/>
      <c r="Z100" s="1060"/>
    </row>
    <row r="101" spans="1:29" ht="12" hidden="1" customHeight="1">
      <c r="A101" s="3788"/>
      <c r="B101" s="2267" t="s">
        <v>29</v>
      </c>
      <c r="C101" s="3799"/>
      <c r="D101" s="2268">
        <f>+D102</f>
        <v>0</v>
      </c>
      <c r="E101" s="2268"/>
      <c r="F101" s="2268"/>
      <c r="G101" s="2268"/>
      <c r="H101" s="2268"/>
      <c r="I101" s="2268"/>
      <c r="J101" s="2268"/>
      <c r="K101" s="2268"/>
      <c r="L101" s="2268">
        <f t="shared" ref="L101:Q101" si="64">+L102</f>
        <v>0</v>
      </c>
      <c r="M101" s="2268">
        <f t="shared" si="64"/>
        <v>0</v>
      </c>
      <c r="N101" s="2268">
        <f t="shared" si="64"/>
        <v>0</v>
      </c>
      <c r="O101" s="2268">
        <f t="shared" si="64"/>
        <v>0</v>
      </c>
      <c r="P101" s="2268">
        <f t="shared" si="64"/>
        <v>0</v>
      </c>
      <c r="Q101" s="2268">
        <f t="shared" si="64"/>
        <v>0</v>
      </c>
      <c r="R101" s="2268"/>
      <c r="S101" s="2268"/>
      <c r="T101" s="2268"/>
      <c r="U101" s="2268"/>
      <c r="V101" s="2268"/>
      <c r="W101" s="2268"/>
      <c r="X101" s="3796"/>
      <c r="Y101" s="3824"/>
      <c r="Z101" s="1060"/>
    </row>
    <row r="102" spans="1:29" ht="11.25" hidden="1" customHeight="1">
      <c r="A102" s="3788"/>
      <c r="B102" s="2333" t="s">
        <v>32</v>
      </c>
      <c r="C102" s="3799"/>
      <c r="D102" s="2266">
        <f>M102+O102+P102+Q102+R102+S102+T102+U102+V102+W102</f>
        <v>0</v>
      </c>
      <c r="E102" s="1710"/>
      <c r="F102" s="1710"/>
      <c r="G102" s="1710"/>
      <c r="H102" s="1710"/>
      <c r="I102" s="1710"/>
      <c r="J102" s="1710"/>
      <c r="K102" s="1710"/>
      <c r="L102" s="1710"/>
      <c r="M102" s="1710"/>
      <c r="N102" s="1710"/>
      <c r="O102" s="1710"/>
      <c r="P102" s="1710"/>
      <c r="Q102" s="1710"/>
      <c r="R102" s="1710"/>
      <c r="S102" s="1710"/>
      <c r="T102" s="1710"/>
      <c r="U102" s="1710"/>
      <c r="V102" s="1710"/>
      <c r="W102" s="1710"/>
      <c r="X102" s="3796"/>
      <c r="Y102" s="3824"/>
      <c r="Z102" s="1060"/>
    </row>
    <row r="103" spans="1:29" ht="18" hidden="1" customHeight="1">
      <c r="A103" s="3788" t="s">
        <v>81</v>
      </c>
      <c r="B103" s="2255"/>
      <c r="C103" s="2256" t="s">
        <v>125</v>
      </c>
      <c r="D103" s="1740"/>
      <c r="E103" s="1740"/>
      <c r="F103" s="1740"/>
      <c r="G103" s="1740"/>
      <c r="H103" s="1740"/>
      <c r="I103" s="2257"/>
      <c r="J103" s="2257"/>
      <c r="K103" s="2257"/>
      <c r="L103" s="2257"/>
      <c r="M103" s="2257"/>
      <c r="N103" s="2257"/>
      <c r="O103" s="2257"/>
      <c r="P103" s="2257"/>
      <c r="Q103" s="2257"/>
      <c r="R103" s="2257"/>
      <c r="S103" s="2257"/>
      <c r="T103" s="2257"/>
      <c r="U103" s="2257"/>
      <c r="V103" s="2257"/>
      <c r="W103" s="2257"/>
      <c r="X103" s="2258"/>
      <c r="Y103" s="3791" t="s">
        <v>144</v>
      </c>
      <c r="Z103" s="1060"/>
      <c r="AC103" s="636"/>
    </row>
    <row r="104" spans="1:29" ht="13.5" hidden="1" customHeight="1">
      <c r="A104" s="3788"/>
      <c r="B104" s="2259" t="s">
        <v>21</v>
      </c>
      <c r="C104" s="2260"/>
      <c r="D104" s="1551">
        <f>+D105+D108</f>
        <v>0</v>
      </c>
      <c r="E104" s="1551"/>
      <c r="F104" s="1551"/>
      <c r="G104" s="1551"/>
      <c r="H104" s="1551"/>
      <c r="I104" s="1551"/>
      <c r="J104" s="1551"/>
      <c r="K104" s="1551"/>
      <c r="L104" s="1551">
        <f t="shared" ref="L104:Q104" si="65">+L105+L108</f>
        <v>0</v>
      </c>
      <c r="M104" s="1551">
        <f t="shared" si="65"/>
        <v>0</v>
      </c>
      <c r="N104" s="1551">
        <f t="shared" si="65"/>
        <v>0</v>
      </c>
      <c r="O104" s="1551">
        <f t="shared" si="65"/>
        <v>0</v>
      </c>
      <c r="P104" s="1551">
        <f t="shared" si="65"/>
        <v>0</v>
      </c>
      <c r="Q104" s="1551">
        <f t="shared" si="65"/>
        <v>0</v>
      </c>
      <c r="R104" s="1551"/>
      <c r="S104" s="1551"/>
      <c r="T104" s="1551"/>
      <c r="U104" s="1551"/>
      <c r="V104" s="1551"/>
      <c r="W104" s="1551"/>
      <c r="X104" s="2261">
        <f>+X105+X108</f>
        <v>0</v>
      </c>
      <c r="Y104" s="3791"/>
      <c r="Z104" s="1061">
        <f>+O104+P104+Q104+R104</f>
        <v>0</v>
      </c>
      <c r="AA104" s="628"/>
      <c r="AB104" s="628"/>
      <c r="AC104" s="628"/>
    </row>
    <row r="105" spans="1:29" ht="14.25" hidden="1" customHeight="1">
      <c r="A105" s="3788"/>
      <c r="B105" s="2262" t="s">
        <v>35</v>
      </c>
      <c r="C105" s="3794" t="s">
        <v>309</v>
      </c>
      <c r="D105" s="1763">
        <f>+D106+D107</f>
        <v>0</v>
      </c>
      <c r="E105" s="1763"/>
      <c r="F105" s="1763"/>
      <c r="G105" s="1763"/>
      <c r="H105" s="1763"/>
      <c r="I105" s="1763"/>
      <c r="J105" s="1763"/>
      <c r="K105" s="1763"/>
      <c r="L105" s="1763">
        <f t="shared" ref="L105:Q105" si="66">+L106+L107</f>
        <v>0</v>
      </c>
      <c r="M105" s="1763">
        <f t="shared" si="66"/>
        <v>0</v>
      </c>
      <c r="N105" s="1763">
        <f t="shared" si="66"/>
        <v>0</v>
      </c>
      <c r="O105" s="1763">
        <f t="shared" si="66"/>
        <v>0</v>
      </c>
      <c r="P105" s="1763">
        <f t="shared" si="66"/>
        <v>0</v>
      </c>
      <c r="Q105" s="1763">
        <f t="shared" si="66"/>
        <v>0</v>
      </c>
      <c r="R105" s="1763"/>
      <c r="S105" s="1763"/>
      <c r="T105" s="1763"/>
      <c r="U105" s="1763"/>
      <c r="V105" s="1763"/>
      <c r="W105" s="1763"/>
      <c r="X105" s="1751">
        <f>+X106+X107</f>
        <v>0</v>
      </c>
      <c r="Y105" s="3791"/>
      <c r="Z105" s="1060"/>
    </row>
    <row r="106" spans="1:29" ht="13.5" hidden="1" customHeight="1">
      <c r="A106" s="3788"/>
      <c r="B106" s="2263" t="s">
        <v>23</v>
      </c>
      <c r="C106" s="3795"/>
      <c r="D106" s="2266">
        <f>M106+O106+P106+Q106+R106+S106+T106+U106+V106+W106</f>
        <v>0</v>
      </c>
      <c r="E106" s="1710"/>
      <c r="F106" s="1710"/>
      <c r="G106" s="1710"/>
      <c r="H106" s="1713"/>
      <c r="I106" s="1713"/>
      <c r="J106" s="1713"/>
      <c r="K106" s="1710"/>
      <c r="L106" s="1710"/>
      <c r="M106" s="1710"/>
      <c r="N106" s="1710"/>
      <c r="O106" s="1710"/>
      <c r="P106" s="1710"/>
      <c r="Q106" s="1710">
        <v>0</v>
      </c>
      <c r="R106" s="1710"/>
      <c r="S106" s="1710"/>
      <c r="T106" s="1710"/>
      <c r="U106" s="1710"/>
      <c r="V106" s="1710"/>
      <c r="W106" s="1710"/>
      <c r="X106" s="2265">
        <f>SUM(P106:T106)</f>
        <v>0</v>
      </c>
      <c r="Y106" s="3791"/>
      <c r="Z106" s="1060"/>
    </row>
    <row r="107" spans="1:29" ht="11.25" hidden="1" customHeight="1">
      <c r="A107" s="3788"/>
      <c r="B107" s="2263" t="s">
        <v>24</v>
      </c>
      <c r="C107" s="3795"/>
      <c r="D107" s="2266">
        <f>SUM(L107:Q107)</f>
        <v>0</v>
      </c>
      <c r="E107" s="1710"/>
      <c r="F107" s="1710"/>
      <c r="G107" s="1710"/>
      <c r="H107" s="1713"/>
      <c r="I107" s="1713"/>
      <c r="J107" s="1713"/>
      <c r="K107" s="1710"/>
      <c r="L107" s="1710"/>
      <c r="M107" s="1710"/>
      <c r="N107" s="1710"/>
      <c r="O107" s="1710"/>
      <c r="P107" s="1710"/>
      <c r="Q107" s="1710"/>
      <c r="R107" s="1710"/>
      <c r="S107" s="1710"/>
      <c r="T107" s="1710"/>
      <c r="U107" s="1710"/>
      <c r="V107" s="1710"/>
      <c r="W107" s="1710"/>
      <c r="X107" s="2265">
        <f>SUM(P107:S107)</f>
        <v>0</v>
      </c>
      <c r="Y107" s="3791"/>
      <c r="Z107" s="1060"/>
    </row>
    <row r="108" spans="1:29" ht="13.5" hidden="1" customHeight="1">
      <c r="A108" s="3788"/>
      <c r="B108" s="2267" t="s">
        <v>29</v>
      </c>
      <c r="C108" s="3795"/>
      <c r="D108" s="2268">
        <f>+D109</f>
        <v>0</v>
      </c>
      <c r="E108" s="2268"/>
      <c r="F108" s="2268"/>
      <c r="G108" s="2268"/>
      <c r="H108" s="2268"/>
      <c r="I108" s="2268"/>
      <c r="J108" s="2268"/>
      <c r="K108" s="2268"/>
      <c r="L108" s="2268">
        <f t="shared" ref="L108:Q108" si="67">+L109</f>
        <v>0</v>
      </c>
      <c r="M108" s="2268">
        <f t="shared" si="67"/>
        <v>0</v>
      </c>
      <c r="N108" s="2268">
        <f t="shared" si="67"/>
        <v>0</v>
      </c>
      <c r="O108" s="2268">
        <f t="shared" si="67"/>
        <v>0</v>
      </c>
      <c r="P108" s="2268">
        <f t="shared" si="67"/>
        <v>0</v>
      </c>
      <c r="Q108" s="2268">
        <f t="shared" si="67"/>
        <v>0</v>
      </c>
      <c r="R108" s="2268"/>
      <c r="S108" s="2268"/>
      <c r="T108" s="2268"/>
      <c r="U108" s="2268"/>
      <c r="V108" s="2268"/>
      <c r="W108" s="2268"/>
      <c r="X108" s="2269">
        <f>+X109</f>
        <v>0</v>
      </c>
      <c r="Y108" s="3791"/>
      <c r="Z108" s="1060"/>
    </row>
    <row r="109" spans="1:29" s="637" customFormat="1" ht="15" hidden="1" customHeight="1">
      <c r="A109" s="3788"/>
      <c r="B109" s="2333" t="s">
        <v>32</v>
      </c>
      <c r="C109" s="3795"/>
      <c r="D109" s="2266">
        <f>M109+O109+P109+Q109+R109+S109+T109+U109+V109+W109</f>
        <v>0</v>
      </c>
      <c r="E109" s="1710"/>
      <c r="F109" s="1710"/>
      <c r="G109" s="1710"/>
      <c r="H109" s="1713"/>
      <c r="I109" s="1713"/>
      <c r="J109" s="1713"/>
      <c r="K109" s="1710"/>
      <c r="L109" s="1710"/>
      <c r="M109" s="1710"/>
      <c r="N109" s="1710"/>
      <c r="O109" s="1710"/>
      <c r="P109" s="1710">
        <v>0</v>
      </c>
      <c r="Q109" s="1710">
        <v>0</v>
      </c>
      <c r="R109" s="1710"/>
      <c r="S109" s="1710"/>
      <c r="T109" s="1710"/>
      <c r="U109" s="1710"/>
      <c r="V109" s="1710"/>
      <c r="W109" s="1710"/>
      <c r="X109" s="2265">
        <f>SUM(P109:T109)</f>
        <v>0</v>
      </c>
      <c r="Y109" s="3791"/>
      <c r="Z109" s="1064"/>
    </row>
    <row r="110" spans="1:29" ht="13.5" hidden="1" customHeight="1">
      <c r="A110" s="3788"/>
      <c r="B110" s="2259" t="s">
        <v>33</v>
      </c>
      <c r="C110" s="2260"/>
      <c r="D110" s="2270">
        <f>+D111+D113</f>
        <v>0</v>
      </c>
      <c r="E110" s="2270"/>
      <c r="F110" s="2270"/>
      <c r="G110" s="2270"/>
      <c r="H110" s="2270"/>
      <c r="I110" s="2270"/>
      <c r="J110" s="2270"/>
      <c r="K110" s="2270"/>
      <c r="L110" s="2270">
        <f t="shared" ref="L110:Q110" si="68">+L111+L113</f>
        <v>0</v>
      </c>
      <c r="M110" s="2270">
        <f t="shared" si="68"/>
        <v>0</v>
      </c>
      <c r="N110" s="2270">
        <f t="shared" si="68"/>
        <v>0</v>
      </c>
      <c r="O110" s="2270">
        <f t="shared" si="68"/>
        <v>0</v>
      </c>
      <c r="P110" s="2270">
        <f t="shared" si="68"/>
        <v>0</v>
      </c>
      <c r="Q110" s="2270">
        <f t="shared" si="68"/>
        <v>0</v>
      </c>
      <c r="R110" s="2270"/>
      <c r="S110" s="2270"/>
      <c r="T110" s="2270"/>
      <c r="U110" s="2270"/>
      <c r="V110" s="2270"/>
      <c r="W110" s="2270"/>
      <c r="X110" s="3796" t="s">
        <v>75</v>
      </c>
      <c r="Y110" s="3824"/>
      <c r="Z110" s="1060"/>
    </row>
    <row r="111" spans="1:29" ht="13.5" hidden="1" customHeight="1">
      <c r="A111" s="3788"/>
      <c r="B111" s="2262" t="s">
        <v>35</v>
      </c>
      <c r="C111" s="3798" t="s">
        <v>387</v>
      </c>
      <c r="D111" s="2268">
        <f>+D112</f>
        <v>0</v>
      </c>
      <c r="E111" s="2268"/>
      <c r="F111" s="2268"/>
      <c r="G111" s="2268"/>
      <c r="H111" s="2268"/>
      <c r="I111" s="2268"/>
      <c r="J111" s="2268"/>
      <c r="K111" s="2268"/>
      <c r="L111" s="2268">
        <f t="shared" ref="L111:Q111" si="69">+L112</f>
        <v>0</v>
      </c>
      <c r="M111" s="2268">
        <f t="shared" si="69"/>
        <v>0</v>
      </c>
      <c r="N111" s="2268">
        <f t="shared" si="69"/>
        <v>0</v>
      </c>
      <c r="O111" s="2268">
        <f t="shared" si="69"/>
        <v>0</v>
      </c>
      <c r="P111" s="2268">
        <f t="shared" si="69"/>
        <v>0</v>
      </c>
      <c r="Q111" s="2268">
        <f t="shared" si="69"/>
        <v>0</v>
      </c>
      <c r="R111" s="2268"/>
      <c r="S111" s="2268"/>
      <c r="T111" s="2268"/>
      <c r="U111" s="2268"/>
      <c r="V111" s="2268"/>
      <c r="W111" s="2268"/>
      <c r="X111" s="3796"/>
      <c r="Y111" s="3824"/>
      <c r="Z111" s="1060"/>
    </row>
    <row r="112" spans="1:29" ht="11.25" hidden="1" customHeight="1">
      <c r="A112" s="3788"/>
      <c r="B112" s="2263" t="s">
        <v>24</v>
      </c>
      <c r="C112" s="3795"/>
      <c r="D112" s="2266">
        <f>SUM(L112:Q112)</f>
        <v>0</v>
      </c>
      <c r="E112" s="1710"/>
      <c r="F112" s="2266"/>
      <c r="G112" s="2266"/>
      <c r="H112" s="2266"/>
      <c r="I112" s="2266"/>
      <c r="J112" s="2266"/>
      <c r="K112" s="2266"/>
      <c r="L112" s="2266"/>
      <c r="M112" s="1710">
        <f>+L112+K112+J112+I112+E112+N112</f>
        <v>0</v>
      </c>
      <c r="N112" s="2266"/>
      <c r="O112" s="2266"/>
      <c r="P112" s="2266"/>
      <c r="Q112" s="2266"/>
      <c r="R112" s="2266"/>
      <c r="S112" s="2266"/>
      <c r="T112" s="2266"/>
      <c r="U112" s="2266"/>
      <c r="V112" s="2266"/>
      <c r="W112" s="2266"/>
      <c r="X112" s="3796"/>
      <c r="Y112" s="3824"/>
      <c r="Z112" s="1060"/>
    </row>
    <row r="113" spans="1:35" s="637" customFormat="1" ht="15" hidden="1" customHeight="1">
      <c r="A113" s="3788"/>
      <c r="B113" s="2467" t="s">
        <v>29</v>
      </c>
      <c r="C113" s="3799"/>
      <c r="D113" s="2268">
        <f>+D114</f>
        <v>0</v>
      </c>
      <c r="E113" s="2268"/>
      <c r="F113" s="2268"/>
      <c r="G113" s="2268"/>
      <c r="H113" s="2268"/>
      <c r="I113" s="2268"/>
      <c r="J113" s="2268"/>
      <c r="K113" s="2268"/>
      <c r="L113" s="2268">
        <f t="shared" ref="L113:Q113" si="70">+L114</f>
        <v>0</v>
      </c>
      <c r="M113" s="2268">
        <f t="shared" si="70"/>
        <v>0</v>
      </c>
      <c r="N113" s="2268">
        <f t="shared" si="70"/>
        <v>0</v>
      </c>
      <c r="O113" s="2268">
        <f t="shared" si="70"/>
        <v>0</v>
      </c>
      <c r="P113" s="2268">
        <f t="shared" si="70"/>
        <v>0</v>
      </c>
      <c r="Q113" s="2268">
        <f t="shared" si="70"/>
        <v>0</v>
      </c>
      <c r="R113" s="2268"/>
      <c r="S113" s="2268"/>
      <c r="T113" s="2268"/>
      <c r="U113" s="2268"/>
      <c r="V113" s="2268"/>
      <c r="W113" s="2268"/>
      <c r="X113" s="3796"/>
      <c r="Y113" s="3824"/>
      <c r="Z113" s="1064"/>
    </row>
    <row r="114" spans="1:35" ht="13.5" hidden="1" customHeight="1">
      <c r="A114" s="3788"/>
      <c r="B114" s="2333" t="s">
        <v>32</v>
      </c>
      <c r="C114" s="3799"/>
      <c r="D114" s="2266">
        <f>M114+O114+P114+Q114+R114+S114+T114+U114+V114+W114</f>
        <v>0</v>
      </c>
      <c r="E114" s="1710"/>
      <c r="F114" s="1710"/>
      <c r="G114" s="1710"/>
      <c r="H114" s="1710"/>
      <c r="I114" s="1710"/>
      <c r="J114" s="1710"/>
      <c r="K114" s="1710"/>
      <c r="L114" s="1710"/>
      <c r="M114" s="1710"/>
      <c r="N114" s="1710"/>
      <c r="O114" s="1710"/>
      <c r="P114" s="1710"/>
      <c r="Q114" s="1710">
        <v>0</v>
      </c>
      <c r="R114" s="1710"/>
      <c r="S114" s="1710"/>
      <c r="T114" s="1710"/>
      <c r="U114" s="1710"/>
      <c r="V114" s="1710"/>
      <c r="W114" s="1710"/>
      <c r="X114" s="3796"/>
      <c r="Y114" s="3824"/>
      <c r="Z114" s="1060"/>
    </row>
    <row r="115" spans="1:35" hidden="1">
      <c r="A115" s="3788" t="s">
        <v>103</v>
      </c>
      <c r="B115" s="2255"/>
      <c r="C115" s="2256" t="s">
        <v>125</v>
      </c>
      <c r="D115" s="1740"/>
      <c r="E115" s="1740"/>
      <c r="F115" s="1740"/>
      <c r="G115" s="1740"/>
      <c r="H115" s="1740"/>
      <c r="I115" s="2257"/>
      <c r="J115" s="2257"/>
      <c r="K115" s="2257"/>
      <c r="L115" s="2257"/>
      <c r="M115" s="2257"/>
      <c r="N115" s="2257"/>
      <c r="O115" s="2257"/>
      <c r="P115" s="2257"/>
      <c r="Q115" s="2257"/>
      <c r="R115" s="2257"/>
      <c r="S115" s="2257"/>
      <c r="T115" s="2257"/>
      <c r="U115" s="2257"/>
      <c r="V115" s="2257"/>
      <c r="W115" s="2257"/>
      <c r="X115" s="2258"/>
      <c r="Y115" s="3791" t="s">
        <v>144</v>
      </c>
      <c r="Z115" s="1061"/>
      <c r="AA115" s="628"/>
      <c r="AB115" s="628"/>
      <c r="AC115" s="628"/>
      <c r="AD115" s="628"/>
      <c r="AE115" s="628"/>
      <c r="AF115" s="628"/>
      <c r="AG115" s="628"/>
      <c r="AH115" s="628"/>
      <c r="AI115" s="628"/>
    </row>
    <row r="116" spans="1:35" ht="13.5" hidden="1" customHeight="1">
      <c r="A116" s="3788"/>
      <c r="B116" s="2259" t="s">
        <v>21</v>
      </c>
      <c r="C116" s="2260"/>
      <c r="D116" s="1551">
        <f t="shared" ref="D116:L116" si="71">+D117+D120</f>
        <v>0</v>
      </c>
      <c r="E116" s="1551">
        <f>+E117+E120</f>
        <v>0</v>
      </c>
      <c r="F116" s="1551">
        <f t="shared" si="71"/>
        <v>0</v>
      </c>
      <c r="G116" s="1551">
        <f t="shared" si="71"/>
        <v>0</v>
      </c>
      <c r="H116" s="1551">
        <f t="shared" si="71"/>
        <v>0</v>
      </c>
      <c r="I116" s="1551">
        <f t="shared" si="71"/>
        <v>0</v>
      </c>
      <c r="J116" s="1551">
        <f t="shared" si="71"/>
        <v>0</v>
      </c>
      <c r="K116" s="1551">
        <f t="shared" si="71"/>
        <v>0</v>
      </c>
      <c r="L116" s="1551">
        <f t="shared" si="71"/>
        <v>0</v>
      </c>
      <c r="M116" s="1551">
        <f>+M117+M120</f>
        <v>0</v>
      </c>
      <c r="N116" s="1551">
        <f>+N117+N120</f>
        <v>0</v>
      </c>
      <c r="O116" s="1551">
        <f>+O117+O120</f>
        <v>0</v>
      </c>
      <c r="P116" s="1551">
        <f>+P117+P120</f>
        <v>0</v>
      </c>
      <c r="Q116" s="1551"/>
      <c r="R116" s="1551"/>
      <c r="S116" s="1551"/>
      <c r="T116" s="1551"/>
      <c r="U116" s="1551"/>
      <c r="V116" s="1551"/>
      <c r="W116" s="1551"/>
      <c r="X116" s="2261">
        <f>+X117+X120</f>
        <v>0</v>
      </c>
      <c r="Y116" s="3791"/>
      <c r="Z116" s="1061">
        <f>+O116+P116+Q116+R116</f>
        <v>0</v>
      </c>
    </row>
    <row r="117" spans="1:35" ht="12.75" hidden="1" customHeight="1">
      <c r="A117" s="3788"/>
      <c r="B117" s="2262" t="s">
        <v>35</v>
      </c>
      <c r="C117" s="3794" t="s">
        <v>310</v>
      </c>
      <c r="D117" s="1763">
        <f t="shared" ref="D117:L117" si="72">+D118+D119</f>
        <v>0</v>
      </c>
      <c r="E117" s="1763">
        <f t="shared" si="72"/>
        <v>0</v>
      </c>
      <c r="F117" s="1763">
        <f t="shared" si="72"/>
        <v>0</v>
      </c>
      <c r="G117" s="1763">
        <f t="shared" si="72"/>
        <v>0</v>
      </c>
      <c r="H117" s="1763">
        <f t="shared" si="72"/>
        <v>0</v>
      </c>
      <c r="I117" s="1763">
        <f t="shared" si="72"/>
        <v>0</v>
      </c>
      <c r="J117" s="1763">
        <f t="shared" si="72"/>
        <v>0</v>
      </c>
      <c r="K117" s="1763">
        <f t="shared" si="72"/>
        <v>0</v>
      </c>
      <c r="L117" s="1763">
        <f t="shared" si="72"/>
        <v>0</v>
      </c>
      <c r="M117" s="1763">
        <f>+M118+M119</f>
        <v>0</v>
      </c>
      <c r="N117" s="1763">
        <f>+N118+N119</f>
        <v>0</v>
      </c>
      <c r="O117" s="1763">
        <f>+O118+O119</f>
        <v>0</v>
      </c>
      <c r="P117" s="1763">
        <f>+P118+P119</f>
        <v>0</v>
      </c>
      <c r="Q117" s="1763"/>
      <c r="R117" s="1763"/>
      <c r="S117" s="1763"/>
      <c r="T117" s="1763"/>
      <c r="U117" s="1763"/>
      <c r="V117" s="1763"/>
      <c r="W117" s="1763"/>
      <c r="X117" s="1751">
        <f>+X118+X119</f>
        <v>0</v>
      </c>
      <c r="Y117" s="3791"/>
      <c r="Z117" s="1060"/>
    </row>
    <row r="118" spans="1:35" ht="13.5" hidden="1" customHeight="1">
      <c r="A118" s="3788"/>
      <c r="B118" s="2263" t="s">
        <v>23</v>
      </c>
      <c r="C118" s="3795"/>
      <c r="D118" s="2266">
        <f>+E118+I118+J118+K118+L118</f>
        <v>0</v>
      </c>
      <c r="E118" s="1710">
        <f>+F118+G118+H118</f>
        <v>0</v>
      </c>
      <c r="F118" s="1710">
        <v>0</v>
      </c>
      <c r="G118" s="1710"/>
      <c r="H118" s="1713"/>
      <c r="I118" s="1713"/>
      <c r="J118" s="1713"/>
      <c r="K118" s="1710">
        <v>0</v>
      </c>
      <c r="L118" s="1710">
        <v>0</v>
      </c>
      <c r="M118" s="1710"/>
      <c r="N118" s="1710"/>
      <c r="O118" s="1710"/>
      <c r="P118" s="1710"/>
      <c r="Q118" s="1710"/>
      <c r="R118" s="1710"/>
      <c r="S118" s="1710"/>
      <c r="T118" s="1710"/>
      <c r="U118" s="1710"/>
      <c r="V118" s="1710"/>
      <c r="W118" s="1710"/>
      <c r="X118" s="2265"/>
      <c r="Y118" s="3791"/>
      <c r="Z118" s="1060"/>
    </row>
    <row r="119" spans="1:35" ht="13.5" hidden="1" customHeight="1">
      <c r="A119" s="3788"/>
      <c r="B119" s="2263" t="s">
        <v>24</v>
      </c>
      <c r="C119" s="3795"/>
      <c r="D119" s="2266">
        <f>SUM(M119:R119)</f>
        <v>0</v>
      </c>
      <c r="E119" s="1710">
        <f>+F119+G119+H119</f>
        <v>0</v>
      </c>
      <c r="F119" s="1710"/>
      <c r="G119" s="1710"/>
      <c r="H119" s="1713"/>
      <c r="I119" s="1713"/>
      <c r="J119" s="1713"/>
      <c r="K119" s="1710"/>
      <c r="L119" s="1710"/>
      <c r="M119" s="1710">
        <f>+L119+K119+J119+I119+E119</f>
        <v>0</v>
      </c>
      <c r="N119" s="1710"/>
      <c r="O119" s="1710">
        <v>0</v>
      </c>
      <c r="P119" s="1710">
        <v>0</v>
      </c>
      <c r="Q119" s="1710"/>
      <c r="R119" s="1710"/>
      <c r="S119" s="1710"/>
      <c r="T119" s="1710"/>
      <c r="U119" s="1710"/>
      <c r="V119" s="1710"/>
      <c r="W119" s="1710"/>
      <c r="X119" s="2265">
        <f>SUM(P119:S119)</f>
        <v>0</v>
      </c>
      <c r="Y119" s="3791"/>
      <c r="Z119" s="1060"/>
    </row>
    <row r="120" spans="1:35" ht="12.75" hidden="1" customHeight="1">
      <c r="A120" s="3788"/>
      <c r="B120" s="2267" t="s">
        <v>29</v>
      </c>
      <c r="C120" s="3795"/>
      <c r="D120" s="2268">
        <f>+D121</f>
        <v>0</v>
      </c>
      <c r="E120" s="2268">
        <f t="shared" ref="E120:X120" si="73">+E121</f>
        <v>0</v>
      </c>
      <c r="F120" s="2268">
        <f t="shared" si="73"/>
        <v>0</v>
      </c>
      <c r="G120" s="2268">
        <f t="shared" si="73"/>
        <v>0</v>
      </c>
      <c r="H120" s="2268">
        <f t="shared" si="73"/>
        <v>0</v>
      </c>
      <c r="I120" s="2268">
        <f t="shared" si="73"/>
        <v>0</v>
      </c>
      <c r="J120" s="2268">
        <f t="shared" si="73"/>
        <v>0</v>
      </c>
      <c r="K120" s="2268">
        <f t="shared" si="73"/>
        <v>0</v>
      </c>
      <c r="L120" s="2268">
        <f t="shared" si="73"/>
        <v>0</v>
      </c>
      <c r="M120" s="2268">
        <f t="shared" si="73"/>
        <v>0</v>
      </c>
      <c r="N120" s="2268">
        <f t="shared" si="73"/>
        <v>0</v>
      </c>
      <c r="O120" s="2268">
        <f t="shared" si="73"/>
        <v>0</v>
      </c>
      <c r="P120" s="2268">
        <f t="shared" si="73"/>
        <v>0</v>
      </c>
      <c r="Q120" s="2268"/>
      <c r="R120" s="2268"/>
      <c r="S120" s="2268"/>
      <c r="T120" s="2268"/>
      <c r="U120" s="2268"/>
      <c r="V120" s="2268"/>
      <c r="W120" s="2268"/>
      <c r="X120" s="2269">
        <f t="shared" si="73"/>
        <v>0</v>
      </c>
      <c r="Y120" s="3791"/>
      <c r="Z120" s="1060"/>
    </row>
    <row r="121" spans="1:35" ht="12" hidden="1" customHeight="1">
      <c r="A121" s="3788"/>
      <c r="B121" s="2263" t="s">
        <v>32</v>
      </c>
      <c r="C121" s="3795"/>
      <c r="D121" s="2266">
        <f>SUM(M121:R121)</f>
        <v>0</v>
      </c>
      <c r="E121" s="1710">
        <f>+F121+G121+H121</f>
        <v>0</v>
      </c>
      <c r="F121" s="1710">
        <v>0</v>
      </c>
      <c r="G121" s="1710"/>
      <c r="H121" s="1713"/>
      <c r="I121" s="1713"/>
      <c r="J121" s="1713"/>
      <c r="K121" s="1710"/>
      <c r="L121" s="1710"/>
      <c r="M121" s="1710">
        <f>+L121+K121+J121+I121+E121</f>
        <v>0</v>
      </c>
      <c r="N121" s="1710"/>
      <c r="O121" s="1710">
        <v>0</v>
      </c>
      <c r="P121" s="1710">
        <v>0</v>
      </c>
      <c r="Q121" s="1710"/>
      <c r="R121" s="1710"/>
      <c r="S121" s="1710"/>
      <c r="T121" s="1710"/>
      <c r="U121" s="1710"/>
      <c r="V121" s="1710"/>
      <c r="W121" s="1710"/>
      <c r="X121" s="2265">
        <f>SUM(P121:S121)</f>
        <v>0</v>
      </c>
      <c r="Y121" s="3791"/>
      <c r="Z121" s="1060"/>
    </row>
    <row r="122" spans="1:35" ht="10.5" hidden="1" customHeight="1">
      <c r="A122" s="3788"/>
      <c r="B122" s="2259" t="s">
        <v>33</v>
      </c>
      <c r="C122" s="2260"/>
      <c r="D122" s="2270">
        <f t="shared" ref="D122:L122" si="74">+D123+D125</f>
        <v>0</v>
      </c>
      <c r="E122" s="2270">
        <f t="shared" si="74"/>
        <v>0</v>
      </c>
      <c r="F122" s="2270">
        <f t="shared" si="74"/>
        <v>0</v>
      </c>
      <c r="G122" s="2270">
        <f t="shared" si="74"/>
        <v>0</v>
      </c>
      <c r="H122" s="2270">
        <f t="shared" si="74"/>
        <v>0</v>
      </c>
      <c r="I122" s="2270">
        <f t="shared" si="74"/>
        <v>0</v>
      </c>
      <c r="J122" s="2270">
        <f t="shared" si="74"/>
        <v>0</v>
      </c>
      <c r="K122" s="2270">
        <f t="shared" si="74"/>
        <v>0</v>
      </c>
      <c r="L122" s="2270">
        <f t="shared" si="74"/>
        <v>0</v>
      </c>
      <c r="M122" s="2270">
        <f>+M123+M125</f>
        <v>0</v>
      </c>
      <c r="N122" s="2270">
        <f>+N123+N125</f>
        <v>0</v>
      </c>
      <c r="O122" s="2270">
        <f>+O123+O125</f>
        <v>0</v>
      </c>
      <c r="P122" s="2270">
        <f>+P123+P125</f>
        <v>0</v>
      </c>
      <c r="Q122" s="2270"/>
      <c r="R122" s="2270"/>
      <c r="S122" s="2270"/>
      <c r="T122" s="2270"/>
      <c r="U122" s="2270"/>
      <c r="V122" s="2270"/>
      <c r="W122" s="2270"/>
      <c r="X122" s="3796" t="s">
        <v>75</v>
      </c>
      <c r="Y122" s="3791"/>
      <c r="Z122" s="1060"/>
    </row>
    <row r="123" spans="1:35" ht="13.5" hidden="1" customHeight="1">
      <c r="A123" s="3788"/>
      <c r="B123" s="2262" t="s">
        <v>35</v>
      </c>
      <c r="C123" s="3798" t="s">
        <v>309</v>
      </c>
      <c r="D123" s="2268">
        <f t="shared" ref="D123:P123" si="75">+D124</f>
        <v>0</v>
      </c>
      <c r="E123" s="2268">
        <f t="shared" si="75"/>
        <v>0</v>
      </c>
      <c r="F123" s="2268">
        <f t="shared" si="75"/>
        <v>0</v>
      </c>
      <c r="G123" s="2268">
        <f t="shared" si="75"/>
        <v>0</v>
      </c>
      <c r="H123" s="2268">
        <f t="shared" si="75"/>
        <v>0</v>
      </c>
      <c r="I123" s="2268">
        <f t="shared" si="75"/>
        <v>0</v>
      </c>
      <c r="J123" s="2268">
        <f t="shared" si="75"/>
        <v>0</v>
      </c>
      <c r="K123" s="2268">
        <f t="shared" si="75"/>
        <v>0</v>
      </c>
      <c r="L123" s="2268">
        <f t="shared" si="75"/>
        <v>0</v>
      </c>
      <c r="M123" s="2268">
        <f t="shared" si="75"/>
        <v>0</v>
      </c>
      <c r="N123" s="2268">
        <f t="shared" si="75"/>
        <v>0</v>
      </c>
      <c r="O123" s="2268">
        <f t="shared" si="75"/>
        <v>0</v>
      </c>
      <c r="P123" s="2268">
        <f t="shared" si="75"/>
        <v>0</v>
      </c>
      <c r="Q123" s="2268"/>
      <c r="R123" s="2268"/>
      <c r="S123" s="2268"/>
      <c r="T123" s="2268"/>
      <c r="U123" s="2268"/>
      <c r="V123" s="2268"/>
      <c r="W123" s="2268"/>
      <c r="X123" s="3796"/>
      <c r="Y123" s="3791"/>
      <c r="Z123" s="1060"/>
    </row>
    <row r="124" spans="1:35" ht="11.25" hidden="1" customHeight="1">
      <c r="A124" s="3788"/>
      <c r="B124" s="2263" t="s">
        <v>24</v>
      </c>
      <c r="C124" s="3795"/>
      <c r="D124" s="2266">
        <f>SUM(M124:R124)</f>
        <v>0</v>
      </c>
      <c r="E124" s="1710">
        <f>+F124+G124+H124</f>
        <v>0</v>
      </c>
      <c r="F124" s="2266"/>
      <c r="G124" s="2266"/>
      <c r="H124" s="2266"/>
      <c r="I124" s="2266"/>
      <c r="J124" s="2266"/>
      <c r="K124" s="2266"/>
      <c r="L124" s="2266"/>
      <c r="M124" s="1710">
        <f>+L124+K124+J124+I124+E124</f>
        <v>0</v>
      </c>
      <c r="N124" s="2266"/>
      <c r="O124" s="2266">
        <v>0</v>
      </c>
      <c r="P124" s="2266">
        <v>0</v>
      </c>
      <c r="Q124" s="2266"/>
      <c r="R124" s="2266"/>
      <c r="S124" s="2266"/>
      <c r="T124" s="2266"/>
      <c r="U124" s="2266"/>
      <c r="V124" s="2266"/>
      <c r="W124" s="2266"/>
      <c r="X124" s="3796"/>
      <c r="Y124" s="3791"/>
      <c r="Z124" s="1060"/>
    </row>
    <row r="125" spans="1:35" ht="12" hidden="1" customHeight="1">
      <c r="A125" s="3788"/>
      <c r="B125" s="2267" t="s">
        <v>29</v>
      </c>
      <c r="C125" s="3799"/>
      <c r="D125" s="2268">
        <f t="shared" ref="D125:P125" si="76">+D126</f>
        <v>0</v>
      </c>
      <c r="E125" s="2268">
        <f t="shared" si="76"/>
        <v>0</v>
      </c>
      <c r="F125" s="2268">
        <f t="shared" si="76"/>
        <v>0</v>
      </c>
      <c r="G125" s="2268">
        <f t="shared" si="76"/>
        <v>0</v>
      </c>
      <c r="H125" s="2268">
        <f t="shared" si="76"/>
        <v>0</v>
      </c>
      <c r="I125" s="2268">
        <f t="shared" si="76"/>
        <v>0</v>
      </c>
      <c r="J125" s="2268">
        <f t="shared" si="76"/>
        <v>0</v>
      </c>
      <c r="K125" s="2268">
        <f t="shared" si="76"/>
        <v>0</v>
      </c>
      <c r="L125" s="2268">
        <f t="shared" si="76"/>
        <v>0</v>
      </c>
      <c r="M125" s="2268">
        <f t="shared" si="76"/>
        <v>0</v>
      </c>
      <c r="N125" s="2268">
        <f t="shared" si="76"/>
        <v>0</v>
      </c>
      <c r="O125" s="2268">
        <f t="shared" si="76"/>
        <v>0</v>
      </c>
      <c r="P125" s="2268">
        <f t="shared" si="76"/>
        <v>0</v>
      </c>
      <c r="Q125" s="2268"/>
      <c r="R125" s="2268"/>
      <c r="S125" s="2268"/>
      <c r="T125" s="2268"/>
      <c r="U125" s="2268"/>
      <c r="V125" s="2268"/>
      <c r="W125" s="2268"/>
      <c r="X125" s="3796"/>
      <c r="Y125" s="3791"/>
      <c r="Z125" s="1060"/>
    </row>
    <row r="126" spans="1:35" ht="12.75" hidden="1" customHeight="1">
      <c r="A126" s="3788"/>
      <c r="B126" s="1571" t="s">
        <v>32</v>
      </c>
      <c r="C126" s="3799"/>
      <c r="D126" s="2266">
        <f>SUM(M126:R126)</f>
        <v>0</v>
      </c>
      <c r="E126" s="1710">
        <f>+F126+G126+H126</f>
        <v>0</v>
      </c>
      <c r="F126" s="1710"/>
      <c r="G126" s="1710"/>
      <c r="H126" s="1710"/>
      <c r="I126" s="1710"/>
      <c r="J126" s="1710"/>
      <c r="K126" s="1710"/>
      <c r="L126" s="1710"/>
      <c r="M126" s="1710">
        <f>+L126+K126+J126+I126+E126</f>
        <v>0</v>
      </c>
      <c r="N126" s="1710"/>
      <c r="O126" s="1710">
        <v>0</v>
      </c>
      <c r="P126" s="1710">
        <v>0</v>
      </c>
      <c r="Q126" s="1710"/>
      <c r="R126" s="1710"/>
      <c r="S126" s="1710"/>
      <c r="T126" s="1710"/>
      <c r="U126" s="1710"/>
      <c r="V126" s="1710"/>
      <c r="W126" s="1710"/>
      <c r="X126" s="3796"/>
      <c r="Y126" s="3791"/>
      <c r="Z126" s="1060"/>
    </row>
    <row r="127" spans="1:35" ht="22.9" hidden="1" customHeight="1">
      <c r="A127" s="3788" t="s">
        <v>133</v>
      </c>
      <c r="B127" s="2255"/>
      <c r="C127" s="2256" t="s">
        <v>125</v>
      </c>
      <c r="D127" s="1740"/>
      <c r="E127" s="1740"/>
      <c r="F127" s="1740"/>
      <c r="G127" s="1740"/>
      <c r="H127" s="1740"/>
      <c r="I127" s="2257"/>
      <c r="J127" s="2257"/>
      <c r="K127" s="2257"/>
      <c r="L127" s="2257"/>
      <c r="M127" s="2257"/>
      <c r="N127" s="2257"/>
      <c r="O127" s="2257"/>
      <c r="P127" s="2257"/>
      <c r="Q127" s="2257"/>
      <c r="R127" s="2257"/>
      <c r="S127" s="2257"/>
      <c r="T127" s="2257"/>
      <c r="U127" s="2257"/>
      <c r="V127" s="2257"/>
      <c r="W127" s="2257"/>
      <c r="X127" s="2258"/>
      <c r="Y127" s="3791" t="s">
        <v>144</v>
      </c>
      <c r="Z127" s="1061"/>
      <c r="AA127" s="628"/>
    </row>
    <row r="128" spans="1:35" ht="23.45" hidden="1" customHeight="1">
      <c r="A128" s="3788"/>
      <c r="B128" s="2259" t="s">
        <v>21</v>
      </c>
      <c r="C128" s="2260"/>
      <c r="D128" s="1551">
        <f t="shared" ref="D128:L128" si="77">+D129+D132</f>
        <v>0</v>
      </c>
      <c r="E128" s="1551">
        <f t="shared" si="77"/>
        <v>0</v>
      </c>
      <c r="F128" s="1551">
        <f t="shared" si="77"/>
        <v>0</v>
      </c>
      <c r="G128" s="1551">
        <f t="shared" si="77"/>
        <v>0</v>
      </c>
      <c r="H128" s="1551">
        <f t="shared" si="77"/>
        <v>0</v>
      </c>
      <c r="I128" s="1551">
        <f t="shared" si="77"/>
        <v>0</v>
      </c>
      <c r="J128" s="1551">
        <f t="shared" si="77"/>
        <v>0</v>
      </c>
      <c r="K128" s="1551">
        <f t="shared" si="77"/>
        <v>0</v>
      </c>
      <c r="L128" s="1551">
        <f t="shared" si="77"/>
        <v>0</v>
      </c>
      <c r="M128" s="1551">
        <f>+M129+M132</f>
        <v>0</v>
      </c>
      <c r="N128" s="1551">
        <f>+N129+N132</f>
        <v>0</v>
      </c>
      <c r="O128" s="1551">
        <f>+O129+O132</f>
        <v>0</v>
      </c>
      <c r="P128" s="1551">
        <f>+P129+P132</f>
        <v>0</v>
      </c>
      <c r="Q128" s="1551"/>
      <c r="R128" s="1551"/>
      <c r="S128" s="1551"/>
      <c r="T128" s="1551"/>
      <c r="U128" s="1551"/>
      <c r="V128" s="1551"/>
      <c r="W128" s="1551"/>
      <c r="X128" s="2261">
        <f>+X129+X132</f>
        <v>0</v>
      </c>
      <c r="Y128" s="3791"/>
      <c r="Z128" s="1061">
        <f>+O128+P128+Q128+R128</f>
        <v>0</v>
      </c>
    </row>
    <row r="129" spans="1:26" ht="23.45" hidden="1" customHeight="1">
      <c r="A129" s="3788"/>
      <c r="B129" s="2262" t="s">
        <v>35</v>
      </c>
      <c r="C129" s="3794" t="s">
        <v>309</v>
      </c>
      <c r="D129" s="1763">
        <f t="shared" ref="D129:L129" si="78">+D130+D131</f>
        <v>0</v>
      </c>
      <c r="E129" s="1763">
        <f t="shared" si="78"/>
        <v>0</v>
      </c>
      <c r="F129" s="1763">
        <f t="shared" si="78"/>
        <v>0</v>
      </c>
      <c r="G129" s="1763">
        <f t="shared" si="78"/>
        <v>0</v>
      </c>
      <c r="H129" s="1763">
        <f t="shared" si="78"/>
        <v>0</v>
      </c>
      <c r="I129" s="1763">
        <f t="shared" si="78"/>
        <v>0</v>
      </c>
      <c r="J129" s="1763">
        <f t="shared" si="78"/>
        <v>0</v>
      </c>
      <c r="K129" s="1763">
        <f t="shared" si="78"/>
        <v>0</v>
      </c>
      <c r="L129" s="1763">
        <f t="shared" si="78"/>
        <v>0</v>
      </c>
      <c r="M129" s="1763">
        <f>+M130+M131</f>
        <v>0</v>
      </c>
      <c r="N129" s="1763">
        <f>+N130+N131</f>
        <v>0</v>
      </c>
      <c r="O129" s="1763">
        <f>+O130+O131</f>
        <v>0</v>
      </c>
      <c r="P129" s="1763">
        <f>+P130+P131</f>
        <v>0</v>
      </c>
      <c r="Q129" s="1763"/>
      <c r="R129" s="1763"/>
      <c r="S129" s="1763"/>
      <c r="T129" s="1763"/>
      <c r="U129" s="1763"/>
      <c r="V129" s="1763"/>
      <c r="W129" s="1763"/>
      <c r="X129" s="1751">
        <f>+X130+X131</f>
        <v>0</v>
      </c>
      <c r="Y129" s="3791"/>
      <c r="Z129" s="1060"/>
    </row>
    <row r="130" spans="1:26" ht="22.9" hidden="1" customHeight="1">
      <c r="A130" s="3788"/>
      <c r="B130" s="2263" t="s">
        <v>23</v>
      </c>
      <c r="C130" s="3795"/>
      <c r="D130" s="2266">
        <f>M130+O130+P130+Q130+R130+S130+T130+U130+V130+W130</f>
        <v>0</v>
      </c>
      <c r="E130" s="1710"/>
      <c r="F130" s="1710"/>
      <c r="G130" s="1710"/>
      <c r="H130" s="1713"/>
      <c r="I130" s="1713"/>
      <c r="J130" s="1713"/>
      <c r="K130" s="1710"/>
      <c r="L130" s="1710"/>
      <c r="M130" s="1710"/>
      <c r="N130" s="1713"/>
      <c r="O130" s="1710"/>
      <c r="P130" s="1710">
        <v>0</v>
      </c>
      <c r="Q130" s="1710"/>
      <c r="R130" s="1710"/>
      <c r="S130" s="1710"/>
      <c r="T130" s="1710"/>
      <c r="U130" s="1710"/>
      <c r="V130" s="1710"/>
      <c r="W130" s="1710"/>
      <c r="X130" s="2265">
        <f>SUM(P130:T130)</f>
        <v>0</v>
      </c>
      <c r="Y130" s="3791"/>
      <c r="Z130" s="1060"/>
    </row>
    <row r="131" spans="1:26" ht="22.9" hidden="1" customHeight="1">
      <c r="A131" s="3788"/>
      <c r="B131" s="2263" t="s">
        <v>24</v>
      </c>
      <c r="C131" s="3795"/>
      <c r="D131" s="2266">
        <f>M131+O131+P131+Q131+R131+S131+T131+U131+V131+W131</f>
        <v>0</v>
      </c>
      <c r="E131" s="1710"/>
      <c r="F131" s="1710"/>
      <c r="G131" s="1710"/>
      <c r="H131" s="1713"/>
      <c r="I131" s="1713"/>
      <c r="J131" s="1713"/>
      <c r="K131" s="1710"/>
      <c r="L131" s="1710"/>
      <c r="M131" s="1710"/>
      <c r="N131" s="1710"/>
      <c r="O131" s="1710"/>
      <c r="P131" s="1710">
        <v>0</v>
      </c>
      <c r="Q131" s="1710"/>
      <c r="R131" s="1710"/>
      <c r="S131" s="1710"/>
      <c r="T131" s="1710"/>
      <c r="U131" s="1710"/>
      <c r="V131" s="1710"/>
      <c r="W131" s="1710"/>
      <c r="X131" s="2265">
        <f>SUM(O131:R131)</f>
        <v>0</v>
      </c>
      <c r="Y131" s="3791"/>
      <c r="Z131" s="1061"/>
    </row>
    <row r="132" spans="1:26" ht="22.9" hidden="1" customHeight="1">
      <c r="A132" s="3788"/>
      <c r="B132" s="2267" t="s">
        <v>29</v>
      </c>
      <c r="C132" s="3795"/>
      <c r="D132" s="2268">
        <f>+D133</f>
        <v>0</v>
      </c>
      <c r="E132" s="2268">
        <f t="shared" ref="E132:X132" si="79">+E133</f>
        <v>0</v>
      </c>
      <c r="F132" s="2268">
        <f t="shared" si="79"/>
        <v>0</v>
      </c>
      <c r="G132" s="2268">
        <f t="shared" si="79"/>
        <v>0</v>
      </c>
      <c r="H132" s="2268">
        <f t="shared" si="79"/>
        <v>0</v>
      </c>
      <c r="I132" s="2268">
        <f t="shared" si="79"/>
        <v>0</v>
      </c>
      <c r="J132" s="2268">
        <f t="shared" si="79"/>
        <v>0</v>
      </c>
      <c r="K132" s="2268">
        <f t="shared" si="79"/>
        <v>0</v>
      </c>
      <c r="L132" s="2268">
        <f t="shared" si="79"/>
        <v>0</v>
      </c>
      <c r="M132" s="2268">
        <f t="shared" si="79"/>
        <v>0</v>
      </c>
      <c r="N132" s="2268">
        <f t="shared" si="79"/>
        <v>0</v>
      </c>
      <c r="O132" s="2268">
        <f t="shared" si="79"/>
        <v>0</v>
      </c>
      <c r="P132" s="2268">
        <f t="shared" si="79"/>
        <v>0</v>
      </c>
      <c r="Q132" s="2268"/>
      <c r="R132" s="2268"/>
      <c r="S132" s="2268"/>
      <c r="T132" s="2268"/>
      <c r="U132" s="2268"/>
      <c r="V132" s="2268"/>
      <c r="W132" s="2268"/>
      <c r="X132" s="2269">
        <f t="shared" si="79"/>
        <v>0</v>
      </c>
      <c r="Y132" s="3791"/>
      <c r="Z132" s="1060"/>
    </row>
    <row r="133" spans="1:26" ht="22.15" hidden="1" customHeight="1">
      <c r="A133" s="3788"/>
      <c r="B133" s="2263" t="s">
        <v>32</v>
      </c>
      <c r="C133" s="3795"/>
      <c r="D133" s="2266">
        <f>M133+O133+P133+Q133+R133+S133+T133+U133+V133+W133</f>
        <v>0</v>
      </c>
      <c r="E133" s="1710"/>
      <c r="F133" s="1710"/>
      <c r="G133" s="1710"/>
      <c r="H133" s="1713"/>
      <c r="I133" s="1713"/>
      <c r="J133" s="1713"/>
      <c r="K133" s="1710"/>
      <c r="L133" s="1710"/>
      <c r="M133" s="1710"/>
      <c r="N133" s="1710"/>
      <c r="O133" s="1710"/>
      <c r="P133" s="1710">
        <v>0</v>
      </c>
      <c r="Q133" s="1710"/>
      <c r="R133" s="1710"/>
      <c r="S133" s="1710"/>
      <c r="T133" s="1710"/>
      <c r="U133" s="1710"/>
      <c r="V133" s="1710"/>
      <c r="W133" s="1710"/>
      <c r="X133" s="2265">
        <f>SUM(P133:T133)</f>
        <v>0</v>
      </c>
      <c r="Y133" s="3791"/>
      <c r="Z133" s="1060"/>
    </row>
    <row r="134" spans="1:26" ht="21.6" hidden="1" customHeight="1">
      <c r="A134" s="3788"/>
      <c r="B134" s="2259" t="s">
        <v>33</v>
      </c>
      <c r="C134" s="2260"/>
      <c r="D134" s="2270">
        <f t="shared" ref="D134:L134" si="80">+D135+D137</f>
        <v>0</v>
      </c>
      <c r="E134" s="2270">
        <f t="shared" si="80"/>
        <v>0</v>
      </c>
      <c r="F134" s="2270">
        <f t="shared" si="80"/>
        <v>0</v>
      </c>
      <c r="G134" s="2270">
        <f t="shared" si="80"/>
        <v>0</v>
      </c>
      <c r="H134" s="2270">
        <f t="shared" si="80"/>
        <v>0</v>
      </c>
      <c r="I134" s="2270">
        <f t="shared" si="80"/>
        <v>0</v>
      </c>
      <c r="J134" s="2270">
        <f t="shared" si="80"/>
        <v>0</v>
      </c>
      <c r="K134" s="2270">
        <f t="shared" si="80"/>
        <v>0</v>
      </c>
      <c r="L134" s="2270">
        <f t="shared" si="80"/>
        <v>0</v>
      </c>
      <c r="M134" s="2270">
        <f>+M135+M137</f>
        <v>0</v>
      </c>
      <c r="N134" s="2270">
        <f>+N135+N137</f>
        <v>0</v>
      </c>
      <c r="O134" s="2270">
        <f>+O135+O137</f>
        <v>0</v>
      </c>
      <c r="P134" s="2270">
        <f>+P135+P137</f>
        <v>0</v>
      </c>
      <c r="Q134" s="2270"/>
      <c r="R134" s="2270"/>
      <c r="S134" s="2270"/>
      <c r="T134" s="2270"/>
      <c r="U134" s="2270"/>
      <c r="V134" s="2270"/>
      <c r="W134" s="2270"/>
      <c r="X134" s="3796" t="s">
        <v>75</v>
      </c>
      <c r="Y134" s="3792"/>
      <c r="Z134" s="1060"/>
    </row>
    <row r="135" spans="1:26" ht="21" hidden="1" customHeight="1">
      <c r="A135" s="3788"/>
      <c r="B135" s="2262" t="s">
        <v>35</v>
      </c>
      <c r="C135" s="3798" t="s">
        <v>309</v>
      </c>
      <c r="D135" s="2268">
        <f t="shared" ref="D135:P135" si="81">+D136</f>
        <v>0</v>
      </c>
      <c r="E135" s="2268">
        <f t="shared" si="81"/>
        <v>0</v>
      </c>
      <c r="F135" s="2268">
        <f t="shared" si="81"/>
        <v>0</v>
      </c>
      <c r="G135" s="2268">
        <f t="shared" si="81"/>
        <v>0</v>
      </c>
      <c r="H135" s="2268">
        <f t="shared" si="81"/>
        <v>0</v>
      </c>
      <c r="I135" s="2268">
        <f t="shared" si="81"/>
        <v>0</v>
      </c>
      <c r="J135" s="2268">
        <f t="shared" si="81"/>
        <v>0</v>
      </c>
      <c r="K135" s="2268">
        <f t="shared" si="81"/>
        <v>0</v>
      </c>
      <c r="L135" s="2268">
        <f t="shared" si="81"/>
        <v>0</v>
      </c>
      <c r="M135" s="2268">
        <f t="shared" si="81"/>
        <v>0</v>
      </c>
      <c r="N135" s="2268">
        <f t="shared" si="81"/>
        <v>0</v>
      </c>
      <c r="O135" s="2268">
        <f t="shared" si="81"/>
        <v>0</v>
      </c>
      <c r="P135" s="2268">
        <f t="shared" si="81"/>
        <v>0</v>
      </c>
      <c r="Q135" s="2268"/>
      <c r="R135" s="2268"/>
      <c r="S135" s="2268"/>
      <c r="T135" s="2268"/>
      <c r="U135" s="2268"/>
      <c r="V135" s="2268"/>
      <c r="W135" s="2268"/>
      <c r="X135" s="3796"/>
      <c r="Y135" s="3792"/>
      <c r="Z135" s="1060"/>
    </row>
    <row r="136" spans="1:26" ht="21" hidden="1" customHeight="1">
      <c r="A136" s="3788"/>
      <c r="B136" s="2263" t="s">
        <v>24</v>
      </c>
      <c r="C136" s="3795"/>
      <c r="D136" s="2266">
        <f>M136+O136+P136+Q136+R136+S136+T136+U136+V136+W136</f>
        <v>0</v>
      </c>
      <c r="E136" s="1710"/>
      <c r="F136" s="2266"/>
      <c r="G136" s="2266"/>
      <c r="H136" s="2266"/>
      <c r="I136" s="2266"/>
      <c r="J136" s="2266"/>
      <c r="K136" s="2266"/>
      <c r="L136" s="2266"/>
      <c r="M136" s="1710"/>
      <c r="N136" s="2266"/>
      <c r="O136" s="2266"/>
      <c r="P136" s="2266"/>
      <c r="Q136" s="2266"/>
      <c r="R136" s="2266"/>
      <c r="S136" s="2266"/>
      <c r="T136" s="2266"/>
      <c r="U136" s="2266"/>
      <c r="V136" s="2266"/>
      <c r="W136" s="2266"/>
      <c r="X136" s="3796"/>
      <c r="Y136" s="3792"/>
      <c r="Z136" s="1060"/>
    </row>
    <row r="137" spans="1:26" ht="36.6" hidden="1" customHeight="1">
      <c r="A137" s="3788"/>
      <c r="B137" s="2267" t="s">
        <v>29</v>
      </c>
      <c r="C137" s="3799"/>
      <c r="D137" s="2268">
        <f t="shared" ref="D137:P137" si="82">+D138</f>
        <v>0</v>
      </c>
      <c r="E137" s="2268">
        <f t="shared" si="82"/>
        <v>0</v>
      </c>
      <c r="F137" s="2268">
        <f t="shared" si="82"/>
        <v>0</v>
      </c>
      <c r="G137" s="2268">
        <f t="shared" si="82"/>
        <v>0</v>
      </c>
      <c r="H137" s="2268">
        <f t="shared" si="82"/>
        <v>0</v>
      </c>
      <c r="I137" s="2268">
        <f t="shared" si="82"/>
        <v>0</v>
      </c>
      <c r="J137" s="2268">
        <f t="shared" si="82"/>
        <v>0</v>
      </c>
      <c r="K137" s="2268">
        <f t="shared" si="82"/>
        <v>0</v>
      </c>
      <c r="L137" s="2268">
        <f t="shared" si="82"/>
        <v>0</v>
      </c>
      <c r="M137" s="2268">
        <f t="shared" si="82"/>
        <v>0</v>
      </c>
      <c r="N137" s="2268">
        <f t="shared" si="82"/>
        <v>0</v>
      </c>
      <c r="O137" s="2268">
        <f t="shared" si="82"/>
        <v>0</v>
      </c>
      <c r="P137" s="2268">
        <f t="shared" si="82"/>
        <v>0</v>
      </c>
      <c r="Q137" s="2268"/>
      <c r="R137" s="2268"/>
      <c r="S137" s="2268"/>
      <c r="T137" s="2268"/>
      <c r="U137" s="2268"/>
      <c r="V137" s="2268"/>
      <c r="W137" s="2268"/>
      <c r="X137" s="3796"/>
      <c r="Y137" s="3792"/>
      <c r="Z137" s="1060"/>
    </row>
    <row r="138" spans="1:26" ht="18" hidden="1" customHeight="1">
      <c r="A138" s="3788"/>
      <c r="B138" s="2468" t="s">
        <v>32</v>
      </c>
      <c r="C138" s="3799"/>
      <c r="D138" s="2266">
        <f>M138+O138+P138+Q138+R138+S138+T138+U138+V138+W138</f>
        <v>0</v>
      </c>
      <c r="E138" s="1710"/>
      <c r="F138" s="1710"/>
      <c r="G138" s="1710"/>
      <c r="H138" s="1710"/>
      <c r="I138" s="1710"/>
      <c r="J138" s="1710"/>
      <c r="K138" s="1710"/>
      <c r="L138" s="1710"/>
      <c r="M138" s="1710"/>
      <c r="N138" s="1710"/>
      <c r="O138" s="1710"/>
      <c r="P138" s="1710"/>
      <c r="Q138" s="1710"/>
      <c r="R138" s="1710"/>
      <c r="S138" s="1710"/>
      <c r="T138" s="1710"/>
      <c r="U138" s="1710"/>
      <c r="V138" s="1710"/>
      <c r="W138" s="1710"/>
      <c r="X138" s="3796"/>
      <c r="Y138" s="3792"/>
      <c r="Z138" s="1060"/>
    </row>
    <row r="139" spans="1:26" ht="18" hidden="1" customHeight="1">
      <c r="A139" s="3788" t="s">
        <v>105</v>
      </c>
      <c r="B139" s="2255"/>
      <c r="C139" s="2256"/>
      <c r="D139" s="1740"/>
      <c r="E139" s="1740"/>
      <c r="F139" s="1740"/>
      <c r="G139" s="1740"/>
      <c r="H139" s="1740"/>
      <c r="I139" s="2257"/>
      <c r="J139" s="2257"/>
      <c r="K139" s="2257"/>
      <c r="L139" s="2257"/>
      <c r="M139" s="2257"/>
      <c r="N139" s="2257"/>
      <c r="O139" s="2257"/>
      <c r="P139" s="2257"/>
      <c r="Q139" s="2257"/>
      <c r="R139" s="2257"/>
      <c r="S139" s="2257"/>
      <c r="T139" s="2257"/>
      <c r="U139" s="2257"/>
      <c r="V139" s="2257"/>
      <c r="W139" s="2257"/>
      <c r="X139" s="2258"/>
      <c r="Y139" s="3791" t="s">
        <v>144</v>
      </c>
      <c r="Z139" s="1060"/>
    </row>
    <row r="140" spans="1:26" ht="19.149999999999999" hidden="1" customHeight="1">
      <c r="A140" s="3788"/>
      <c r="B140" s="2259" t="s">
        <v>21</v>
      </c>
      <c r="C140" s="2260"/>
      <c r="D140" s="1551">
        <f t="shared" ref="D140:P140" si="83">+D141+D144</f>
        <v>0</v>
      </c>
      <c r="E140" s="1551">
        <f t="shared" si="83"/>
        <v>0</v>
      </c>
      <c r="F140" s="1551">
        <f t="shared" si="83"/>
        <v>0</v>
      </c>
      <c r="G140" s="1551">
        <f t="shared" si="83"/>
        <v>0</v>
      </c>
      <c r="H140" s="1551">
        <f t="shared" si="83"/>
        <v>0</v>
      </c>
      <c r="I140" s="1551">
        <f t="shared" si="83"/>
        <v>0</v>
      </c>
      <c r="J140" s="1551">
        <f t="shared" si="83"/>
        <v>0</v>
      </c>
      <c r="K140" s="1551">
        <f t="shared" si="83"/>
        <v>0</v>
      </c>
      <c r="L140" s="1551">
        <f t="shared" si="83"/>
        <v>0</v>
      </c>
      <c r="M140" s="1551">
        <f>+M141+M144</f>
        <v>0</v>
      </c>
      <c r="N140" s="1551">
        <f t="shared" si="83"/>
        <v>0</v>
      </c>
      <c r="O140" s="1551">
        <f t="shared" si="83"/>
        <v>0</v>
      </c>
      <c r="P140" s="1551">
        <f t="shared" si="83"/>
        <v>0</v>
      </c>
      <c r="Q140" s="1551"/>
      <c r="R140" s="1551"/>
      <c r="S140" s="1551"/>
      <c r="T140" s="1551"/>
      <c r="U140" s="1551"/>
      <c r="V140" s="1551"/>
      <c r="W140" s="1551"/>
      <c r="X140" s="2261">
        <f>+X141+X144</f>
        <v>0</v>
      </c>
      <c r="Y140" s="3791"/>
      <c r="Z140" s="1061">
        <f>+O140+P140+Q140+R140</f>
        <v>0</v>
      </c>
    </row>
    <row r="141" spans="1:26" ht="19.149999999999999" hidden="1" customHeight="1">
      <c r="A141" s="3788"/>
      <c r="B141" s="2262" t="s">
        <v>35</v>
      </c>
      <c r="C141" s="3794" t="s">
        <v>309</v>
      </c>
      <c r="D141" s="1763">
        <f t="shared" ref="D141:P141" si="84">+D142+D143</f>
        <v>0</v>
      </c>
      <c r="E141" s="1763">
        <f t="shared" si="84"/>
        <v>0</v>
      </c>
      <c r="F141" s="1763">
        <f t="shared" si="84"/>
        <v>0</v>
      </c>
      <c r="G141" s="1763">
        <f t="shared" si="84"/>
        <v>0</v>
      </c>
      <c r="H141" s="1763">
        <f t="shared" si="84"/>
        <v>0</v>
      </c>
      <c r="I141" s="1763">
        <f t="shared" si="84"/>
        <v>0</v>
      </c>
      <c r="J141" s="1763">
        <f t="shared" si="84"/>
        <v>0</v>
      </c>
      <c r="K141" s="1763">
        <f t="shared" si="84"/>
        <v>0</v>
      </c>
      <c r="L141" s="1763">
        <f t="shared" si="84"/>
        <v>0</v>
      </c>
      <c r="M141" s="1763">
        <f>+M142+M143</f>
        <v>0</v>
      </c>
      <c r="N141" s="1763">
        <f t="shared" si="84"/>
        <v>0</v>
      </c>
      <c r="O141" s="1763">
        <f t="shared" si="84"/>
        <v>0</v>
      </c>
      <c r="P141" s="1763">
        <f t="shared" si="84"/>
        <v>0</v>
      </c>
      <c r="Q141" s="1763"/>
      <c r="R141" s="1763"/>
      <c r="S141" s="1763"/>
      <c r="T141" s="1763"/>
      <c r="U141" s="1763"/>
      <c r="V141" s="1763"/>
      <c r="W141" s="1763"/>
      <c r="X141" s="1751">
        <f>+X142+X143</f>
        <v>0</v>
      </c>
      <c r="Y141" s="3791"/>
      <c r="Z141" s="1060"/>
    </row>
    <row r="142" spans="1:26" ht="20.45" hidden="1" customHeight="1">
      <c r="A142" s="3788"/>
      <c r="B142" s="2263" t="s">
        <v>23</v>
      </c>
      <c r="C142" s="3795"/>
      <c r="D142" s="2266">
        <f>SUM(M142:R142)</f>
        <v>0</v>
      </c>
      <c r="E142" s="1710">
        <f>+F142+G142+H142</f>
        <v>0</v>
      </c>
      <c r="F142" s="1710"/>
      <c r="G142" s="1710"/>
      <c r="H142" s="1710"/>
      <c r="I142" s="1713"/>
      <c r="J142" s="1713"/>
      <c r="K142" s="1710"/>
      <c r="L142" s="1710"/>
      <c r="M142" s="1710">
        <f>+L142+K142+J142+I142+E142</f>
        <v>0</v>
      </c>
      <c r="N142" s="1710"/>
      <c r="O142" s="1710"/>
      <c r="P142" s="1710">
        <v>0</v>
      </c>
      <c r="Q142" s="1710"/>
      <c r="R142" s="1710"/>
      <c r="S142" s="1710"/>
      <c r="T142" s="1710"/>
      <c r="U142" s="1710"/>
      <c r="V142" s="1710"/>
      <c r="W142" s="1710"/>
      <c r="X142" s="2265">
        <f>SUM(P142:S142)</f>
        <v>0</v>
      </c>
      <c r="Y142" s="3791"/>
      <c r="Z142" s="1060"/>
    </row>
    <row r="143" spans="1:26" ht="18.600000000000001" hidden="1" customHeight="1">
      <c r="A143" s="3788"/>
      <c r="B143" s="2263" t="s">
        <v>24</v>
      </c>
      <c r="C143" s="3795"/>
      <c r="D143" s="2266">
        <f>+E143+I143+J143+K143+L143+N143+O143</f>
        <v>0</v>
      </c>
      <c r="E143" s="1710">
        <f>+F143+G143+H143</f>
        <v>0</v>
      </c>
      <c r="F143" s="1710"/>
      <c r="G143" s="1710">
        <v>0</v>
      </c>
      <c r="H143" s="1713"/>
      <c r="I143" s="1713"/>
      <c r="J143" s="1713"/>
      <c r="K143" s="1710">
        <v>0</v>
      </c>
      <c r="L143" s="1710">
        <v>0</v>
      </c>
      <c r="M143" s="1710"/>
      <c r="N143" s="1710">
        <v>0</v>
      </c>
      <c r="O143" s="1710">
        <v>0</v>
      </c>
      <c r="P143" s="1710">
        <v>0</v>
      </c>
      <c r="Q143" s="1710"/>
      <c r="R143" s="1710"/>
      <c r="S143" s="1710"/>
      <c r="T143" s="1710"/>
      <c r="U143" s="1710"/>
      <c r="V143" s="1710"/>
      <c r="W143" s="1710"/>
      <c r="X143" s="2265">
        <f>SUM(O143:R143)</f>
        <v>0</v>
      </c>
      <c r="Y143" s="3791"/>
      <c r="Z143" s="1060"/>
    </row>
    <row r="144" spans="1:26" ht="18" hidden="1" customHeight="1">
      <c r="A144" s="3788"/>
      <c r="B144" s="2267" t="s">
        <v>29</v>
      </c>
      <c r="C144" s="3795"/>
      <c r="D144" s="2268">
        <f>+D145</f>
        <v>0</v>
      </c>
      <c r="E144" s="2268">
        <f t="shared" ref="E144:X144" si="85">+E145</f>
        <v>0</v>
      </c>
      <c r="F144" s="2268">
        <f t="shared" si="85"/>
        <v>0</v>
      </c>
      <c r="G144" s="2268">
        <f t="shared" si="85"/>
        <v>0</v>
      </c>
      <c r="H144" s="2268">
        <f t="shared" si="85"/>
        <v>0</v>
      </c>
      <c r="I144" s="2268">
        <f t="shared" si="85"/>
        <v>0</v>
      </c>
      <c r="J144" s="2268">
        <f t="shared" si="85"/>
        <v>0</v>
      </c>
      <c r="K144" s="2268">
        <f t="shared" si="85"/>
        <v>0</v>
      </c>
      <c r="L144" s="2268">
        <f t="shared" si="85"/>
        <v>0</v>
      </c>
      <c r="M144" s="2268">
        <f t="shared" si="85"/>
        <v>0</v>
      </c>
      <c r="N144" s="2268">
        <f t="shared" si="85"/>
        <v>0</v>
      </c>
      <c r="O144" s="2268">
        <f t="shared" si="85"/>
        <v>0</v>
      </c>
      <c r="P144" s="2268">
        <f t="shared" si="85"/>
        <v>0</v>
      </c>
      <c r="Q144" s="2268"/>
      <c r="R144" s="2268"/>
      <c r="S144" s="2268"/>
      <c r="T144" s="2268"/>
      <c r="U144" s="2268"/>
      <c r="V144" s="2268"/>
      <c r="W144" s="2268"/>
      <c r="X144" s="2269">
        <f t="shared" si="85"/>
        <v>0</v>
      </c>
      <c r="Y144" s="3791"/>
      <c r="Z144" s="1060"/>
    </row>
    <row r="145" spans="1:26" ht="16.149999999999999" hidden="1" customHeight="1">
      <c r="A145" s="3788"/>
      <c r="B145" s="2263" t="s">
        <v>32</v>
      </c>
      <c r="C145" s="3795"/>
      <c r="D145" s="2266">
        <f>SUM(M145:R145)</f>
        <v>0</v>
      </c>
      <c r="E145" s="1710">
        <f>+F145+G145+H145</f>
        <v>0</v>
      </c>
      <c r="F145" s="1710"/>
      <c r="G145" s="1710"/>
      <c r="H145" s="1710"/>
      <c r="I145" s="1713"/>
      <c r="J145" s="1713"/>
      <c r="K145" s="1710"/>
      <c r="L145" s="1710"/>
      <c r="M145" s="1710">
        <f>+L145+K145+J145+I145+E145</f>
        <v>0</v>
      </c>
      <c r="N145" s="1710"/>
      <c r="O145" s="1710"/>
      <c r="P145" s="1710">
        <v>0</v>
      </c>
      <c r="Q145" s="1710"/>
      <c r="R145" s="1710"/>
      <c r="S145" s="1710"/>
      <c r="T145" s="1710"/>
      <c r="U145" s="1710"/>
      <c r="V145" s="1710"/>
      <c r="W145" s="1710"/>
      <c r="X145" s="2265">
        <f>SUM(P145:S145)</f>
        <v>0</v>
      </c>
      <c r="Y145" s="3791"/>
      <c r="Z145" s="1060"/>
    </row>
    <row r="146" spans="1:26" ht="22.15" hidden="1" customHeight="1">
      <c r="A146" s="3788"/>
      <c r="B146" s="2259" t="s">
        <v>33</v>
      </c>
      <c r="C146" s="2260"/>
      <c r="D146" s="2270">
        <f t="shared" ref="D146:L146" si="86">+D147+D149</f>
        <v>0</v>
      </c>
      <c r="E146" s="2270">
        <f t="shared" si="86"/>
        <v>0</v>
      </c>
      <c r="F146" s="2270">
        <f t="shared" si="86"/>
        <v>0</v>
      </c>
      <c r="G146" s="2270">
        <f t="shared" si="86"/>
        <v>0</v>
      </c>
      <c r="H146" s="2270">
        <f t="shared" si="86"/>
        <v>0</v>
      </c>
      <c r="I146" s="2270">
        <f t="shared" si="86"/>
        <v>0</v>
      </c>
      <c r="J146" s="2270">
        <f t="shared" si="86"/>
        <v>0</v>
      </c>
      <c r="K146" s="2270">
        <f t="shared" si="86"/>
        <v>0</v>
      </c>
      <c r="L146" s="2270">
        <f t="shared" si="86"/>
        <v>0</v>
      </c>
      <c r="M146" s="2270">
        <f>+M147+M149</f>
        <v>0</v>
      </c>
      <c r="N146" s="2270">
        <f>+N147+N149</f>
        <v>0</v>
      </c>
      <c r="O146" s="2270">
        <f>+O147+O149</f>
        <v>0</v>
      </c>
      <c r="P146" s="2270">
        <f>+P147+P149</f>
        <v>0</v>
      </c>
      <c r="Q146" s="2270"/>
      <c r="R146" s="2270"/>
      <c r="S146" s="2270"/>
      <c r="T146" s="2270"/>
      <c r="U146" s="2270"/>
      <c r="V146" s="2270"/>
      <c r="W146" s="2270"/>
      <c r="X146" s="3796" t="s">
        <v>75</v>
      </c>
      <c r="Y146" s="3792"/>
      <c r="Z146" s="1060"/>
    </row>
    <row r="147" spans="1:26" ht="22.15" hidden="1" customHeight="1">
      <c r="A147" s="3788"/>
      <c r="B147" s="2262" t="s">
        <v>35</v>
      </c>
      <c r="C147" s="3798" t="s">
        <v>310</v>
      </c>
      <c r="D147" s="2268">
        <f t="shared" ref="D147:P147" si="87">+D148</f>
        <v>0</v>
      </c>
      <c r="E147" s="2268">
        <f t="shared" si="87"/>
        <v>0</v>
      </c>
      <c r="F147" s="2268">
        <f t="shared" si="87"/>
        <v>0</v>
      </c>
      <c r="G147" s="2268">
        <f t="shared" si="87"/>
        <v>0</v>
      </c>
      <c r="H147" s="2268">
        <f t="shared" si="87"/>
        <v>0</v>
      </c>
      <c r="I147" s="2268">
        <f t="shared" si="87"/>
        <v>0</v>
      </c>
      <c r="J147" s="2268">
        <f t="shared" si="87"/>
        <v>0</v>
      </c>
      <c r="K147" s="2268">
        <f t="shared" si="87"/>
        <v>0</v>
      </c>
      <c r="L147" s="2268">
        <f t="shared" si="87"/>
        <v>0</v>
      </c>
      <c r="M147" s="2268">
        <f t="shared" si="87"/>
        <v>0</v>
      </c>
      <c r="N147" s="2268">
        <f t="shared" si="87"/>
        <v>0</v>
      </c>
      <c r="O147" s="2268">
        <f t="shared" si="87"/>
        <v>0</v>
      </c>
      <c r="P147" s="2268">
        <f t="shared" si="87"/>
        <v>0</v>
      </c>
      <c r="Q147" s="2268"/>
      <c r="R147" s="2268"/>
      <c r="S147" s="2268"/>
      <c r="T147" s="2268"/>
      <c r="U147" s="2268"/>
      <c r="V147" s="2268"/>
      <c r="W147" s="2268"/>
      <c r="X147" s="3796"/>
      <c r="Y147" s="3792"/>
      <c r="Z147" s="1060"/>
    </row>
    <row r="148" spans="1:26" ht="21" hidden="1" customHeight="1">
      <c r="A148" s="3788"/>
      <c r="B148" s="2263" t="s">
        <v>24</v>
      </c>
      <c r="C148" s="3795"/>
      <c r="D148" s="2266">
        <f>+E148+I148+J148+K148+L148+N148+O148</f>
        <v>0</v>
      </c>
      <c r="E148" s="1710">
        <f>+F148+G148+H148</f>
        <v>0</v>
      </c>
      <c r="F148" s="2266"/>
      <c r="G148" s="2266"/>
      <c r="H148" s="2266"/>
      <c r="I148" s="2266"/>
      <c r="J148" s="2266"/>
      <c r="K148" s="2266">
        <v>0</v>
      </c>
      <c r="L148" s="2266">
        <v>0</v>
      </c>
      <c r="M148" s="2266">
        <v>0</v>
      </c>
      <c r="N148" s="2266">
        <v>0</v>
      </c>
      <c r="O148" s="2266">
        <v>0</v>
      </c>
      <c r="P148" s="2266">
        <v>0</v>
      </c>
      <c r="Q148" s="2266"/>
      <c r="R148" s="2266"/>
      <c r="S148" s="2266"/>
      <c r="T148" s="2266"/>
      <c r="U148" s="2266"/>
      <c r="V148" s="2266"/>
      <c r="W148" s="2266"/>
      <c r="X148" s="3796"/>
      <c r="Y148" s="3792"/>
      <c r="Z148" s="1060"/>
    </row>
    <row r="149" spans="1:26" ht="20.45" hidden="1" customHeight="1">
      <c r="A149" s="3788"/>
      <c r="B149" s="2267" t="s">
        <v>29</v>
      </c>
      <c r="C149" s="3799"/>
      <c r="D149" s="2268">
        <f t="shared" ref="D149:P149" si="88">+D150</f>
        <v>0</v>
      </c>
      <c r="E149" s="2268">
        <f t="shared" si="88"/>
        <v>0</v>
      </c>
      <c r="F149" s="2268">
        <f t="shared" si="88"/>
        <v>0</v>
      </c>
      <c r="G149" s="2268">
        <f t="shared" si="88"/>
        <v>0</v>
      </c>
      <c r="H149" s="2268">
        <f t="shared" si="88"/>
        <v>0</v>
      </c>
      <c r="I149" s="2268">
        <f t="shared" si="88"/>
        <v>0</v>
      </c>
      <c r="J149" s="2268">
        <f t="shared" si="88"/>
        <v>0</v>
      </c>
      <c r="K149" s="2268">
        <f t="shared" si="88"/>
        <v>0</v>
      </c>
      <c r="L149" s="2268">
        <f t="shared" si="88"/>
        <v>0</v>
      </c>
      <c r="M149" s="2268">
        <f t="shared" si="88"/>
        <v>0</v>
      </c>
      <c r="N149" s="2268">
        <f t="shared" si="88"/>
        <v>0</v>
      </c>
      <c r="O149" s="2268">
        <f t="shared" si="88"/>
        <v>0</v>
      </c>
      <c r="P149" s="2268">
        <f t="shared" si="88"/>
        <v>0</v>
      </c>
      <c r="Q149" s="2268"/>
      <c r="R149" s="2268"/>
      <c r="S149" s="2268"/>
      <c r="T149" s="2268"/>
      <c r="U149" s="2268"/>
      <c r="V149" s="2268"/>
      <c r="W149" s="2268"/>
      <c r="X149" s="3796"/>
      <c r="Y149" s="3792"/>
      <c r="Z149" s="1060"/>
    </row>
    <row r="150" spans="1:26" ht="21.6" hidden="1" customHeight="1">
      <c r="A150" s="3788"/>
      <c r="B150" s="2333" t="s">
        <v>32</v>
      </c>
      <c r="C150" s="3799"/>
      <c r="D150" s="2266">
        <f>SUM(M150:R150)</f>
        <v>0</v>
      </c>
      <c r="E150" s="1710">
        <f>+F150+G150+H150</f>
        <v>0</v>
      </c>
      <c r="F150" s="1710"/>
      <c r="G150" s="1710"/>
      <c r="H150" s="1710"/>
      <c r="I150" s="1710"/>
      <c r="J150" s="1710"/>
      <c r="K150" s="1710">
        <v>0</v>
      </c>
      <c r="L150" s="1710"/>
      <c r="M150" s="1710">
        <f>+L150+K150+J150+I150+E150</f>
        <v>0</v>
      </c>
      <c r="N150" s="1710"/>
      <c r="O150" s="1710">
        <v>0</v>
      </c>
      <c r="P150" s="1710">
        <v>0</v>
      </c>
      <c r="Q150" s="1710"/>
      <c r="R150" s="1710"/>
      <c r="S150" s="1710"/>
      <c r="T150" s="1710"/>
      <c r="U150" s="1710"/>
      <c r="V150" s="1710"/>
      <c r="W150" s="1710"/>
      <c r="X150" s="3796"/>
      <c r="Y150" s="3792"/>
      <c r="Z150" s="1060"/>
    </row>
    <row r="151" spans="1:26" ht="24.75" customHeight="1">
      <c r="A151" s="3788" t="s">
        <v>79</v>
      </c>
      <c r="B151" s="2255" t="s">
        <v>476</v>
      </c>
      <c r="C151" s="2256" t="s">
        <v>125</v>
      </c>
      <c r="D151" s="1740"/>
      <c r="E151" s="1740"/>
      <c r="F151" s="1740"/>
      <c r="G151" s="1740"/>
      <c r="H151" s="1740"/>
      <c r="I151" s="2257"/>
      <c r="J151" s="2257"/>
      <c r="K151" s="2257"/>
      <c r="L151" s="2257"/>
      <c r="M151" s="2257"/>
      <c r="N151" s="2257"/>
      <c r="O151" s="2257"/>
      <c r="P151" s="2257"/>
      <c r="Q151" s="2257"/>
      <c r="R151" s="2257"/>
      <c r="S151" s="2257"/>
      <c r="T151" s="2257"/>
      <c r="U151" s="2257"/>
      <c r="V151" s="2257"/>
      <c r="W151" s="2257"/>
      <c r="X151" s="2258"/>
      <c r="Y151" s="3791" t="s">
        <v>420</v>
      </c>
      <c r="Z151" s="1060"/>
    </row>
    <row r="152" spans="1:26" ht="12" customHeight="1">
      <c r="A152" s="3788"/>
      <c r="B152" s="2259" t="s">
        <v>21</v>
      </c>
      <c r="C152" s="2260"/>
      <c r="D152" s="1551">
        <f t="shared" ref="D152:T152" si="89">+D153+D156</f>
        <v>9546263</v>
      </c>
      <c r="E152" s="1551">
        <f t="shared" si="89"/>
        <v>0</v>
      </c>
      <c r="F152" s="1551">
        <f t="shared" si="89"/>
        <v>0</v>
      </c>
      <c r="G152" s="1551">
        <f t="shared" si="89"/>
        <v>0</v>
      </c>
      <c r="H152" s="1551">
        <f t="shared" si="89"/>
        <v>0</v>
      </c>
      <c r="I152" s="1551">
        <f t="shared" si="89"/>
        <v>0</v>
      </c>
      <c r="J152" s="1551">
        <f t="shared" si="89"/>
        <v>0</v>
      </c>
      <c r="K152" s="1551">
        <f t="shared" si="89"/>
        <v>0</v>
      </c>
      <c r="L152" s="1551">
        <f t="shared" si="89"/>
        <v>0</v>
      </c>
      <c r="M152" s="1551">
        <f t="shared" si="89"/>
        <v>448847</v>
      </c>
      <c r="N152" s="1551">
        <f t="shared" si="89"/>
        <v>0</v>
      </c>
      <c r="O152" s="1551">
        <f t="shared" si="89"/>
        <v>448847</v>
      </c>
      <c r="P152" s="1551">
        <f t="shared" si="89"/>
        <v>1292294</v>
      </c>
      <c r="Q152" s="1551">
        <f t="shared" si="89"/>
        <v>1644518</v>
      </c>
      <c r="R152" s="1551">
        <f t="shared" si="89"/>
        <v>1651824</v>
      </c>
      <c r="S152" s="1551">
        <f t="shared" si="89"/>
        <v>2254390</v>
      </c>
      <c r="T152" s="1551">
        <f t="shared" si="89"/>
        <v>2254390</v>
      </c>
      <c r="U152" s="1551"/>
      <c r="V152" s="1551"/>
      <c r="W152" s="1551"/>
      <c r="X152" s="2261">
        <f>+X153+X156</f>
        <v>7805122</v>
      </c>
      <c r="Y152" s="3791"/>
      <c r="Z152" s="1060"/>
    </row>
    <row r="153" spans="1:26" ht="12" customHeight="1">
      <c r="A153" s="3788"/>
      <c r="B153" s="2262" t="s">
        <v>35</v>
      </c>
      <c r="C153" s="3794" t="s">
        <v>145</v>
      </c>
      <c r="D153" s="1763">
        <f t="shared" ref="D153:T153" si="90">+D154+D155</f>
        <v>1500673</v>
      </c>
      <c r="E153" s="1763">
        <f t="shared" si="90"/>
        <v>0</v>
      </c>
      <c r="F153" s="1763">
        <f t="shared" si="90"/>
        <v>0</v>
      </c>
      <c r="G153" s="1763">
        <f t="shared" si="90"/>
        <v>0</v>
      </c>
      <c r="H153" s="1763">
        <f t="shared" si="90"/>
        <v>0</v>
      </c>
      <c r="I153" s="1763">
        <f t="shared" si="90"/>
        <v>0</v>
      </c>
      <c r="J153" s="1763">
        <f t="shared" si="90"/>
        <v>0</v>
      </c>
      <c r="K153" s="1763">
        <f t="shared" si="90"/>
        <v>0</v>
      </c>
      <c r="L153" s="1763">
        <f t="shared" si="90"/>
        <v>0</v>
      </c>
      <c r="M153" s="1763">
        <f t="shared" si="90"/>
        <v>70559</v>
      </c>
      <c r="N153" s="1763">
        <f t="shared" si="90"/>
        <v>0</v>
      </c>
      <c r="O153" s="1763">
        <f t="shared" si="90"/>
        <v>70559</v>
      </c>
      <c r="P153" s="1763">
        <f t="shared" si="90"/>
        <v>203149</v>
      </c>
      <c r="Q153" s="1763">
        <f t="shared" si="90"/>
        <v>258518</v>
      </c>
      <c r="R153" s="1763">
        <f t="shared" si="90"/>
        <v>259667</v>
      </c>
      <c r="S153" s="1763">
        <f t="shared" si="90"/>
        <v>354390</v>
      </c>
      <c r="T153" s="1763">
        <f t="shared" si="90"/>
        <v>354390</v>
      </c>
      <c r="U153" s="1763"/>
      <c r="V153" s="1763"/>
      <c r="W153" s="1763"/>
      <c r="X153" s="1751">
        <f>+X154+X155</f>
        <v>1226965</v>
      </c>
      <c r="Y153" s="3791"/>
      <c r="Z153" s="1060"/>
    </row>
    <row r="154" spans="1:26" ht="12" customHeight="1">
      <c r="A154" s="3788"/>
      <c r="B154" s="2263" t="s">
        <v>23</v>
      </c>
      <c r="C154" s="3795"/>
      <c r="D154" s="2264">
        <f>M154+P154+Q154+R154+S154+T154+U154+V154+W154</f>
        <v>1500673</v>
      </c>
      <c r="E154" s="1710"/>
      <c r="F154" s="1710"/>
      <c r="G154" s="1710"/>
      <c r="H154" s="1713"/>
      <c r="I154" s="1713"/>
      <c r="J154" s="1713"/>
      <c r="K154" s="1710"/>
      <c r="L154" s="1710"/>
      <c r="M154" s="2254">
        <f>+E154+I154+J154+K154+L154+N154+O154</f>
        <v>70559</v>
      </c>
      <c r="N154" s="1713"/>
      <c r="O154" s="1710">
        <f>257772-123006-64207</f>
        <v>70559</v>
      </c>
      <c r="P154" s="1710">
        <f>219137+50946-10-202-40318-26404</f>
        <v>203149</v>
      </c>
      <c r="Q154" s="1710">
        <f>219137+39195+186</f>
        <v>258518</v>
      </c>
      <c r="R154" s="1710">
        <f>219137+40716-186</f>
        <v>259667</v>
      </c>
      <c r="S154" s="1710">
        <v>354390</v>
      </c>
      <c r="T154" s="1710">
        <v>354390</v>
      </c>
      <c r="U154" s="1710"/>
      <c r="V154" s="1710"/>
      <c r="W154" s="1710"/>
      <c r="X154" s="2265">
        <f>SUM(Q154:W154)</f>
        <v>1226965</v>
      </c>
      <c r="Y154" s="3791"/>
      <c r="Z154" s="1060"/>
    </row>
    <row r="155" spans="1:26" ht="12" hidden="1" customHeight="1">
      <c r="A155" s="3788"/>
      <c r="B155" s="2263" t="s">
        <v>24</v>
      </c>
      <c r="C155" s="3795"/>
      <c r="D155" s="2266"/>
      <c r="E155" s="1710"/>
      <c r="F155" s="1710"/>
      <c r="G155" s="1710"/>
      <c r="H155" s="1713"/>
      <c r="I155" s="1713"/>
      <c r="J155" s="1713"/>
      <c r="K155" s="1710"/>
      <c r="L155" s="1710"/>
      <c r="M155" s="1710"/>
      <c r="N155" s="1710"/>
      <c r="O155" s="1710">
        <v>0</v>
      </c>
      <c r="P155" s="1710">
        <v>0</v>
      </c>
      <c r="Q155" s="1710"/>
      <c r="R155" s="1710"/>
      <c r="S155" s="1710"/>
      <c r="T155" s="1710"/>
      <c r="U155" s="1710"/>
      <c r="V155" s="1710"/>
      <c r="W155" s="1710"/>
      <c r="X155" s="2265">
        <f>SUM(O155:R155)</f>
        <v>0</v>
      </c>
      <c r="Y155" s="3791"/>
      <c r="Z155" s="1060"/>
    </row>
    <row r="156" spans="1:26" ht="12" customHeight="1">
      <c r="A156" s="3788"/>
      <c r="B156" s="2267" t="s">
        <v>29</v>
      </c>
      <c r="C156" s="3795"/>
      <c r="D156" s="2268">
        <f>+D157</f>
        <v>8045590</v>
      </c>
      <c r="E156" s="2268">
        <f t="shared" ref="E156:T156" si="91">+E157</f>
        <v>0</v>
      </c>
      <c r="F156" s="2268">
        <f t="shared" si="91"/>
        <v>0</v>
      </c>
      <c r="G156" s="2268">
        <f t="shared" si="91"/>
        <v>0</v>
      </c>
      <c r="H156" s="2268">
        <f t="shared" si="91"/>
        <v>0</v>
      </c>
      <c r="I156" s="2268">
        <f t="shared" si="91"/>
        <v>0</v>
      </c>
      <c r="J156" s="2268">
        <f t="shared" si="91"/>
        <v>0</v>
      </c>
      <c r="K156" s="2268">
        <f t="shared" si="91"/>
        <v>0</v>
      </c>
      <c r="L156" s="2268">
        <f t="shared" si="91"/>
        <v>0</v>
      </c>
      <c r="M156" s="2268">
        <f t="shared" si="91"/>
        <v>378288</v>
      </c>
      <c r="N156" s="2268">
        <f t="shared" si="91"/>
        <v>0</v>
      </c>
      <c r="O156" s="2268">
        <f t="shared" si="91"/>
        <v>378288</v>
      </c>
      <c r="P156" s="2268">
        <f t="shared" si="91"/>
        <v>1089145</v>
      </c>
      <c r="Q156" s="2268">
        <f t="shared" si="91"/>
        <v>1386000</v>
      </c>
      <c r="R156" s="2268">
        <f t="shared" si="91"/>
        <v>1392157</v>
      </c>
      <c r="S156" s="2268">
        <f t="shared" si="91"/>
        <v>1900000</v>
      </c>
      <c r="T156" s="2268">
        <f t="shared" si="91"/>
        <v>1900000</v>
      </c>
      <c r="U156" s="2268"/>
      <c r="V156" s="2268"/>
      <c r="W156" s="2268"/>
      <c r="X156" s="2269">
        <f>+X157</f>
        <v>6578157</v>
      </c>
      <c r="Y156" s="3791"/>
      <c r="Z156" s="1060"/>
    </row>
    <row r="157" spans="1:26" ht="11.25" customHeight="1">
      <c r="A157" s="3788"/>
      <c r="B157" s="2263" t="s">
        <v>32</v>
      </c>
      <c r="C157" s="3795"/>
      <c r="D157" s="2264">
        <f>M157+P157+Q157+R157+S157+T157+U157+V157+W157</f>
        <v>8045590</v>
      </c>
      <c r="E157" s="1710"/>
      <c r="F157" s="1710"/>
      <c r="G157" s="1710"/>
      <c r="H157" s="1713"/>
      <c r="I157" s="1713"/>
      <c r="J157" s="1713"/>
      <c r="K157" s="1710"/>
      <c r="L157" s="1710"/>
      <c r="M157" s="2254">
        <f>+E157+I157+J157+K157+L157+N157+O157</f>
        <v>378288</v>
      </c>
      <c r="N157" s="1710"/>
      <c r="O157" s="1710">
        <f>1382000-659477-344235</f>
        <v>378288</v>
      </c>
      <c r="P157" s="1710">
        <f>1174863+273137-52-1082-216155-141566</f>
        <v>1089145</v>
      </c>
      <c r="Q157" s="1710">
        <f>1174863+210137+1000</f>
        <v>1386000</v>
      </c>
      <c r="R157" s="1710">
        <f>1174863+218294-1000</f>
        <v>1392157</v>
      </c>
      <c r="S157" s="1710">
        <v>1900000</v>
      </c>
      <c r="T157" s="1710">
        <v>1900000</v>
      </c>
      <c r="U157" s="1710"/>
      <c r="V157" s="1710"/>
      <c r="W157" s="1710"/>
      <c r="X157" s="2265">
        <f>SUM(Q157:W157)</f>
        <v>6578157</v>
      </c>
      <c r="Y157" s="3791"/>
      <c r="Z157" s="1060"/>
    </row>
    <row r="158" spans="1:26" ht="12" customHeight="1">
      <c r="A158" s="3788"/>
      <c r="B158" s="2259" t="s">
        <v>33</v>
      </c>
      <c r="C158" s="2260"/>
      <c r="D158" s="2270">
        <f t="shared" ref="D158:M158" si="92">+D159+D161</f>
        <v>8045590</v>
      </c>
      <c r="E158" s="2270">
        <f t="shared" si="92"/>
        <v>0</v>
      </c>
      <c r="F158" s="2270">
        <f t="shared" si="92"/>
        <v>0</v>
      </c>
      <c r="G158" s="2270">
        <f t="shared" si="92"/>
        <v>0</v>
      </c>
      <c r="H158" s="2270">
        <f t="shared" si="92"/>
        <v>0</v>
      </c>
      <c r="I158" s="2270">
        <f t="shared" si="92"/>
        <v>0</v>
      </c>
      <c r="J158" s="2270">
        <f t="shared" si="92"/>
        <v>0</v>
      </c>
      <c r="K158" s="2270">
        <f t="shared" si="92"/>
        <v>0</v>
      </c>
      <c r="L158" s="2270">
        <f t="shared" si="92"/>
        <v>0</v>
      </c>
      <c r="M158" s="2270">
        <f t="shared" si="92"/>
        <v>378288</v>
      </c>
      <c r="N158" s="2270">
        <f>+N159+N161</f>
        <v>0</v>
      </c>
      <c r="O158" s="2270">
        <f>+O159+O161</f>
        <v>378288</v>
      </c>
      <c r="P158" s="2270">
        <f>+P159+P161</f>
        <v>1089145</v>
      </c>
      <c r="Q158" s="2270">
        <f>+Q159+Q161</f>
        <v>1386000</v>
      </c>
      <c r="R158" s="2270">
        <f>+R159+R161</f>
        <v>1392157</v>
      </c>
      <c r="S158" s="2270">
        <f t="shared" ref="S158:T158" si="93">+S159+S161</f>
        <v>1900000</v>
      </c>
      <c r="T158" s="2270">
        <f t="shared" si="93"/>
        <v>1900000</v>
      </c>
      <c r="U158" s="2270"/>
      <c r="V158" s="2270"/>
      <c r="W158" s="2270"/>
      <c r="X158" s="3796" t="s">
        <v>75</v>
      </c>
      <c r="Y158" s="3792"/>
      <c r="Z158" s="1060"/>
    </row>
    <row r="159" spans="1:26" ht="12" hidden="1" customHeight="1">
      <c r="A159" s="3788"/>
      <c r="B159" s="2262" t="s">
        <v>35</v>
      </c>
      <c r="C159" s="3798" t="s">
        <v>145</v>
      </c>
      <c r="D159" s="2268">
        <f t="shared" ref="D159:R159" si="94">+D160</f>
        <v>0</v>
      </c>
      <c r="E159" s="2268">
        <f t="shared" si="94"/>
        <v>0</v>
      </c>
      <c r="F159" s="2268">
        <f t="shared" si="94"/>
        <v>0</v>
      </c>
      <c r="G159" s="2268">
        <f t="shared" si="94"/>
        <v>0</v>
      </c>
      <c r="H159" s="2268">
        <f t="shared" si="94"/>
        <v>0</v>
      </c>
      <c r="I159" s="2268">
        <f t="shared" si="94"/>
        <v>0</v>
      </c>
      <c r="J159" s="2268">
        <f t="shared" si="94"/>
        <v>0</v>
      </c>
      <c r="K159" s="2268">
        <f t="shared" si="94"/>
        <v>0</v>
      </c>
      <c r="L159" s="2268">
        <f t="shared" si="94"/>
        <v>0</v>
      </c>
      <c r="M159" s="2268">
        <f t="shared" si="94"/>
        <v>0</v>
      </c>
      <c r="N159" s="2268">
        <f t="shared" si="94"/>
        <v>0</v>
      </c>
      <c r="O159" s="2268">
        <f t="shared" si="94"/>
        <v>0</v>
      </c>
      <c r="P159" s="2268">
        <f t="shared" si="94"/>
        <v>0</v>
      </c>
      <c r="Q159" s="2268">
        <f t="shared" si="94"/>
        <v>0</v>
      </c>
      <c r="R159" s="2268">
        <f t="shared" si="94"/>
        <v>0</v>
      </c>
      <c r="S159" s="2268"/>
      <c r="T159" s="2268"/>
      <c r="U159" s="2268"/>
      <c r="V159" s="2268"/>
      <c r="W159" s="2268"/>
      <c r="X159" s="3796"/>
      <c r="Y159" s="3792"/>
      <c r="Z159" s="1060"/>
    </row>
    <row r="160" spans="1:26" ht="12" hidden="1" customHeight="1">
      <c r="A160" s="3788"/>
      <c r="B160" s="2263" t="s">
        <v>24</v>
      </c>
      <c r="C160" s="3795"/>
      <c r="D160" s="2266"/>
      <c r="E160" s="1710"/>
      <c r="F160" s="2266"/>
      <c r="G160" s="2266"/>
      <c r="H160" s="2266"/>
      <c r="I160" s="2266"/>
      <c r="J160" s="2266"/>
      <c r="K160" s="2266"/>
      <c r="L160" s="2266">
        <v>0</v>
      </c>
      <c r="M160" s="2266">
        <v>0</v>
      </c>
      <c r="N160" s="2266">
        <v>0</v>
      </c>
      <c r="O160" s="2266">
        <v>0</v>
      </c>
      <c r="P160" s="2266">
        <v>0</v>
      </c>
      <c r="Q160" s="2266"/>
      <c r="R160" s="2266"/>
      <c r="S160" s="2266"/>
      <c r="T160" s="2266"/>
      <c r="U160" s="2266"/>
      <c r="V160" s="2266"/>
      <c r="W160" s="2266"/>
      <c r="X160" s="3796"/>
      <c r="Y160" s="3792"/>
      <c r="Z160" s="1060"/>
    </row>
    <row r="161" spans="1:27" ht="12" customHeight="1">
      <c r="A161" s="3788"/>
      <c r="B161" s="2267" t="s">
        <v>29</v>
      </c>
      <c r="C161" s="3799"/>
      <c r="D161" s="2268">
        <f t="shared" ref="D161:T161" si="95">+D162</f>
        <v>8045590</v>
      </c>
      <c r="E161" s="2268">
        <f t="shared" si="95"/>
        <v>0</v>
      </c>
      <c r="F161" s="2268">
        <f t="shared" si="95"/>
        <v>0</v>
      </c>
      <c r="G161" s="2268">
        <f t="shared" si="95"/>
        <v>0</v>
      </c>
      <c r="H161" s="2268">
        <f t="shared" si="95"/>
        <v>0</v>
      </c>
      <c r="I161" s="2268">
        <f t="shared" si="95"/>
        <v>0</v>
      </c>
      <c r="J161" s="2268">
        <f t="shared" si="95"/>
        <v>0</v>
      </c>
      <c r="K161" s="2268">
        <f t="shared" si="95"/>
        <v>0</v>
      </c>
      <c r="L161" s="2268">
        <f t="shared" si="95"/>
        <v>0</v>
      </c>
      <c r="M161" s="2268">
        <f t="shared" si="95"/>
        <v>378288</v>
      </c>
      <c r="N161" s="2268">
        <f t="shared" si="95"/>
        <v>0</v>
      </c>
      <c r="O161" s="2268">
        <f t="shared" si="95"/>
        <v>378288</v>
      </c>
      <c r="P161" s="2268">
        <f t="shared" si="95"/>
        <v>1089145</v>
      </c>
      <c r="Q161" s="2268">
        <f t="shared" si="95"/>
        <v>1386000</v>
      </c>
      <c r="R161" s="2268">
        <f t="shared" si="95"/>
        <v>1392157</v>
      </c>
      <c r="S161" s="2268">
        <f t="shared" si="95"/>
        <v>1900000</v>
      </c>
      <c r="T161" s="2268">
        <f t="shared" si="95"/>
        <v>1900000</v>
      </c>
      <c r="U161" s="2268"/>
      <c r="V161" s="2268"/>
      <c r="W161" s="2268"/>
      <c r="X161" s="3796"/>
      <c r="Y161" s="3792"/>
      <c r="Z161" s="1060"/>
    </row>
    <row r="162" spans="1:27" ht="12" customHeight="1" thickBot="1">
      <c r="A162" s="3789"/>
      <c r="B162" s="3251" t="s">
        <v>32</v>
      </c>
      <c r="C162" s="3800"/>
      <c r="D162" s="2219">
        <f>M162+P162+Q162+R162+S162+T162+U162+V162+W162</f>
        <v>8045590</v>
      </c>
      <c r="E162" s="963">
        <v>0</v>
      </c>
      <c r="F162" s="963"/>
      <c r="G162" s="963"/>
      <c r="H162" s="963"/>
      <c r="I162" s="963">
        <v>0</v>
      </c>
      <c r="J162" s="963">
        <v>0</v>
      </c>
      <c r="K162" s="963">
        <v>0</v>
      </c>
      <c r="L162" s="963">
        <v>0</v>
      </c>
      <c r="M162" s="2219">
        <f>+E162+I162+J162+K162+L162+N162+O162</f>
        <v>378288</v>
      </c>
      <c r="N162" s="963">
        <v>0</v>
      </c>
      <c r="O162" s="963">
        <f>1382000-659477-344235</f>
        <v>378288</v>
      </c>
      <c r="P162" s="963">
        <f>1174863+273137-52-1082-216155-141566</f>
        <v>1089145</v>
      </c>
      <c r="Q162" s="963">
        <f>1174863+210137+1000</f>
        <v>1386000</v>
      </c>
      <c r="R162" s="963">
        <f>1174863+218294-1000</f>
        <v>1392157</v>
      </c>
      <c r="S162" s="963">
        <v>1900000</v>
      </c>
      <c r="T162" s="963">
        <v>1900000</v>
      </c>
      <c r="U162" s="963"/>
      <c r="V162" s="963"/>
      <c r="W162" s="963"/>
      <c r="X162" s="3797"/>
      <c r="Y162" s="3793"/>
      <c r="Z162" s="1060"/>
    </row>
    <row r="163" spans="1:27" ht="28.5" customHeight="1">
      <c r="A163" s="3787" t="s">
        <v>80</v>
      </c>
      <c r="B163" s="956" t="s">
        <v>477</v>
      </c>
      <c r="C163" s="957" t="s">
        <v>95</v>
      </c>
      <c r="D163" s="106"/>
      <c r="E163" s="106"/>
      <c r="F163" s="106"/>
      <c r="G163" s="106"/>
      <c r="H163" s="106"/>
      <c r="I163" s="107"/>
      <c r="J163" s="107"/>
      <c r="K163" s="107"/>
      <c r="L163" s="107"/>
      <c r="M163" s="107"/>
      <c r="N163" s="107"/>
      <c r="O163" s="107"/>
      <c r="P163" s="107"/>
      <c r="Q163" s="107"/>
      <c r="R163" s="107"/>
      <c r="S163" s="107"/>
      <c r="T163" s="107"/>
      <c r="U163" s="107"/>
      <c r="V163" s="107"/>
      <c r="W163" s="107"/>
      <c r="X163" s="959"/>
      <c r="Y163" s="3790" t="s">
        <v>421</v>
      </c>
      <c r="Z163" s="1060"/>
    </row>
    <row r="164" spans="1:27" ht="12" customHeight="1">
      <c r="A164" s="3788"/>
      <c r="B164" s="2259" t="s">
        <v>21</v>
      </c>
      <c r="C164" s="2260"/>
      <c r="D164" s="1551">
        <f t="shared" ref="D164:Q164" si="96">+D165+D168</f>
        <v>36503</v>
      </c>
      <c r="E164" s="1551">
        <f t="shared" si="96"/>
        <v>0</v>
      </c>
      <c r="F164" s="1551">
        <f t="shared" si="96"/>
        <v>0</v>
      </c>
      <c r="G164" s="1551">
        <f t="shared" si="96"/>
        <v>0</v>
      </c>
      <c r="H164" s="1551">
        <f t="shared" si="96"/>
        <v>0</v>
      </c>
      <c r="I164" s="1551">
        <f t="shared" si="96"/>
        <v>0</v>
      </c>
      <c r="J164" s="1551">
        <f t="shared" si="96"/>
        <v>0</v>
      </c>
      <c r="K164" s="1551">
        <f t="shared" si="96"/>
        <v>0</v>
      </c>
      <c r="L164" s="1551">
        <f t="shared" si="96"/>
        <v>0</v>
      </c>
      <c r="M164" s="1551">
        <f t="shared" si="96"/>
        <v>0</v>
      </c>
      <c r="N164" s="1551">
        <f t="shared" si="96"/>
        <v>0</v>
      </c>
      <c r="O164" s="1551">
        <f t="shared" si="96"/>
        <v>0</v>
      </c>
      <c r="P164" s="1551">
        <f t="shared" si="96"/>
        <v>18705</v>
      </c>
      <c r="Q164" s="1551">
        <f t="shared" si="96"/>
        <v>17798</v>
      </c>
      <c r="R164" s="1551"/>
      <c r="S164" s="1551"/>
      <c r="T164" s="1551"/>
      <c r="U164" s="1551"/>
      <c r="V164" s="1551"/>
      <c r="W164" s="1551"/>
      <c r="X164" s="2261">
        <f>+X165+X168</f>
        <v>17798</v>
      </c>
      <c r="Y164" s="3791"/>
      <c r="Z164" s="1060"/>
    </row>
    <row r="165" spans="1:27" ht="12" customHeight="1">
      <c r="A165" s="3788"/>
      <c r="B165" s="2262" t="s">
        <v>35</v>
      </c>
      <c r="C165" s="3794" t="s">
        <v>145</v>
      </c>
      <c r="D165" s="1763">
        <f t="shared" ref="D165:Q165" si="97">+D166+D167</f>
        <v>5738</v>
      </c>
      <c r="E165" s="1763">
        <f t="shared" si="97"/>
        <v>0</v>
      </c>
      <c r="F165" s="1763">
        <f t="shared" si="97"/>
        <v>0</v>
      </c>
      <c r="G165" s="1763">
        <f t="shared" si="97"/>
        <v>0</v>
      </c>
      <c r="H165" s="1763">
        <f t="shared" si="97"/>
        <v>0</v>
      </c>
      <c r="I165" s="1763">
        <f t="shared" si="97"/>
        <v>0</v>
      </c>
      <c r="J165" s="1763">
        <f t="shared" si="97"/>
        <v>0</v>
      </c>
      <c r="K165" s="1763">
        <f t="shared" si="97"/>
        <v>0</v>
      </c>
      <c r="L165" s="1763">
        <f t="shared" si="97"/>
        <v>0</v>
      </c>
      <c r="M165" s="1763">
        <f t="shared" si="97"/>
        <v>0</v>
      </c>
      <c r="N165" s="1763">
        <f t="shared" si="97"/>
        <v>0</v>
      </c>
      <c r="O165" s="1763">
        <f t="shared" si="97"/>
        <v>0</v>
      </c>
      <c r="P165" s="1763">
        <f t="shared" si="97"/>
        <v>2940</v>
      </c>
      <c r="Q165" s="1763">
        <f t="shared" si="97"/>
        <v>2798</v>
      </c>
      <c r="R165" s="1763"/>
      <c r="S165" s="1763"/>
      <c r="T165" s="1763"/>
      <c r="U165" s="1763"/>
      <c r="V165" s="1763"/>
      <c r="W165" s="1763"/>
      <c r="X165" s="1751">
        <f>+X166+X167</f>
        <v>2798</v>
      </c>
      <c r="Y165" s="3791"/>
      <c r="Z165" s="1060"/>
    </row>
    <row r="166" spans="1:27" ht="12" customHeight="1">
      <c r="A166" s="3788"/>
      <c r="B166" s="2263" t="s">
        <v>23</v>
      </c>
      <c r="C166" s="3795"/>
      <c r="D166" s="2264">
        <f>M166+P166+Q166+R166+S166+T166+U166+V166+W166</f>
        <v>5738</v>
      </c>
      <c r="E166" s="1710"/>
      <c r="F166" s="1710"/>
      <c r="G166" s="1710"/>
      <c r="H166" s="1713"/>
      <c r="I166" s="1713"/>
      <c r="J166" s="1713"/>
      <c r="K166" s="1710"/>
      <c r="L166" s="1710"/>
      <c r="M166" s="2254">
        <f>+E166+I166+J166+K166+L166+N166+O166</f>
        <v>0</v>
      </c>
      <c r="N166" s="1713"/>
      <c r="O166" s="1710"/>
      <c r="P166" s="1710">
        <f>3171+202-433</f>
        <v>2940</v>
      </c>
      <c r="Q166" s="1710">
        <v>2798</v>
      </c>
      <c r="R166" s="1710"/>
      <c r="S166" s="1710"/>
      <c r="T166" s="1710"/>
      <c r="U166" s="1710"/>
      <c r="V166" s="1710"/>
      <c r="W166" s="1710"/>
      <c r="X166" s="2265">
        <f>SUM(Q166:W166)</f>
        <v>2798</v>
      </c>
      <c r="Y166" s="3791"/>
      <c r="Z166" s="1060"/>
    </row>
    <row r="167" spans="1:27" ht="12" hidden="1" customHeight="1">
      <c r="A167" s="3788"/>
      <c r="B167" s="2263" t="s">
        <v>24</v>
      </c>
      <c r="C167" s="3795"/>
      <c r="D167" s="2266"/>
      <c r="E167" s="1710"/>
      <c r="F167" s="1710"/>
      <c r="G167" s="1710"/>
      <c r="H167" s="1713"/>
      <c r="I167" s="1713"/>
      <c r="J167" s="1713"/>
      <c r="K167" s="1710"/>
      <c r="L167" s="1710"/>
      <c r="M167" s="1710"/>
      <c r="N167" s="1710"/>
      <c r="O167" s="1710">
        <v>0</v>
      </c>
      <c r="P167" s="1710">
        <v>0</v>
      </c>
      <c r="Q167" s="1710"/>
      <c r="R167" s="1710"/>
      <c r="S167" s="1710"/>
      <c r="T167" s="1710"/>
      <c r="U167" s="1710"/>
      <c r="V167" s="1710"/>
      <c r="W167" s="1710"/>
      <c r="X167" s="2265">
        <f>SUM(O167:R167)</f>
        <v>0</v>
      </c>
      <c r="Y167" s="3791"/>
      <c r="Z167" s="1060"/>
    </row>
    <row r="168" spans="1:27" ht="12" customHeight="1">
      <c r="A168" s="3788"/>
      <c r="B168" s="2267" t="s">
        <v>29</v>
      </c>
      <c r="C168" s="3795"/>
      <c r="D168" s="2268">
        <f>+D169</f>
        <v>30765</v>
      </c>
      <c r="E168" s="2268">
        <f t="shared" ref="E168:Q168" si="98">+E169</f>
        <v>0</v>
      </c>
      <c r="F168" s="2268">
        <f t="shared" si="98"/>
        <v>0</v>
      </c>
      <c r="G168" s="2268">
        <f t="shared" si="98"/>
        <v>0</v>
      </c>
      <c r="H168" s="2268">
        <f t="shared" si="98"/>
        <v>0</v>
      </c>
      <c r="I168" s="2268">
        <f t="shared" si="98"/>
        <v>0</v>
      </c>
      <c r="J168" s="2268">
        <f t="shared" si="98"/>
        <v>0</v>
      </c>
      <c r="K168" s="2268">
        <f t="shared" si="98"/>
        <v>0</v>
      </c>
      <c r="L168" s="2268">
        <f t="shared" si="98"/>
        <v>0</v>
      </c>
      <c r="M168" s="2268">
        <f t="shared" si="98"/>
        <v>0</v>
      </c>
      <c r="N168" s="2268">
        <f t="shared" si="98"/>
        <v>0</v>
      </c>
      <c r="O168" s="2268">
        <f t="shared" si="98"/>
        <v>0</v>
      </c>
      <c r="P168" s="2268">
        <f t="shared" si="98"/>
        <v>15765</v>
      </c>
      <c r="Q168" s="2268">
        <f t="shared" si="98"/>
        <v>15000</v>
      </c>
      <c r="R168" s="2268"/>
      <c r="S168" s="2268"/>
      <c r="T168" s="2268"/>
      <c r="U168" s="2268"/>
      <c r="V168" s="2268"/>
      <c r="W168" s="2268"/>
      <c r="X168" s="2269">
        <f>+X169</f>
        <v>15000</v>
      </c>
      <c r="Y168" s="3791"/>
      <c r="Z168" s="1060"/>
    </row>
    <row r="169" spans="1:27" ht="12" customHeight="1">
      <c r="A169" s="3788"/>
      <c r="B169" s="2263" t="s">
        <v>32</v>
      </c>
      <c r="C169" s="3795"/>
      <c r="D169" s="2264">
        <f>M169+P169+Q169+R169+S169+T169+U169+V169+W169</f>
        <v>30765</v>
      </c>
      <c r="E169" s="1710"/>
      <c r="F169" s="1710"/>
      <c r="G169" s="1710"/>
      <c r="H169" s="1713"/>
      <c r="I169" s="1713"/>
      <c r="J169" s="1713"/>
      <c r="K169" s="1710"/>
      <c r="L169" s="1710"/>
      <c r="M169" s="2254">
        <f>+E169+I169+J169+K169+L169+N169+O169</f>
        <v>0</v>
      </c>
      <c r="N169" s="1710"/>
      <c r="O169" s="1710"/>
      <c r="P169" s="1710">
        <f>17000+1082-2317</f>
        <v>15765</v>
      </c>
      <c r="Q169" s="1710">
        <v>15000</v>
      </c>
      <c r="R169" s="1710"/>
      <c r="S169" s="1710"/>
      <c r="T169" s="1710"/>
      <c r="U169" s="1710"/>
      <c r="V169" s="1710"/>
      <c r="W169" s="1710"/>
      <c r="X169" s="2265">
        <f>SUM(Q169:W169)</f>
        <v>15000</v>
      </c>
      <c r="Y169" s="3791"/>
      <c r="Z169" s="1060"/>
    </row>
    <row r="170" spans="1:27" ht="12" customHeight="1">
      <c r="A170" s="3788"/>
      <c r="B170" s="2259" t="s">
        <v>33</v>
      </c>
      <c r="C170" s="2260"/>
      <c r="D170" s="2270">
        <f t="shared" ref="D170:M170" si="99">+D171+D173</f>
        <v>30765</v>
      </c>
      <c r="E170" s="2270">
        <f t="shared" si="99"/>
        <v>0</v>
      </c>
      <c r="F170" s="2270">
        <f t="shared" si="99"/>
        <v>0</v>
      </c>
      <c r="G170" s="2270">
        <f t="shared" si="99"/>
        <v>0</v>
      </c>
      <c r="H170" s="2270">
        <f t="shared" si="99"/>
        <v>0</v>
      </c>
      <c r="I170" s="2270">
        <f t="shared" si="99"/>
        <v>0</v>
      </c>
      <c r="J170" s="2270">
        <f t="shared" si="99"/>
        <v>0</v>
      </c>
      <c r="K170" s="2270">
        <f t="shared" si="99"/>
        <v>0</v>
      </c>
      <c r="L170" s="2270">
        <f t="shared" si="99"/>
        <v>0</v>
      </c>
      <c r="M170" s="2270">
        <f t="shared" si="99"/>
        <v>0</v>
      </c>
      <c r="N170" s="2270">
        <f>+N171+N173</f>
        <v>0</v>
      </c>
      <c r="O170" s="2270">
        <f>+O171+O173</f>
        <v>0</v>
      </c>
      <c r="P170" s="2270">
        <f>+P171+P173</f>
        <v>15765</v>
      </c>
      <c r="Q170" s="2270">
        <f>+Q171+Q173</f>
        <v>15000</v>
      </c>
      <c r="R170" s="2270"/>
      <c r="S170" s="2270"/>
      <c r="T170" s="2270"/>
      <c r="U170" s="2270"/>
      <c r="V170" s="2270"/>
      <c r="W170" s="2270"/>
      <c r="X170" s="3796" t="s">
        <v>75</v>
      </c>
      <c r="Y170" s="3792"/>
      <c r="Z170" s="1060"/>
    </row>
    <row r="171" spans="1:27" ht="12" hidden="1" customHeight="1">
      <c r="A171" s="3788"/>
      <c r="B171" s="2262" t="s">
        <v>35</v>
      </c>
      <c r="C171" s="3798" t="s">
        <v>145</v>
      </c>
      <c r="D171" s="2268">
        <f t="shared" ref="D171:P171" si="100">+D172</f>
        <v>0</v>
      </c>
      <c r="E171" s="2268">
        <f t="shared" si="100"/>
        <v>0</v>
      </c>
      <c r="F171" s="2268">
        <f t="shared" si="100"/>
        <v>0</v>
      </c>
      <c r="G171" s="2268">
        <f t="shared" si="100"/>
        <v>0</v>
      </c>
      <c r="H171" s="2268">
        <f t="shared" si="100"/>
        <v>0</v>
      </c>
      <c r="I171" s="2268">
        <f t="shared" si="100"/>
        <v>0</v>
      </c>
      <c r="J171" s="2268">
        <f t="shared" si="100"/>
        <v>0</v>
      </c>
      <c r="K171" s="2268">
        <f t="shared" si="100"/>
        <v>0</v>
      </c>
      <c r="L171" s="2268">
        <f t="shared" si="100"/>
        <v>0</v>
      </c>
      <c r="M171" s="2268">
        <f t="shared" si="100"/>
        <v>0</v>
      </c>
      <c r="N171" s="2268">
        <f t="shared" si="100"/>
        <v>0</v>
      </c>
      <c r="O171" s="2268">
        <f t="shared" si="100"/>
        <v>0</v>
      </c>
      <c r="P171" s="2268">
        <f t="shared" si="100"/>
        <v>0</v>
      </c>
      <c r="Q171" s="2268"/>
      <c r="R171" s="2268"/>
      <c r="S171" s="2268"/>
      <c r="T171" s="2268"/>
      <c r="U171" s="2268"/>
      <c r="V171" s="2268"/>
      <c r="W171" s="2268"/>
      <c r="X171" s="3796"/>
      <c r="Y171" s="3792"/>
      <c r="Z171" s="1060"/>
    </row>
    <row r="172" spans="1:27" ht="12" hidden="1" customHeight="1">
      <c r="A172" s="3788"/>
      <c r="B172" s="2263" t="s">
        <v>24</v>
      </c>
      <c r="C172" s="3795"/>
      <c r="D172" s="2266"/>
      <c r="E172" s="1710"/>
      <c r="F172" s="2266"/>
      <c r="G172" s="2266"/>
      <c r="H172" s="2266"/>
      <c r="I172" s="2266"/>
      <c r="J172" s="2266"/>
      <c r="K172" s="2266"/>
      <c r="L172" s="2266">
        <v>0</v>
      </c>
      <c r="M172" s="2266">
        <v>0</v>
      </c>
      <c r="N172" s="2266">
        <v>0</v>
      </c>
      <c r="O172" s="2266">
        <v>0</v>
      </c>
      <c r="P172" s="2266">
        <v>0</v>
      </c>
      <c r="Q172" s="2266"/>
      <c r="R172" s="2266"/>
      <c r="S172" s="2266"/>
      <c r="T172" s="2266"/>
      <c r="U172" s="2266"/>
      <c r="V172" s="2266"/>
      <c r="W172" s="2266"/>
      <c r="X172" s="3796"/>
      <c r="Y172" s="3792"/>
      <c r="Z172" s="1060"/>
    </row>
    <row r="173" spans="1:27" ht="12" customHeight="1">
      <c r="A173" s="3788"/>
      <c r="B173" s="2267" t="s">
        <v>29</v>
      </c>
      <c r="C173" s="3799"/>
      <c r="D173" s="2268">
        <f t="shared" ref="D173:Q173" si="101">+D174</f>
        <v>30765</v>
      </c>
      <c r="E173" s="2268">
        <f t="shared" si="101"/>
        <v>0</v>
      </c>
      <c r="F173" s="2268">
        <f t="shared" si="101"/>
        <v>0</v>
      </c>
      <c r="G173" s="2268">
        <f t="shared" si="101"/>
        <v>0</v>
      </c>
      <c r="H173" s="2268">
        <f t="shared" si="101"/>
        <v>0</v>
      </c>
      <c r="I173" s="2268">
        <f t="shared" si="101"/>
        <v>0</v>
      </c>
      <c r="J173" s="2268">
        <f t="shared" si="101"/>
        <v>0</v>
      </c>
      <c r="K173" s="2268">
        <f t="shared" si="101"/>
        <v>0</v>
      </c>
      <c r="L173" s="2268">
        <f t="shared" si="101"/>
        <v>0</v>
      </c>
      <c r="M173" s="2268">
        <f t="shared" si="101"/>
        <v>0</v>
      </c>
      <c r="N173" s="2268">
        <f t="shared" si="101"/>
        <v>0</v>
      </c>
      <c r="O173" s="2268">
        <f t="shared" si="101"/>
        <v>0</v>
      </c>
      <c r="P173" s="2268">
        <f t="shared" si="101"/>
        <v>15765</v>
      </c>
      <c r="Q173" s="2268">
        <f t="shared" si="101"/>
        <v>15000</v>
      </c>
      <c r="R173" s="2268"/>
      <c r="S173" s="2268"/>
      <c r="T173" s="2268"/>
      <c r="U173" s="2268"/>
      <c r="V173" s="2268"/>
      <c r="W173" s="2268"/>
      <c r="X173" s="3796"/>
      <c r="Y173" s="3792"/>
      <c r="Z173" s="1060"/>
    </row>
    <row r="174" spans="1:27" ht="15.75" customHeight="1" thickBot="1">
      <c r="A174" s="3789"/>
      <c r="B174" s="1151" t="s">
        <v>32</v>
      </c>
      <c r="C174" s="3800"/>
      <c r="D174" s="2218">
        <f>M174+P174+Q174+R174+S174+T174+U174+V174+W174</f>
        <v>30765</v>
      </c>
      <c r="E174" s="963">
        <v>0</v>
      </c>
      <c r="F174" s="963"/>
      <c r="G174" s="963"/>
      <c r="H174" s="963"/>
      <c r="I174" s="963">
        <v>0</v>
      </c>
      <c r="J174" s="963">
        <v>0</v>
      </c>
      <c r="K174" s="963">
        <v>0</v>
      </c>
      <c r="L174" s="963">
        <v>0</v>
      </c>
      <c r="M174" s="2219">
        <f>+E174+I174+J174+K174+L174+N174+O174</f>
        <v>0</v>
      </c>
      <c r="N174" s="963">
        <v>0</v>
      </c>
      <c r="O174" s="963"/>
      <c r="P174" s="963">
        <f>17000+1082-2317</f>
        <v>15765</v>
      </c>
      <c r="Q174" s="963">
        <v>15000</v>
      </c>
      <c r="R174" s="963"/>
      <c r="S174" s="963"/>
      <c r="T174" s="963"/>
      <c r="U174" s="963"/>
      <c r="V174" s="963"/>
      <c r="W174" s="963"/>
      <c r="X174" s="3797"/>
      <c r="Y174" s="3793"/>
      <c r="Z174" s="1060"/>
    </row>
    <row r="175" spans="1:27" ht="36" hidden="1" customHeight="1">
      <c r="A175" s="3787" t="s">
        <v>104</v>
      </c>
      <c r="B175" s="956"/>
      <c r="C175" s="957" t="s">
        <v>125</v>
      </c>
      <c r="D175" s="106"/>
      <c r="E175" s="106"/>
      <c r="F175" s="106"/>
      <c r="G175" s="106"/>
      <c r="H175" s="106"/>
      <c r="I175" s="107"/>
      <c r="J175" s="107"/>
      <c r="K175" s="107"/>
      <c r="L175" s="107"/>
      <c r="M175" s="107"/>
      <c r="N175" s="107"/>
      <c r="O175" s="107"/>
      <c r="P175" s="107"/>
      <c r="Q175" s="107"/>
      <c r="R175" s="107"/>
      <c r="S175" s="107"/>
      <c r="T175" s="107"/>
      <c r="U175" s="107"/>
      <c r="V175" s="107"/>
      <c r="W175" s="107"/>
      <c r="X175" s="959"/>
      <c r="Y175" s="3790" t="s">
        <v>146</v>
      </c>
      <c r="Z175" s="1060"/>
    </row>
    <row r="176" spans="1:27" ht="10.5" hidden="1" customHeight="1">
      <c r="A176" s="3788"/>
      <c r="B176" s="2259" t="s">
        <v>21</v>
      </c>
      <c r="C176" s="2260"/>
      <c r="D176" s="1551">
        <f t="shared" ref="D176:O176" si="102">+D177+D180</f>
        <v>0</v>
      </c>
      <c r="E176" s="1551">
        <f t="shared" si="102"/>
        <v>0</v>
      </c>
      <c r="F176" s="1551">
        <f t="shared" si="102"/>
        <v>0</v>
      </c>
      <c r="G176" s="1551">
        <f t="shared" si="102"/>
        <v>0</v>
      </c>
      <c r="H176" s="1551">
        <f t="shared" si="102"/>
        <v>0</v>
      </c>
      <c r="I176" s="1551">
        <f t="shared" si="102"/>
        <v>0</v>
      </c>
      <c r="J176" s="1551">
        <f t="shared" si="102"/>
        <v>0</v>
      </c>
      <c r="K176" s="1551">
        <f t="shared" si="102"/>
        <v>0</v>
      </c>
      <c r="L176" s="1551">
        <f t="shared" si="102"/>
        <v>0</v>
      </c>
      <c r="M176" s="1551">
        <f t="shared" si="102"/>
        <v>0</v>
      </c>
      <c r="N176" s="1551">
        <f t="shared" si="102"/>
        <v>0</v>
      </c>
      <c r="O176" s="1551">
        <f t="shared" si="102"/>
        <v>0</v>
      </c>
      <c r="P176" s="1551">
        <f>+P177+P180</f>
        <v>0</v>
      </c>
      <c r="Q176" s="1551"/>
      <c r="R176" s="1551"/>
      <c r="S176" s="1551"/>
      <c r="T176" s="1551"/>
      <c r="U176" s="1551"/>
      <c r="V176" s="1551"/>
      <c r="W176" s="1551"/>
      <c r="X176" s="2261">
        <f>+X177+X180</f>
        <v>0</v>
      </c>
      <c r="Y176" s="3791"/>
      <c r="Z176" s="1061">
        <f>+O176+P176+Q176+R176</f>
        <v>0</v>
      </c>
      <c r="AA176" s="628"/>
    </row>
    <row r="177" spans="1:27" ht="13.5" hidden="1" customHeight="1">
      <c r="A177" s="3788"/>
      <c r="B177" s="2262" t="s">
        <v>35</v>
      </c>
      <c r="C177" s="3794" t="s">
        <v>309</v>
      </c>
      <c r="D177" s="1763">
        <f t="shared" ref="D177:O177" si="103">+D178+D179</f>
        <v>0</v>
      </c>
      <c r="E177" s="1763">
        <f t="shared" si="103"/>
        <v>0</v>
      </c>
      <c r="F177" s="1763">
        <f t="shared" si="103"/>
        <v>0</v>
      </c>
      <c r="G177" s="1763">
        <f t="shared" si="103"/>
        <v>0</v>
      </c>
      <c r="H177" s="1763">
        <f t="shared" si="103"/>
        <v>0</v>
      </c>
      <c r="I177" s="1763">
        <f t="shared" si="103"/>
        <v>0</v>
      </c>
      <c r="J177" s="1763">
        <f t="shared" si="103"/>
        <v>0</v>
      </c>
      <c r="K177" s="1763">
        <f t="shared" si="103"/>
        <v>0</v>
      </c>
      <c r="L177" s="1763">
        <f t="shared" si="103"/>
        <v>0</v>
      </c>
      <c r="M177" s="1763">
        <f t="shared" si="103"/>
        <v>0</v>
      </c>
      <c r="N177" s="1763">
        <f t="shared" si="103"/>
        <v>0</v>
      </c>
      <c r="O177" s="1763">
        <f t="shared" si="103"/>
        <v>0</v>
      </c>
      <c r="P177" s="1763">
        <f>+P178+P179</f>
        <v>0</v>
      </c>
      <c r="Q177" s="1763"/>
      <c r="R177" s="1763"/>
      <c r="S177" s="1763"/>
      <c r="T177" s="1763"/>
      <c r="U177" s="1763"/>
      <c r="V177" s="1763"/>
      <c r="W177" s="1763"/>
      <c r="X177" s="1751">
        <f>+X178+X179</f>
        <v>0</v>
      </c>
      <c r="Y177" s="3791"/>
      <c r="Z177" s="1060"/>
    </row>
    <row r="178" spans="1:27" ht="13.5" hidden="1" customHeight="1">
      <c r="A178" s="3788"/>
      <c r="B178" s="2263" t="s">
        <v>23</v>
      </c>
      <c r="C178" s="3795"/>
      <c r="D178" s="1713">
        <f>+E178+I178+J178+K178+L178</f>
        <v>0</v>
      </c>
      <c r="E178" s="1713">
        <f>+F178+G178+H178</f>
        <v>0</v>
      </c>
      <c r="F178" s="1710"/>
      <c r="G178" s="1710"/>
      <c r="H178" s="1713"/>
      <c r="I178" s="1713"/>
      <c r="J178" s="1713"/>
      <c r="K178" s="1710"/>
      <c r="L178" s="1710"/>
      <c r="M178" s="1710"/>
      <c r="N178" s="1710"/>
      <c r="O178" s="1710"/>
      <c r="P178" s="1710">
        <v>0</v>
      </c>
      <c r="Q178" s="1710"/>
      <c r="R178" s="1710"/>
      <c r="S178" s="1710"/>
      <c r="T178" s="1710"/>
      <c r="U178" s="1710"/>
      <c r="V178" s="1710"/>
      <c r="W178" s="1710"/>
      <c r="X178" s="2265">
        <f>SUM(P178:T178)</f>
        <v>0</v>
      </c>
      <c r="Y178" s="3791"/>
      <c r="Z178" s="1060"/>
    </row>
    <row r="179" spans="1:27" hidden="1">
      <c r="A179" s="3788"/>
      <c r="B179" s="2263" t="s">
        <v>24</v>
      </c>
      <c r="C179" s="3795"/>
      <c r="D179" s="2266">
        <f>M179+O179+P179+Q179+R179+S179+T179+U179+V179+W179</f>
        <v>0</v>
      </c>
      <c r="E179" s="1713">
        <f>+F179+G179+H179</f>
        <v>0</v>
      </c>
      <c r="F179" s="1710"/>
      <c r="G179" s="1710">
        <v>0</v>
      </c>
      <c r="H179" s="1713"/>
      <c r="I179" s="1713"/>
      <c r="J179" s="1713"/>
      <c r="K179" s="1710"/>
      <c r="L179" s="1710"/>
      <c r="M179" s="1710"/>
      <c r="N179" s="1710"/>
      <c r="O179" s="1710"/>
      <c r="P179" s="1710">
        <v>0</v>
      </c>
      <c r="Q179" s="1710"/>
      <c r="R179" s="1710"/>
      <c r="S179" s="1710"/>
      <c r="T179" s="1710"/>
      <c r="U179" s="1710"/>
      <c r="V179" s="1710"/>
      <c r="W179" s="1710"/>
      <c r="X179" s="2265">
        <f>SUM(P179:T179)</f>
        <v>0</v>
      </c>
      <c r="Y179" s="3791"/>
      <c r="Z179" s="1060"/>
    </row>
    <row r="180" spans="1:27" ht="12.75" hidden="1" customHeight="1">
      <c r="A180" s="3788"/>
      <c r="B180" s="2267" t="s">
        <v>29</v>
      </c>
      <c r="C180" s="3795"/>
      <c r="D180" s="2268">
        <f>+D181</f>
        <v>0</v>
      </c>
      <c r="E180" s="2268">
        <f t="shared" ref="E180:O180" si="104">+E181</f>
        <v>0</v>
      </c>
      <c r="F180" s="2268">
        <f t="shared" si="104"/>
        <v>0</v>
      </c>
      <c r="G180" s="2268">
        <f t="shared" si="104"/>
        <v>0</v>
      </c>
      <c r="H180" s="2268">
        <f t="shared" si="104"/>
        <v>0</v>
      </c>
      <c r="I180" s="2268">
        <f t="shared" si="104"/>
        <v>0</v>
      </c>
      <c r="J180" s="2268">
        <f t="shared" si="104"/>
        <v>0</v>
      </c>
      <c r="K180" s="2268">
        <f t="shared" si="104"/>
        <v>0</v>
      </c>
      <c r="L180" s="2268">
        <f t="shared" si="104"/>
        <v>0</v>
      </c>
      <c r="M180" s="2268">
        <f t="shared" si="104"/>
        <v>0</v>
      </c>
      <c r="N180" s="2268">
        <f t="shared" si="104"/>
        <v>0</v>
      </c>
      <c r="O180" s="2268">
        <f t="shared" si="104"/>
        <v>0</v>
      </c>
      <c r="P180" s="2268">
        <f>+P181</f>
        <v>0</v>
      </c>
      <c r="Q180" s="2268"/>
      <c r="R180" s="2268"/>
      <c r="S180" s="2268"/>
      <c r="T180" s="2268"/>
      <c r="U180" s="2268"/>
      <c r="V180" s="2268"/>
      <c r="W180" s="2268"/>
      <c r="X180" s="2269">
        <f>+X181</f>
        <v>0</v>
      </c>
      <c r="Y180" s="3791"/>
      <c r="Z180" s="1060"/>
    </row>
    <row r="181" spans="1:27" ht="11.25" hidden="1" customHeight="1">
      <c r="A181" s="3788"/>
      <c r="B181" s="2263" t="s">
        <v>32</v>
      </c>
      <c r="C181" s="3795"/>
      <c r="D181" s="2266">
        <f>M181+O181+P181+Q181+R181+S181+T181+U181+V181+W181</f>
        <v>0</v>
      </c>
      <c r="E181" s="1713">
        <f>+F181+G181+H181</f>
        <v>0</v>
      </c>
      <c r="F181" s="1710"/>
      <c r="G181" s="1710"/>
      <c r="H181" s="1713"/>
      <c r="I181" s="1713"/>
      <c r="J181" s="1713"/>
      <c r="K181" s="1710"/>
      <c r="L181" s="1710"/>
      <c r="M181" s="1710"/>
      <c r="N181" s="1710"/>
      <c r="O181" s="1710"/>
      <c r="P181" s="1710">
        <v>0</v>
      </c>
      <c r="Q181" s="1710">
        <v>0</v>
      </c>
      <c r="R181" s="1710"/>
      <c r="S181" s="1710"/>
      <c r="T181" s="1710"/>
      <c r="U181" s="1710"/>
      <c r="V181" s="1710"/>
      <c r="W181" s="1710"/>
      <c r="X181" s="2265">
        <f>SUM(P181:T181)</f>
        <v>0</v>
      </c>
      <c r="Y181" s="3791"/>
      <c r="Z181" s="1060"/>
    </row>
    <row r="182" spans="1:27" ht="13.5" hidden="1" customHeight="1">
      <c r="A182" s="3788"/>
      <c r="B182" s="2259" t="s">
        <v>33</v>
      </c>
      <c r="C182" s="2260"/>
      <c r="D182" s="2270">
        <f t="shared" ref="D182:M182" si="105">+D183+D185</f>
        <v>0</v>
      </c>
      <c r="E182" s="2270">
        <f t="shared" si="105"/>
        <v>0</v>
      </c>
      <c r="F182" s="2270">
        <f t="shared" si="105"/>
        <v>0</v>
      </c>
      <c r="G182" s="2270">
        <f t="shared" si="105"/>
        <v>0</v>
      </c>
      <c r="H182" s="2270">
        <f t="shared" si="105"/>
        <v>0</v>
      </c>
      <c r="I182" s="2270">
        <f t="shared" si="105"/>
        <v>0</v>
      </c>
      <c r="J182" s="2270">
        <f t="shared" si="105"/>
        <v>0</v>
      </c>
      <c r="K182" s="2270">
        <f t="shared" si="105"/>
        <v>0</v>
      </c>
      <c r="L182" s="2270">
        <f t="shared" si="105"/>
        <v>0</v>
      </c>
      <c r="M182" s="2270">
        <f t="shared" si="105"/>
        <v>0</v>
      </c>
      <c r="N182" s="2270">
        <f>+N183+N185</f>
        <v>0</v>
      </c>
      <c r="O182" s="2270">
        <f>+O183+O185</f>
        <v>0</v>
      </c>
      <c r="P182" s="2270">
        <f>+P183+P185</f>
        <v>0</v>
      </c>
      <c r="Q182" s="2270">
        <f>+Q183+Q185</f>
        <v>0</v>
      </c>
      <c r="R182" s="2270"/>
      <c r="S182" s="2270"/>
      <c r="T182" s="2270"/>
      <c r="U182" s="2270"/>
      <c r="V182" s="2270"/>
      <c r="W182" s="2270"/>
      <c r="X182" s="3843" t="s">
        <v>75</v>
      </c>
      <c r="Y182" s="3792"/>
      <c r="Z182" s="1060"/>
    </row>
    <row r="183" spans="1:27" ht="13.5" hidden="1" customHeight="1">
      <c r="A183" s="3788"/>
      <c r="B183" s="2262" t="s">
        <v>35</v>
      </c>
      <c r="C183" s="3798" t="s">
        <v>309</v>
      </c>
      <c r="D183" s="2268">
        <f t="shared" ref="D183:O183" si="106">+D184</f>
        <v>0</v>
      </c>
      <c r="E183" s="2268">
        <f t="shared" si="106"/>
        <v>0</v>
      </c>
      <c r="F183" s="2268">
        <f t="shared" si="106"/>
        <v>0</v>
      </c>
      <c r="G183" s="2268">
        <f t="shared" si="106"/>
        <v>0</v>
      </c>
      <c r="H183" s="2268">
        <f t="shared" si="106"/>
        <v>0</v>
      </c>
      <c r="I183" s="2268">
        <f t="shared" si="106"/>
        <v>0</v>
      </c>
      <c r="J183" s="2268">
        <f t="shared" si="106"/>
        <v>0</v>
      </c>
      <c r="K183" s="2268">
        <f t="shared" si="106"/>
        <v>0</v>
      </c>
      <c r="L183" s="2268">
        <f t="shared" si="106"/>
        <v>0</v>
      </c>
      <c r="M183" s="2268">
        <f t="shared" si="106"/>
        <v>0</v>
      </c>
      <c r="N183" s="2268">
        <f t="shared" si="106"/>
        <v>0</v>
      </c>
      <c r="O183" s="2268">
        <f t="shared" si="106"/>
        <v>0</v>
      </c>
      <c r="P183" s="2268">
        <f>+P184</f>
        <v>0</v>
      </c>
      <c r="Q183" s="2268">
        <f>+Q184</f>
        <v>0</v>
      </c>
      <c r="R183" s="2268"/>
      <c r="S183" s="2268"/>
      <c r="T183" s="2268"/>
      <c r="U183" s="2268"/>
      <c r="V183" s="2268"/>
      <c r="W183" s="2268"/>
      <c r="X183" s="3843"/>
      <c r="Y183" s="3792"/>
      <c r="Z183" s="1060"/>
    </row>
    <row r="184" spans="1:27" ht="11.25" hidden="1" customHeight="1">
      <c r="A184" s="3788"/>
      <c r="B184" s="2263" t="s">
        <v>24</v>
      </c>
      <c r="C184" s="3795"/>
      <c r="D184" s="2266">
        <f>M184+O184+P184+Q184+R184+S184+T184+U184+V184+W184</f>
        <v>0</v>
      </c>
      <c r="E184" s="2266">
        <f>+F184+G184+H184</f>
        <v>0</v>
      </c>
      <c r="F184" s="2266"/>
      <c r="G184" s="2266"/>
      <c r="H184" s="2266"/>
      <c r="I184" s="2266"/>
      <c r="J184" s="2266"/>
      <c r="K184" s="2266"/>
      <c r="L184" s="2266"/>
      <c r="M184" s="1710"/>
      <c r="N184" s="2266"/>
      <c r="O184" s="2266"/>
      <c r="P184" s="2266">
        <v>0</v>
      </c>
      <c r="Q184" s="2266">
        <v>0</v>
      </c>
      <c r="R184" s="2266"/>
      <c r="S184" s="2266"/>
      <c r="T184" s="2266"/>
      <c r="U184" s="2266"/>
      <c r="V184" s="2266"/>
      <c r="W184" s="2266"/>
      <c r="X184" s="3843"/>
      <c r="Y184" s="3792"/>
      <c r="Z184" s="1060"/>
    </row>
    <row r="185" spans="1:27" ht="12" hidden="1" customHeight="1">
      <c r="A185" s="3788"/>
      <c r="B185" s="2267" t="s">
        <v>29</v>
      </c>
      <c r="C185" s="3799"/>
      <c r="D185" s="2268">
        <f t="shared" ref="D185:O185" si="107">+D186</f>
        <v>0</v>
      </c>
      <c r="E185" s="2268">
        <f t="shared" si="107"/>
        <v>0</v>
      </c>
      <c r="F185" s="2268">
        <f t="shared" si="107"/>
        <v>0</v>
      </c>
      <c r="G185" s="2268">
        <f t="shared" si="107"/>
        <v>0</v>
      </c>
      <c r="H185" s="2268">
        <f t="shared" si="107"/>
        <v>0</v>
      </c>
      <c r="I185" s="2268">
        <f t="shared" si="107"/>
        <v>0</v>
      </c>
      <c r="J185" s="2268">
        <f t="shared" si="107"/>
        <v>0</v>
      </c>
      <c r="K185" s="2268">
        <f t="shared" si="107"/>
        <v>0</v>
      </c>
      <c r="L185" s="2268">
        <f t="shared" si="107"/>
        <v>0</v>
      </c>
      <c r="M185" s="2268">
        <f t="shared" si="107"/>
        <v>0</v>
      </c>
      <c r="N185" s="2268">
        <f t="shared" si="107"/>
        <v>0</v>
      </c>
      <c r="O185" s="2268">
        <f t="shared" si="107"/>
        <v>0</v>
      </c>
      <c r="P185" s="2268">
        <f>+P186</f>
        <v>0</v>
      </c>
      <c r="Q185" s="2268">
        <f>+Q186</f>
        <v>0</v>
      </c>
      <c r="R185" s="2268"/>
      <c r="S185" s="2268"/>
      <c r="T185" s="2268"/>
      <c r="U185" s="2268"/>
      <c r="V185" s="2268"/>
      <c r="W185" s="2268"/>
      <c r="X185" s="3843"/>
      <c r="Y185" s="3792"/>
      <c r="Z185" s="1060"/>
    </row>
    <row r="186" spans="1:27" ht="12.75" hidden="1" customHeight="1">
      <c r="A186" s="3788"/>
      <c r="B186" s="2263" t="s">
        <v>32</v>
      </c>
      <c r="C186" s="3799"/>
      <c r="D186" s="2266">
        <f>M186+O186+P186+Q186+R186+S186+T186+U186+V186+W186</f>
        <v>0</v>
      </c>
      <c r="E186" s="1710">
        <f>+F186+G186+H186</f>
        <v>0</v>
      </c>
      <c r="F186" s="1710"/>
      <c r="G186" s="1710"/>
      <c r="H186" s="1710"/>
      <c r="I186" s="1710"/>
      <c r="J186" s="1710"/>
      <c r="K186" s="1710"/>
      <c r="L186" s="1710"/>
      <c r="M186" s="1710"/>
      <c r="N186" s="1710"/>
      <c r="O186" s="1710"/>
      <c r="P186" s="1710">
        <v>0</v>
      </c>
      <c r="Q186" s="1710">
        <v>0</v>
      </c>
      <c r="R186" s="1710"/>
      <c r="S186" s="1710"/>
      <c r="T186" s="1710"/>
      <c r="U186" s="1710"/>
      <c r="V186" s="1710"/>
      <c r="W186" s="1710"/>
      <c r="X186" s="3843"/>
      <c r="Y186" s="3792"/>
      <c r="Z186" s="1060"/>
    </row>
    <row r="187" spans="1:27" ht="65.25" hidden="1" customHeight="1">
      <c r="A187" s="3788" t="s">
        <v>105</v>
      </c>
      <c r="B187" s="2255"/>
      <c r="C187" s="2256" t="s">
        <v>125</v>
      </c>
      <c r="D187" s="1740"/>
      <c r="E187" s="1740"/>
      <c r="F187" s="1740"/>
      <c r="G187" s="1740"/>
      <c r="H187" s="1740"/>
      <c r="I187" s="2257"/>
      <c r="J187" s="2257"/>
      <c r="K187" s="2257"/>
      <c r="L187" s="2257"/>
      <c r="M187" s="2257"/>
      <c r="N187" s="2257"/>
      <c r="O187" s="2257"/>
      <c r="P187" s="2257"/>
      <c r="Q187" s="2257"/>
      <c r="R187" s="1740"/>
      <c r="S187" s="1740"/>
      <c r="T187" s="1740"/>
      <c r="U187" s="1740"/>
      <c r="V187" s="1740"/>
      <c r="W187" s="1740"/>
      <c r="X187" s="2258"/>
      <c r="Y187" s="3791" t="s">
        <v>146</v>
      </c>
      <c r="Z187" s="1060"/>
    </row>
    <row r="188" spans="1:27" ht="11.25" hidden="1" customHeight="1">
      <c r="A188" s="3788"/>
      <c r="B188" s="2259" t="s">
        <v>21</v>
      </c>
      <c r="C188" s="2260"/>
      <c r="D188" s="1551">
        <f t="shared" ref="D188:O188" si="108">+D189+D192</f>
        <v>0</v>
      </c>
      <c r="E188" s="1551">
        <f t="shared" si="108"/>
        <v>0</v>
      </c>
      <c r="F188" s="1551">
        <f t="shared" si="108"/>
        <v>0</v>
      </c>
      <c r="G188" s="1551">
        <f t="shared" si="108"/>
        <v>0</v>
      </c>
      <c r="H188" s="1551">
        <f t="shared" si="108"/>
        <v>0</v>
      </c>
      <c r="I188" s="1551">
        <f t="shared" si="108"/>
        <v>0</v>
      </c>
      <c r="J188" s="1551">
        <f t="shared" si="108"/>
        <v>0</v>
      </c>
      <c r="K188" s="1551">
        <f t="shared" si="108"/>
        <v>0</v>
      </c>
      <c r="L188" s="1551">
        <f t="shared" si="108"/>
        <v>0</v>
      </c>
      <c r="M188" s="1551">
        <f t="shared" si="108"/>
        <v>0</v>
      </c>
      <c r="N188" s="1551">
        <f t="shared" si="108"/>
        <v>0</v>
      </c>
      <c r="O188" s="1551">
        <f t="shared" si="108"/>
        <v>0</v>
      </c>
      <c r="P188" s="1551">
        <f>+P189+P192</f>
        <v>0</v>
      </c>
      <c r="Q188" s="1551">
        <f>+Q189+Q192</f>
        <v>0</v>
      </c>
      <c r="R188" s="1551">
        <f>+R189+R192</f>
        <v>0</v>
      </c>
      <c r="S188" s="1551">
        <f>+S189+S192</f>
        <v>0</v>
      </c>
      <c r="T188" s="1551">
        <f>+T189+T192</f>
        <v>0</v>
      </c>
      <c r="U188" s="1551"/>
      <c r="V188" s="1551"/>
      <c r="W188" s="1551"/>
      <c r="X188" s="2261">
        <f>+X189+X192</f>
        <v>0</v>
      </c>
      <c r="Y188" s="3791"/>
      <c r="Z188" s="1061">
        <f>+O188+P188+Q188+R188</f>
        <v>0</v>
      </c>
      <c r="AA188" s="628"/>
    </row>
    <row r="189" spans="1:27" ht="11.25" hidden="1" customHeight="1">
      <c r="A189" s="3788"/>
      <c r="B189" s="2262" t="s">
        <v>35</v>
      </c>
      <c r="C189" s="3794" t="s">
        <v>309</v>
      </c>
      <c r="D189" s="1763">
        <f t="shared" ref="D189:O189" si="109">+D190+D191</f>
        <v>0</v>
      </c>
      <c r="E189" s="1763">
        <f t="shared" si="109"/>
        <v>0</v>
      </c>
      <c r="F189" s="1763">
        <f t="shared" si="109"/>
        <v>0</v>
      </c>
      <c r="G189" s="1763">
        <f t="shared" si="109"/>
        <v>0</v>
      </c>
      <c r="H189" s="1763">
        <f t="shared" si="109"/>
        <v>0</v>
      </c>
      <c r="I189" s="1763">
        <f t="shared" si="109"/>
        <v>0</v>
      </c>
      <c r="J189" s="1763">
        <f t="shared" si="109"/>
        <v>0</v>
      </c>
      <c r="K189" s="1763">
        <f t="shared" si="109"/>
        <v>0</v>
      </c>
      <c r="L189" s="1763">
        <f t="shared" si="109"/>
        <v>0</v>
      </c>
      <c r="M189" s="1763">
        <f t="shared" si="109"/>
        <v>0</v>
      </c>
      <c r="N189" s="1763">
        <f t="shared" si="109"/>
        <v>0</v>
      </c>
      <c r="O189" s="1763">
        <f t="shared" si="109"/>
        <v>0</v>
      </c>
      <c r="P189" s="1763">
        <f>+P190+P191</f>
        <v>0</v>
      </c>
      <c r="Q189" s="1763">
        <f>+Q190+Q191</f>
        <v>0</v>
      </c>
      <c r="R189" s="1763">
        <f>+R190+R191</f>
        <v>0</v>
      </c>
      <c r="S189" s="1763">
        <f>+S190+S191</f>
        <v>0</v>
      </c>
      <c r="T189" s="1763">
        <f>+T190+T191</f>
        <v>0</v>
      </c>
      <c r="U189" s="1763"/>
      <c r="V189" s="1763"/>
      <c r="W189" s="1763"/>
      <c r="X189" s="1751">
        <f>+X190+X191</f>
        <v>0</v>
      </c>
      <c r="Y189" s="3791"/>
      <c r="Z189" s="1060"/>
    </row>
    <row r="190" spans="1:27" ht="11.25" hidden="1" customHeight="1">
      <c r="A190" s="3788"/>
      <c r="B190" s="2263" t="s">
        <v>23</v>
      </c>
      <c r="C190" s="3795"/>
      <c r="D190" s="2266">
        <f>+E190+I190+J190+K190+L190</f>
        <v>0</v>
      </c>
      <c r="E190" s="1713">
        <f>+F190+G190+H190</f>
        <v>0</v>
      </c>
      <c r="F190" s="1710"/>
      <c r="G190" s="1710"/>
      <c r="H190" s="1713"/>
      <c r="I190" s="1713"/>
      <c r="J190" s="1713"/>
      <c r="K190" s="1710"/>
      <c r="L190" s="1710"/>
      <c r="M190" s="1710"/>
      <c r="N190" s="1710"/>
      <c r="O190" s="1710"/>
      <c r="P190" s="1710"/>
      <c r="Q190" s="1710"/>
      <c r="R190" s="1710"/>
      <c r="S190" s="1710"/>
      <c r="T190" s="1710"/>
      <c r="U190" s="1710"/>
      <c r="V190" s="1710"/>
      <c r="W190" s="1710"/>
      <c r="X190" s="2265">
        <f>+L190+M190+O190</f>
        <v>0</v>
      </c>
      <c r="Y190" s="3791"/>
      <c r="Z190" s="1060"/>
    </row>
    <row r="191" spans="1:27" ht="11.25" hidden="1" customHeight="1">
      <c r="A191" s="3788"/>
      <c r="B191" s="2263" t="s">
        <v>24</v>
      </c>
      <c r="C191" s="3795"/>
      <c r="D191" s="2266">
        <f>+E191+I191+J191+K191+L191+N191+O191+P191</f>
        <v>0</v>
      </c>
      <c r="E191" s="1713">
        <f>+F191+G191+H191</f>
        <v>0</v>
      </c>
      <c r="F191" s="1710"/>
      <c r="G191" s="1710">
        <v>0</v>
      </c>
      <c r="H191" s="1713"/>
      <c r="I191" s="1713">
        <v>0</v>
      </c>
      <c r="J191" s="1713">
        <v>0</v>
      </c>
      <c r="K191" s="1710">
        <v>0</v>
      </c>
      <c r="L191" s="1710">
        <v>0</v>
      </c>
      <c r="M191" s="1710">
        <v>0</v>
      </c>
      <c r="N191" s="1710">
        <v>0</v>
      </c>
      <c r="O191" s="1710">
        <v>0</v>
      </c>
      <c r="P191" s="1710"/>
      <c r="Q191" s="1710"/>
      <c r="R191" s="1710"/>
      <c r="S191" s="1710"/>
      <c r="T191" s="1710"/>
      <c r="U191" s="1710"/>
      <c r="V191" s="1710"/>
      <c r="W191" s="1710"/>
      <c r="X191" s="2265">
        <f>SUM(O191:R191)</f>
        <v>0</v>
      </c>
      <c r="Y191" s="3791"/>
      <c r="Z191" s="1060"/>
    </row>
    <row r="192" spans="1:27" ht="12.75" hidden="1" customHeight="1">
      <c r="A192" s="3788"/>
      <c r="B192" s="2267" t="s">
        <v>29</v>
      </c>
      <c r="C192" s="3795"/>
      <c r="D192" s="2268">
        <f>+D193</f>
        <v>0</v>
      </c>
      <c r="E192" s="2268">
        <f t="shared" ref="E192:O192" si="110">+E193</f>
        <v>0</v>
      </c>
      <c r="F192" s="2268">
        <f t="shared" si="110"/>
        <v>0</v>
      </c>
      <c r="G192" s="2268">
        <f t="shared" si="110"/>
        <v>0</v>
      </c>
      <c r="H192" s="2268">
        <f t="shared" si="110"/>
        <v>0</v>
      </c>
      <c r="I192" s="2268">
        <f t="shared" si="110"/>
        <v>0</v>
      </c>
      <c r="J192" s="2268">
        <f t="shared" si="110"/>
        <v>0</v>
      </c>
      <c r="K192" s="2268">
        <f t="shared" si="110"/>
        <v>0</v>
      </c>
      <c r="L192" s="2268">
        <f t="shared" si="110"/>
        <v>0</v>
      </c>
      <c r="M192" s="2268">
        <f t="shared" si="110"/>
        <v>0</v>
      </c>
      <c r="N192" s="2268">
        <f t="shared" si="110"/>
        <v>0</v>
      </c>
      <c r="O192" s="2268">
        <f t="shared" si="110"/>
        <v>0</v>
      </c>
      <c r="P192" s="2268">
        <f t="shared" ref="P192:X192" si="111">+P193</f>
        <v>0</v>
      </c>
      <c r="Q192" s="2268">
        <f t="shared" si="111"/>
        <v>0</v>
      </c>
      <c r="R192" s="2268">
        <f t="shared" si="111"/>
        <v>0</v>
      </c>
      <c r="S192" s="2268">
        <f t="shared" si="111"/>
        <v>0</v>
      </c>
      <c r="T192" s="2268">
        <f t="shared" si="111"/>
        <v>0</v>
      </c>
      <c r="U192" s="2268"/>
      <c r="V192" s="2268"/>
      <c r="W192" s="2268"/>
      <c r="X192" s="2269">
        <f t="shared" si="111"/>
        <v>0</v>
      </c>
      <c r="Y192" s="3791"/>
      <c r="Z192" s="1060"/>
    </row>
    <row r="193" spans="1:27" ht="11.25" hidden="1" customHeight="1">
      <c r="A193" s="3788"/>
      <c r="B193" s="2263" t="s">
        <v>32</v>
      </c>
      <c r="C193" s="3795"/>
      <c r="D193" s="2266">
        <f>M193+O193+P193+Q193+R193+S193+T193+U193+V193+W193</f>
        <v>0</v>
      </c>
      <c r="E193" s="1713">
        <f>+F193+G193+H193</f>
        <v>0</v>
      </c>
      <c r="F193" s="1710"/>
      <c r="G193" s="1710"/>
      <c r="H193" s="1713"/>
      <c r="I193" s="1713">
        <v>0</v>
      </c>
      <c r="J193" s="1713"/>
      <c r="K193" s="1710"/>
      <c r="L193" s="1710"/>
      <c r="M193" s="1710"/>
      <c r="N193" s="1710"/>
      <c r="O193" s="1710"/>
      <c r="P193" s="1710"/>
      <c r="Q193" s="1710">
        <v>0</v>
      </c>
      <c r="R193" s="1710">
        <v>0</v>
      </c>
      <c r="S193" s="1710">
        <v>0</v>
      </c>
      <c r="T193" s="1710">
        <v>0</v>
      </c>
      <c r="U193" s="1710"/>
      <c r="V193" s="1710"/>
      <c r="W193" s="1710"/>
      <c r="X193" s="2265">
        <f>SUM(P193:T193)</f>
        <v>0</v>
      </c>
      <c r="Y193" s="3791"/>
      <c r="Z193" s="1060"/>
    </row>
    <row r="194" spans="1:27" ht="11.25" hidden="1" customHeight="1">
      <c r="A194" s="3823"/>
      <c r="B194" s="2259" t="s">
        <v>33</v>
      </c>
      <c r="C194" s="2260"/>
      <c r="D194" s="2270">
        <f t="shared" ref="D194:L194" si="112">+D195+D197</f>
        <v>0</v>
      </c>
      <c r="E194" s="2270">
        <f t="shared" si="112"/>
        <v>0</v>
      </c>
      <c r="F194" s="2270">
        <f t="shared" si="112"/>
        <v>0</v>
      </c>
      <c r="G194" s="2270">
        <f t="shared" si="112"/>
        <v>0</v>
      </c>
      <c r="H194" s="2270">
        <f t="shared" si="112"/>
        <v>0</v>
      </c>
      <c r="I194" s="2270">
        <f t="shared" si="112"/>
        <v>0</v>
      </c>
      <c r="J194" s="2270">
        <f t="shared" si="112"/>
        <v>0</v>
      </c>
      <c r="K194" s="2270">
        <f t="shared" si="112"/>
        <v>0</v>
      </c>
      <c r="L194" s="2270">
        <f t="shared" si="112"/>
        <v>0</v>
      </c>
      <c r="M194" s="2270">
        <f t="shared" ref="M194:T194" si="113">+M195+M197</f>
        <v>0</v>
      </c>
      <c r="N194" s="2270">
        <f t="shared" si="113"/>
        <v>0</v>
      </c>
      <c r="O194" s="2270">
        <f t="shared" si="113"/>
        <v>0</v>
      </c>
      <c r="P194" s="2270">
        <f t="shared" si="113"/>
        <v>0</v>
      </c>
      <c r="Q194" s="2270">
        <f t="shared" si="113"/>
        <v>0</v>
      </c>
      <c r="R194" s="2270">
        <f t="shared" si="113"/>
        <v>0</v>
      </c>
      <c r="S194" s="2270">
        <f t="shared" si="113"/>
        <v>0</v>
      </c>
      <c r="T194" s="2270">
        <f t="shared" si="113"/>
        <v>0</v>
      </c>
      <c r="U194" s="2270"/>
      <c r="V194" s="2270"/>
      <c r="W194" s="2270"/>
      <c r="X194" s="3843" t="s">
        <v>75</v>
      </c>
      <c r="Y194" s="3792"/>
      <c r="Z194" s="1060"/>
    </row>
    <row r="195" spans="1:27" ht="11.25" hidden="1" customHeight="1">
      <c r="A195" s="3823"/>
      <c r="B195" s="2262" t="s">
        <v>35</v>
      </c>
      <c r="C195" s="3798" t="s">
        <v>309</v>
      </c>
      <c r="D195" s="2268">
        <f t="shared" ref="D195:O195" si="114">+D196</f>
        <v>0</v>
      </c>
      <c r="E195" s="2268">
        <f t="shared" si="114"/>
        <v>0</v>
      </c>
      <c r="F195" s="2268">
        <f t="shared" si="114"/>
        <v>0</v>
      </c>
      <c r="G195" s="2268">
        <f t="shared" si="114"/>
        <v>0</v>
      </c>
      <c r="H195" s="2268">
        <f t="shared" si="114"/>
        <v>0</v>
      </c>
      <c r="I195" s="2268">
        <f t="shared" si="114"/>
        <v>0</v>
      </c>
      <c r="J195" s="2268">
        <f t="shared" si="114"/>
        <v>0</v>
      </c>
      <c r="K195" s="2268">
        <f t="shared" si="114"/>
        <v>0</v>
      </c>
      <c r="L195" s="2268">
        <f t="shared" si="114"/>
        <v>0</v>
      </c>
      <c r="M195" s="2268">
        <f t="shared" si="114"/>
        <v>0</v>
      </c>
      <c r="N195" s="2268">
        <f t="shared" si="114"/>
        <v>0</v>
      </c>
      <c r="O195" s="2268">
        <f t="shared" si="114"/>
        <v>0</v>
      </c>
      <c r="P195" s="2268">
        <f>+P196</f>
        <v>0</v>
      </c>
      <c r="Q195" s="2268">
        <v>0</v>
      </c>
      <c r="R195" s="2268">
        <v>0</v>
      </c>
      <c r="S195" s="2268">
        <v>0</v>
      </c>
      <c r="T195" s="2268">
        <v>0</v>
      </c>
      <c r="U195" s="2268"/>
      <c r="V195" s="2268"/>
      <c r="W195" s="2268"/>
      <c r="X195" s="3843"/>
      <c r="Y195" s="3792"/>
      <c r="Z195" s="1060"/>
    </row>
    <row r="196" spans="1:27" ht="19.149999999999999" hidden="1" customHeight="1">
      <c r="A196" s="3823"/>
      <c r="B196" s="2263" t="s">
        <v>24</v>
      </c>
      <c r="C196" s="3795"/>
      <c r="D196" s="2266">
        <f>+E196+I196+J196+K196+L196+N196+O196+P196</f>
        <v>0</v>
      </c>
      <c r="E196" s="2266">
        <f>+F196+G196+H196</f>
        <v>0</v>
      </c>
      <c r="F196" s="2266"/>
      <c r="G196" s="2266"/>
      <c r="H196" s="2266"/>
      <c r="I196" s="2266">
        <v>0</v>
      </c>
      <c r="J196" s="2266">
        <v>0</v>
      </c>
      <c r="K196" s="2266"/>
      <c r="L196" s="2266"/>
      <c r="M196" s="2266"/>
      <c r="N196" s="2266"/>
      <c r="O196" s="2266"/>
      <c r="P196" s="2266"/>
      <c r="Q196" s="2266"/>
      <c r="R196" s="2266"/>
      <c r="S196" s="2266"/>
      <c r="T196" s="2266"/>
      <c r="U196" s="2266"/>
      <c r="V196" s="2266"/>
      <c r="W196" s="2266"/>
      <c r="X196" s="3843"/>
      <c r="Y196" s="3792"/>
      <c r="Z196" s="1060"/>
    </row>
    <row r="197" spans="1:27" ht="18.600000000000001" hidden="1" customHeight="1">
      <c r="A197" s="3823"/>
      <c r="B197" s="2267" t="s">
        <v>29</v>
      </c>
      <c r="C197" s="3799"/>
      <c r="D197" s="2268">
        <f t="shared" ref="D197:O197" si="115">+D198</f>
        <v>0</v>
      </c>
      <c r="E197" s="2268">
        <f t="shared" si="115"/>
        <v>0</v>
      </c>
      <c r="F197" s="2268">
        <f t="shared" si="115"/>
        <v>0</v>
      </c>
      <c r="G197" s="2268">
        <f t="shared" si="115"/>
        <v>0</v>
      </c>
      <c r="H197" s="2268">
        <f t="shared" si="115"/>
        <v>0</v>
      </c>
      <c r="I197" s="2268">
        <f t="shared" si="115"/>
        <v>0</v>
      </c>
      <c r="J197" s="2268">
        <f t="shared" si="115"/>
        <v>0</v>
      </c>
      <c r="K197" s="2268">
        <f t="shared" si="115"/>
        <v>0</v>
      </c>
      <c r="L197" s="2268">
        <f t="shared" si="115"/>
        <v>0</v>
      </c>
      <c r="M197" s="2268">
        <f t="shared" si="115"/>
        <v>0</v>
      </c>
      <c r="N197" s="2268">
        <f t="shared" si="115"/>
        <v>0</v>
      </c>
      <c r="O197" s="2268">
        <f t="shared" si="115"/>
        <v>0</v>
      </c>
      <c r="P197" s="2268">
        <f>+P198</f>
        <v>0</v>
      </c>
      <c r="Q197" s="2268">
        <v>0</v>
      </c>
      <c r="R197" s="2268">
        <v>0</v>
      </c>
      <c r="S197" s="2268">
        <v>0</v>
      </c>
      <c r="T197" s="2268">
        <v>0</v>
      </c>
      <c r="U197" s="2268"/>
      <c r="V197" s="2268"/>
      <c r="W197" s="2268"/>
      <c r="X197" s="3843"/>
      <c r="Y197" s="3792"/>
      <c r="Z197" s="1060"/>
    </row>
    <row r="198" spans="1:27" ht="19.149999999999999" hidden="1" customHeight="1">
      <c r="A198" s="3823"/>
      <c r="B198" s="2263" t="s">
        <v>32</v>
      </c>
      <c r="C198" s="3799"/>
      <c r="D198" s="2266">
        <f>M198+O198+P198+Q198+R198+S198+T198+U198+V198+W198</f>
        <v>0</v>
      </c>
      <c r="E198" s="1710">
        <v>0</v>
      </c>
      <c r="F198" s="1710"/>
      <c r="G198" s="1710"/>
      <c r="H198" s="1710"/>
      <c r="I198" s="1710">
        <v>0</v>
      </c>
      <c r="J198" s="1710">
        <v>0</v>
      </c>
      <c r="K198" s="1710"/>
      <c r="L198" s="1710"/>
      <c r="M198" s="1710"/>
      <c r="N198" s="1710"/>
      <c r="O198" s="1710"/>
      <c r="P198" s="1710"/>
      <c r="Q198" s="1710">
        <v>0</v>
      </c>
      <c r="R198" s="1710">
        <v>0</v>
      </c>
      <c r="S198" s="1710">
        <v>0</v>
      </c>
      <c r="T198" s="1710">
        <v>0</v>
      </c>
      <c r="U198" s="1710"/>
      <c r="V198" s="1710"/>
      <c r="W198" s="1710"/>
      <c r="X198" s="3843"/>
      <c r="Y198" s="3792"/>
      <c r="Z198" s="1060"/>
    </row>
    <row r="199" spans="1:27" ht="19.149999999999999" hidden="1" customHeight="1">
      <c r="A199" s="3788" t="s">
        <v>106</v>
      </c>
      <c r="B199" s="2255"/>
      <c r="C199" s="2256" t="s">
        <v>125</v>
      </c>
      <c r="D199" s="1740"/>
      <c r="E199" s="1740"/>
      <c r="F199" s="1740"/>
      <c r="G199" s="1740"/>
      <c r="H199" s="1740"/>
      <c r="I199" s="2257"/>
      <c r="J199" s="2257"/>
      <c r="K199" s="2257"/>
      <c r="L199" s="2257"/>
      <c r="M199" s="2257"/>
      <c r="N199" s="2257"/>
      <c r="O199" s="2257"/>
      <c r="P199" s="2257"/>
      <c r="Q199" s="2257"/>
      <c r="R199" s="2257"/>
      <c r="S199" s="2257"/>
      <c r="T199" s="2257"/>
      <c r="U199" s="2257"/>
      <c r="V199" s="2257"/>
      <c r="W199" s="2257"/>
      <c r="X199" s="2258"/>
      <c r="Y199" s="3791" t="s">
        <v>146</v>
      </c>
      <c r="Z199" s="1060"/>
    </row>
    <row r="200" spans="1:27" ht="18.600000000000001" hidden="1" customHeight="1">
      <c r="A200" s="3788"/>
      <c r="B200" s="2259" t="s">
        <v>21</v>
      </c>
      <c r="C200" s="1551"/>
      <c r="D200" s="1551">
        <f t="shared" ref="D200:P200" si="116">+D201+D204</f>
        <v>0</v>
      </c>
      <c r="E200" s="1551">
        <f t="shared" si="116"/>
        <v>0</v>
      </c>
      <c r="F200" s="1551">
        <f t="shared" si="116"/>
        <v>0</v>
      </c>
      <c r="G200" s="1551">
        <f t="shared" si="116"/>
        <v>0</v>
      </c>
      <c r="H200" s="1551">
        <f t="shared" si="116"/>
        <v>0</v>
      </c>
      <c r="I200" s="1551">
        <f t="shared" si="116"/>
        <v>0</v>
      </c>
      <c r="J200" s="1551">
        <f t="shared" si="116"/>
        <v>0</v>
      </c>
      <c r="K200" s="1551">
        <f t="shared" si="116"/>
        <v>0</v>
      </c>
      <c r="L200" s="1551">
        <f t="shared" si="116"/>
        <v>0</v>
      </c>
      <c r="M200" s="1551">
        <f>+M201+M204</f>
        <v>0</v>
      </c>
      <c r="N200" s="1551">
        <f t="shared" si="116"/>
        <v>0</v>
      </c>
      <c r="O200" s="1551">
        <f t="shared" si="116"/>
        <v>0</v>
      </c>
      <c r="P200" s="1551">
        <f t="shared" si="116"/>
        <v>0</v>
      </c>
      <c r="Q200" s="1551">
        <f>+Q201+Q204</f>
        <v>0</v>
      </c>
      <c r="R200" s="1551"/>
      <c r="S200" s="1551"/>
      <c r="T200" s="1551"/>
      <c r="U200" s="1551"/>
      <c r="V200" s="1551"/>
      <c r="W200" s="1551"/>
      <c r="X200" s="2261">
        <f>+X201+X204</f>
        <v>0</v>
      </c>
      <c r="Y200" s="3791"/>
      <c r="Z200" s="1061">
        <f>+O200+P200+Q200+R200</f>
        <v>0</v>
      </c>
      <c r="AA200" s="628"/>
    </row>
    <row r="201" spans="1:27" ht="19.149999999999999" hidden="1" customHeight="1">
      <c r="A201" s="3788"/>
      <c r="B201" s="2468" t="s">
        <v>35</v>
      </c>
      <c r="C201" s="3794" t="s">
        <v>309</v>
      </c>
      <c r="D201" s="2468">
        <f t="shared" ref="D201:P201" si="117">+D202+D203</f>
        <v>0</v>
      </c>
      <c r="E201" s="2468">
        <f t="shared" si="117"/>
        <v>0</v>
      </c>
      <c r="F201" s="2468">
        <f t="shared" si="117"/>
        <v>0</v>
      </c>
      <c r="G201" s="2468">
        <f t="shared" si="117"/>
        <v>0</v>
      </c>
      <c r="H201" s="2468">
        <f t="shared" si="117"/>
        <v>0</v>
      </c>
      <c r="I201" s="2468">
        <f t="shared" si="117"/>
        <v>0</v>
      </c>
      <c r="J201" s="2468">
        <f t="shared" si="117"/>
        <v>0</v>
      </c>
      <c r="K201" s="2468">
        <f t="shared" si="117"/>
        <v>0</v>
      </c>
      <c r="L201" s="2468">
        <f t="shared" si="117"/>
        <v>0</v>
      </c>
      <c r="M201" s="2468">
        <f>+M202+M203</f>
        <v>0</v>
      </c>
      <c r="N201" s="2468">
        <f t="shared" si="117"/>
        <v>0</v>
      </c>
      <c r="O201" s="2468">
        <f t="shared" si="117"/>
        <v>0</v>
      </c>
      <c r="P201" s="2468">
        <f t="shared" si="117"/>
        <v>0</v>
      </c>
      <c r="Q201" s="2468">
        <f>+Q202+Q203</f>
        <v>0</v>
      </c>
      <c r="R201" s="2468"/>
      <c r="S201" s="2468"/>
      <c r="T201" s="2468"/>
      <c r="U201" s="2468"/>
      <c r="V201" s="2468"/>
      <c r="W201" s="2468"/>
      <c r="X201" s="1751">
        <f>+X202+X203</f>
        <v>0</v>
      </c>
      <c r="Y201" s="3791"/>
      <c r="Z201" s="1060"/>
    </row>
    <row r="202" spans="1:27" ht="19.899999999999999" hidden="1" customHeight="1">
      <c r="A202" s="3788"/>
      <c r="B202" s="2468" t="s">
        <v>23</v>
      </c>
      <c r="C202" s="3795"/>
      <c r="D202" s="2468">
        <f>+E202+I202+J202+K202+L202</f>
        <v>0</v>
      </c>
      <c r="E202" s="2468">
        <f>+F202+G202+H202</f>
        <v>0</v>
      </c>
      <c r="F202" s="2468"/>
      <c r="G202" s="2468"/>
      <c r="H202" s="2468"/>
      <c r="I202" s="2468"/>
      <c r="J202" s="2468"/>
      <c r="K202" s="2468"/>
      <c r="L202" s="2468"/>
      <c r="M202" s="2468"/>
      <c r="N202" s="2468"/>
      <c r="O202" s="2468"/>
      <c r="P202" s="2468"/>
      <c r="Q202" s="2468"/>
      <c r="R202" s="2468"/>
      <c r="S202" s="2468"/>
      <c r="T202" s="2468"/>
      <c r="U202" s="2468"/>
      <c r="V202" s="2468"/>
      <c r="W202" s="2468"/>
      <c r="X202" s="2265">
        <f>+L202+M202+O202</f>
        <v>0</v>
      </c>
      <c r="Y202" s="3791"/>
      <c r="Z202" s="1060"/>
    </row>
    <row r="203" spans="1:27" ht="17.45" hidden="1" customHeight="1">
      <c r="A203" s="3788"/>
      <c r="B203" s="2468" t="s">
        <v>24</v>
      </c>
      <c r="C203" s="3795"/>
      <c r="D203" s="2468">
        <f>+E203+I203+J203+K203+L203+N203+O203+P203</f>
        <v>0</v>
      </c>
      <c r="E203" s="2468">
        <f>+F203+G203+H203</f>
        <v>0</v>
      </c>
      <c r="F203" s="2468"/>
      <c r="G203" s="2468">
        <v>0</v>
      </c>
      <c r="H203" s="2468"/>
      <c r="I203" s="2468"/>
      <c r="J203" s="2468"/>
      <c r="K203" s="2468"/>
      <c r="L203" s="2468"/>
      <c r="M203" s="2468"/>
      <c r="N203" s="2468"/>
      <c r="O203" s="2468"/>
      <c r="P203" s="2468"/>
      <c r="Q203" s="2468"/>
      <c r="R203" s="2468"/>
      <c r="S203" s="2468"/>
      <c r="T203" s="2468"/>
      <c r="U203" s="2468"/>
      <c r="V203" s="2468"/>
      <c r="W203" s="2468"/>
      <c r="X203" s="2265">
        <f>SUM(O203:R203)</f>
        <v>0</v>
      </c>
      <c r="Y203" s="3791"/>
      <c r="Z203" s="1060"/>
    </row>
    <row r="204" spans="1:27" ht="17.45" hidden="1" customHeight="1">
      <c r="A204" s="3788"/>
      <c r="B204" s="2267" t="s">
        <v>29</v>
      </c>
      <c r="C204" s="3795"/>
      <c r="D204" s="2268">
        <f>+D205</f>
        <v>0</v>
      </c>
      <c r="E204" s="2268">
        <f t="shared" ref="E204:X204" si="118">+E205</f>
        <v>0</v>
      </c>
      <c r="F204" s="2268">
        <f t="shared" si="118"/>
        <v>0</v>
      </c>
      <c r="G204" s="2268">
        <f t="shared" si="118"/>
        <v>0</v>
      </c>
      <c r="H204" s="2268">
        <f t="shared" si="118"/>
        <v>0</v>
      </c>
      <c r="I204" s="2268">
        <f t="shared" si="118"/>
        <v>0</v>
      </c>
      <c r="J204" s="2268">
        <f t="shared" si="118"/>
        <v>0</v>
      </c>
      <c r="K204" s="2268">
        <f t="shared" si="118"/>
        <v>0</v>
      </c>
      <c r="L204" s="2268">
        <f t="shared" si="118"/>
        <v>0</v>
      </c>
      <c r="M204" s="2268">
        <f t="shared" si="118"/>
        <v>0</v>
      </c>
      <c r="N204" s="2268">
        <f t="shared" si="118"/>
        <v>0</v>
      </c>
      <c r="O204" s="2268">
        <f t="shared" si="118"/>
        <v>0</v>
      </c>
      <c r="P204" s="2268">
        <f t="shared" si="118"/>
        <v>0</v>
      </c>
      <c r="Q204" s="2268">
        <f t="shared" si="118"/>
        <v>0</v>
      </c>
      <c r="R204" s="2268"/>
      <c r="S204" s="2268"/>
      <c r="T204" s="2268"/>
      <c r="U204" s="2268"/>
      <c r="V204" s="2268"/>
      <c r="W204" s="2268"/>
      <c r="X204" s="2269">
        <f t="shared" si="118"/>
        <v>0</v>
      </c>
      <c r="Y204" s="3791"/>
      <c r="Z204" s="1060"/>
    </row>
    <row r="205" spans="1:27" ht="18" hidden="1" customHeight="1">
      <c r="A205" s="3788"/>
      <c r="B205" s="2263" t="s">
        <v>32</v>
      </c>
      <c r="C205" s="3795"/>
      <c r="D205" s="2266">
        <f>M205+O205+P205+Q205+R205+S205+T205+U205+V205+W205</f>
        <v>0</v>
      </c>
      <c r="E205" s="1713">
        <f>+F205+G205+H205</f>
        <v>0</v>
      </c>
      <c r="F205" s="1710"/>
      <c r="G205" s="1710"/>
      <c r="H205" s="1713"/>
      <c r="I205" s="1713">
        <v>0</v>
      </c>
      <c r="J205" s="1713">
        <v>0</v>
      </c>
      <c r="K205" s="1710"/>
      <c r="L205" s="1710"/>
      <c r="M205" s="1710"/>
      <c r="N205" s="1710"/>
      <c r="O205" s="1710"/>
      <c r="P205" s="1710"/>
      <c r="Q205" s="1710">
        <v>0</v>
      </c>
      <c r="R205" s="1710"/>
      <c r="S205" s="1710"/>
      <c r="T205" s="1710"/>
      <c r="U205" s="1710"/>
      <c r="V205" s="1710"/>
      <c r="W205" s="1710"/>
      <c r="X205" s="2265">
        <f>SUM(P205:T205)</f>
        <v>0</v>
      </c>
      <c r="Y205" s="3791"/>
      <c r="Z205" s="1060"/>
    </row>
    <row r="206" spans="1:27" ht="18" hidden="1" customHeight="1">
      <c r="A206" s="3823"/>
      <c r="B206" s="2259" t="s">
        <v>33</v>
      </c>
      <c r="C206" s="2260"/>
      <c r="D206" s="2270">
        <f t="shared" ref="D206:L206" si="119">+D207+D209</f>
        <v>0</v>
      </c>
      <c r="E206" s="2270">
        <f t="shared" si="119"/>
        <v>0</v>
      </c>
      <c r="F206" s="2270">
        <f t="shared" si="119"/>
        <v>0</v>
      </c>
      <c r="G206" s="2270">
        <f t="shared" si="119"/>
        <v>0</v>
      </c>
      <c r="H206" s="2270">
        <f t="shared" si="119"/>
        <v>0</v>
      </c>
      <c r="I206" s="2270">
        <f t="shared" si="119"/>
        <v>0</v>
      </c>
      <c r="J206" s="2270">
        <f t="shared" si="119"/>
        <v>0</v>
      </c>
      <c r="K206" s="2270">
        <f t="shared" si="119"/>
        <v>0</v>
      </c>
      <c r="L206" s="2270">
        <f t="shared" si="119"/>
        <v>0</v>
      </c>
      <c r="M206" s="2270">
        <f>+M207+M209</f>
        <v>0</v>
      </c>
      <c r="N206" s="2270">
        <f>+N207+N209</f>
        <v>0</v>
      </c>
      <c r="O206" s="2270">
        <f>+O207+O209</f>
        <v>0</v>
      </c>
      <c r="P206" s="2270">
        <f>+P207+P209</f>
        <v>0</v>
      </c>
      <c r="Q206" s="2270">
        <f>+Q207+Q209</f>
        <v>0</v>
      </c>
      <c r="R206" s="2270"/>
      <c r="S206" s="2270"/>
      <c r="T206" s="2270"/>
      <c r="U206" s="2270"/>
      <c r="V206" s="2270"/>
      <c r="W206" s="2270"/>
      <c r="X206" s="3843" t="s">
        <v>75</v>
      </c>
      <c r="Y206" s="3792"/>
      <c r="Z206" s="1060"/>
    </row>
    <row r="207" spans="1:27" ht="18.600000000000001" hidden="1" customHeight="1">
      <c r="A207" s="3823"/>
      <c r="B207" s="2333" t="s">
        <v>35</v>
      </c>
      <c r="C207" s="3798" t="s">
        <v>309</v>
      </c>
      <c r="D207" s="2268">
        <f t="shared" ref="D207:Q207" si="120">+D208</f>
        <v>0</v>
      </c>
      <c r="E207" s="2268">
        <f t="shared" si="120"/>
        <v>0</v>
      </c>
      <c r="F207" s="2268">
        <f t="shared" si="120"/>
        <v>0</v>
      </c>
      <c r="G207" s="2268">
        <f t="shared" si="120"/>
        <v>0</v>
      </c>
      <c r="H207" s="2268">
        <f t="shared" si="120"/>
        <v>0</v>
      </c>
      <c r="I207" s="2268">
        <f t="shared" si="120"/>
        <v>0</v>
      </c>
      <c r="J207" s="2268">
        <f t="shared" si="120"/>
        <v>0</v>
      </c>
      <c r="K207" s="2268">
        <f t="shared" si="120"/>
        <v>0</v>
      </c>
      <c r="L207" s="2268">
        <f t="shared" si="120"/>
        <v>0</v>
      </c>
      <c r="M207" s="2268">
        <f t="shared" si="120"/>
        <v>0</v>
      </c>
      <c r="N207" s="2268">
        <f t="shared" si="120"/>
        <v>0</v>
      </c>
      <c r="O207" s="2268">
        <f t="shared" si="120"/>
        <v>0</v>
      </c>
      <c r="P207" s="2268">
        <f t="shared" si="120"/>
        <v>0</v>
      </c>
      <c r="Q207" s="2268">
        <f t="shared" si="120"/>
        <v>0</v>
      </c>
      <c r="R207" s="2268"/>
      <c r="S207" s="2268"/>
      <c r="T207" s="2268"/>
      <c r="U207" s="2268"/>
      <c r="V207" s="2268"/>
      <c r="W207" s="2268"/>
      <c r="X207" s="3843"/>
      <c r="Y207" s="3792"/>
      <c r="Z207" s="1060"/>
    </row>
    <row r="208" spans="1:27" ht="18.600000000000001" hidden="1" customHeight="1">
      <c r="A208" s="3823"/>
      <c r="B208" s="2468" t="s">
        <v>24</v>
      </c>
      <c r="C208" s="3795"/>
      <c r="D208" s="2266">
        <f>M208+O208+P208+Q208+R208+S208+T208+U208+V208+W208</f>
        <v>0</v>
      </c>
      <c r="E208" s="1710">
        <f>+F208+G208+H208</f>
        <v>0</v>
      </c>
      <c r="F208" s="1710"/>
      <c r="G208" s="1710"/>
      <c r="H208" s="1710"/>
      <c r="I208" s="1710"/>
      <c r="J208" s="1710"/>
      <c r="K208" s="1710"/>
      <c r="L208" s="1710"/>
      <c r="M208" s="1710">
        <f>+L208+K208+J208+I208+E208+N208</f>
        <v>0</v>
      </c>
      <c r="N208" s="1710"/>
      <c r="O208" s="1710"/>
      <c r="P208" s="1710"/>
      <c r="Q208" s="1710"/>
      <c r="R208" s="1710"/>
      <c r="S208" s="1710"/>
      <c r="T208" s="1710"/>
      <c r="U208" s="1710"/>
      <c r="V208" s="1710"/>
      <c r="W208" s="1710"/>
      <c r="X208" s="3843"/>
      <c r="Y208" s="3792"/>
      <c r="Z208" s="1060"/>
    </row>
    <row r="209" spans="1:29" ht="19.149999999999999" hidden="1" customHeight="1">
      <c r="A209" s="3823"/>
      <c r="B209" s="2333" t="s">
        <v>29</v>
      </c>
      <c r="C209" s="3799"/>
      <c r="D209" s="2268">
        <f t="shared" ref="D209:Q209" si="121">+D210</f>
        <v>0</v>
      </c>
      <c r="E209" s="2268">
        <f t="shared" si="121"/>
        <v>0</v>
      </c>
      <c r="F209" s="2268">
        <f t="shared" si="121"/>
        <v>0</v>
      </c>
      <c r="G209" s="2268">
        <f t="shared" si="121"/>
        <v>0</v>
      </c>
      <c r="H209" s="2268">
        <f t="shared" si="121"/>
        <v>0</v>
      </c>
      <c r="I209" s="2268">
        <f t="shared" si="121"/>
        <v>0</v>
      </c>
      <c r="J209" s="2268">
        <f t="shared" si="121"/>
        <v>0</v>
      </c>
      <c r="K209" s="2268">
        <f t="shared" si="121"/>
        <v>0</v>
      </c>
      <c r="L209" s="2268">
        <f t="shared" si="121"/>
        <v>0</v>
      </c>
      <c r="M209" s="2268">
        <f t="shared" si="121"/>
        <v>0</v>
      </c>
      <c r="N209" s="2268">
        <f t="shared" si="121"/>
        <v>0</v>
      </c>
      <c r="O209" s="2268">
        <f t="shared" si="121"/>
        <v>0</v>
      </c>
      <c r="P209" s="2268">
        <f t="shared" si="121"/>
        <v>0</v>
      </c>
      <c r="Q209" s="2268">
        <f t="shared" si="121"/>
        <v>0</v>
      </c>
      <c r="R209" s="2268"/>
      <c r="S209" s="2268"/>
      <c r="T209" s="2268"/>
      <c r="U209" s="2268"/>
      <c r="V209" s="2268"/>
      <c r="W209" s="2268"/>
      <c r="X209" s="3843"/>
      <c r="Y209" s="3792"/>
      <c r="Z209" s="1060"/>
    </row>
    <row r="210" spans="1:29" ht="12.75" hidden="1" customHeight="1">
      <c r="A210" s="3823"/>
      <c r="B210" s="2333" t="s">
        <v>32</v>
      </c>
      <c r="C210" s="3799"/>
      <c r="D210" s="2266">
        <f>M210+O210+P210+Q210+R210+S210+T210+U210+V210+W210</f>
        <v>0</v>
      </c>
      <c r="E210" s="1710">
        <f>+F210+G210+H210</f>
        <v>0</v>
      </c>
      <c r="F210" s="1710"/>
      <c r="G210" s="1710"/>
      <c r="H210" s="1710"/>
      <c r="I210" s="1710">
        <v>0</v>
      </c>
      <c r="J210" s="1710">
        <v>0</v>
      </c>
      <c r="K210" s="1710">
        <f>219301-219301</f>
        <v>0</v>
      </c>
      <c r="L210" s="1710">
        <f>450000-320000-130000</f>
        <v>0</v>
      </c>
      <c r="M210" s="1710"/>
      <c r="N210" s="1710"/>
      <c r="O210" s="1710"/>
      <c r="P210" s="1710"/>
      <c r="Q210" s="1710"/>
      <c r="R210" s="1710"/>
      <c r="S210" s="1710"/>
      <c r="T210" s="1710"/>
      <c r="U210" s="1710"/>
      <c r="V210" s="1710"/>
      <c r="W210" s="1710"/>
      <c r="X210" s="3843"/>
      <c r="Y210" s="3792"/>
      <c r="Z210" s="1060"/>
    </row>
    <row r="211" spans="1:29" ht="14.25" customHeight="1">
      <c r="A211" s="3788" t="s">
        <v>81</v>
      </c>
      <c r="B211" s="2255" t="s">
        <v>397</v>
      </c>
      <c r="C211" s="2256" t="s">
        <v>125</v>
      </c>
      <c r="D211" s="1740"/>
      <c r="E211" s="1740"/>
      <c r="F211" s="1740"/>
      <c r="G211" s="1740"/>
      <c r="H211" s="1740"/>
      <c r="I211" s="2257"/>
      <c r="J211" s="2257"/>
      <c r="K211" s="2257"/>
      <c r="L211" s="2257"/>
      <c r="M211" s="2257"/>
      <c r="N211" s="2257"/>
      <c r="O211" s="2257"/>
      <c r="P211" s="2257"/>
      <c r="Q211" s="2257"/>
      <c r="R211" s="2257"/>
      <c r="S211" s="2257"/>
      <c r="T211" s="2257"/>
      <c r="U211" s="2257"/>
      <c r="V211" s="2257"/>
      <c r="W211" s="2257"/>
      <c r="X211" s="2258"/>
      <c r="Y211" s="3791" t="s">
        <v>422</v>
      </c>
      <c r="Z211" s="1060"/>
      <c r="AC211" s="636"/>
    </row>
    <row r="212" spans="1:29" ht="12" customHeight="1">
      <c r="A212" s="3788"/>
      <c r="B212" s="2259" t="s">
        <v>21</v>
      </c>
      <c r="C212" s="2260"/>
      <c r="D212" s="1551">
        <f>+D213+D216</f>
        <v>75096479</v>
      </c>
      <c r="E212" s="1551">
        <f t="shared" ref="E212:P212" si="122">+E213+E216</f>
        <v>0</v>
      </c>
      <c r="F212" s="1551">
        <f t="shared" si="122"/>
        <v>0</v>
      </c>
      <c r="G212" s="1551">
        <f t="shared" si="122"/>
        <v>0</v>
      </c>
      <c r="H212" s="1551">
        <f t="shared" si="122"/>
        <v>0</v>
      </c>
      <c r="I212" s="1551">
        <f t="shared" si="122"/>
        <v>0</v>
      </c>
      <c r="J212" s="1551">
        <f t="shared" si="122"/>
        <v>0</v>
      </c>
      <c r="K212" s="1551">
        <f t="shared" si="122"/>
        <v>0</v>
      </c>
      <c r="L212" s="1551">
        <f t="shared" si="122"/>
        <v>0</v>
      </c>
      <c r="M212" s="1551">
        <f>+M213+M216</f>
        <v>304895</v>
      </c>
      <c r="N212" s="1551">
        <f t="shared" si="122"/>
        <v>0</v>
      </c>
      <c r="O212" s="1551">
        <f t="shared" si="122"/>
        <v>305194</v>
      </c>
      <c r="P212" s="1551">
        <f t="shared" si="122"/>
        <v>8369122</v>
      </c>
      <c r="Q212" s="1551">
        <f t="shared" ref="Q212:X212" si="123">+Q213+Q216</f>
        <v>10034300</v>
      </c>
      <c r="R212" s="1551">
        <f t="shared" si="123"/>
        <v>9867179</v>
      </c>
      <c r="S212" s="1551">
        <f t="shared" si="123"/>
        <v>9681275</v>
      </c>
      <c r="T212" s="1551">
        <f t="shared" si="123"/>
        <v>9701275</v>
      </c>
      <c r="U212" s="1551">
        <f t="shared" si="123"/>
        <v>9597275</v>
      </c>
      <c r="V212" s="1551">
        <f t="shared" si="123"/>
        <v>8877275</v>
      </c>
      <c r="W212" s="1551">
        <f t="shared" si="123"/>
        <v>8663883</v>
      </c>
      <c r="X212" s="2261">
        <f t="shared" si="123"/>
        <v>66422462</v>
      </c>
      <c r="Y212" s="3791"/>
      <c r="Z212" s="1061">
        <f>+O212+P212+Q212+R212</f>
        <v>28575795</v>
      </c>
      <c r="AA212" s="628"/>
      <c r="AB212" s="628"/>
      <c r="AC212" s="628"/>
    </row>
    <row r="213" spans="1:29" ht="14.25" customHeight="1">
      <c r="A213" s="3788"/>
      <c r="B213" s="2262" t="s">
        <v>35</v>
      </c>
      <c r="C213" s="3794" t="s">
        <v>145</v>
      </c>
      <c r="D213" s="1763">
        <f t="shared" ref="D213:P213" si="124">+D214+D215</f>
        <v>11264472</v>
      </c>
      <c r="E213" s="1763">
        <f t="shared" si="124"/>
        <v>0</v>
      </c>
      <c r="F213" s="1763">
        <f t="shared" si="124"/>
        <v>0</v>
      </c>
      <c r="G213" s="1763">
        <f t="shared" si="124"/>
        <v>0</v>
      </c>
      <c r="H213" s="1763">
        <f t="shared" si="124"/>
        <v>0</v>
      </c>
      <c r="I213" s="1763">
        <f t="shared" si="124"/>
        <v>0</v>
      </c>
      <c r="J213" s="1763">
        <f t="shared" si="124"/>
        <v>0</v>
      </c>
      <c r="K213" s="1763">
        <f t="shared" si="124"/>
        <v>0</v>
      </c>
      <c r="L213" s="1763">
        <f t="shared" si="124"/>
        <v>0</v>
      </c>
      <c r="M213" s="1763">
        <f>+M214+M215</f>
        <v>45734</v>
      </c>
      <c r="N213" s="1763">
        <f t="shared" si="124"/>
        <v>0</v>
      </c>
      <c r="O213" s="1763">
        <f t="shared" si="124"/>
        <v>45779</v>
      </c>
      <c r="P213" s="1763">
        <f t="shared" si="124"/>
        <v>1255368</v>
      </c>
      <c r="Q213" s="1763">
        <f t="shared" ref="Q213:X213" si="125">+Q214+Q215</f>
        <v>1505144</v>
      </c>
      <c r="R213" s="1763">
        <f t="shared" si="125"/>
        <v>1480078</v>
      </c>
      <c r="S213" s="1763">
        <f t="shared" si="125"/>
        <v>1452191</v>
      </c>
      <c r="T213" s="1763">
        <f t="shared" si="125"/>
        <v>1455191</v>
      </c>
      <c r="U213" s="1763">
        <f t="shared" si="125"/>
        <v>1439591</v>
      </c>
      <c r="V213" s="1763">
        <f t="shared" si="125"/>
        <v>1331592</v>
      </c>
      <c r="W213" s="1763">
        <f t="shared" si="125"/>
        <v>1299583</v>
      </c>
      <c r="X213" s="1751">
        <f t="shared" si="125"/>
        <v>9963370</v>
      </c>
      <c r="Y213" s="3791"/>
      <c r="Z213" s="1060"/>
    </row>
    <row r="214" spans="1:29" ht="13.5" customHeight="1">
      <c r="A214" s="3788"/>
      <c r="B214" s="2263" t="s">
        <v>23</v>
      </c>
      <c r="C214" s="3795"/>
      <c r="D214" s="2264">
        <f>M214+P214+Q214+R214+S214+T214+U214+V214+W214</f>
        <v>11264472</v>
      </c>
      <c r="E214" s="1710">
        <f>+F214+G214+H214</f>
        <v>0</v>
      </c>
      <c r="F214" s="1710"/>
      <c r="G214" s="1710"/>
      <c r="H214" s="1713"/>
      <c r="I214" s="1713">
        <v>0</v>
      </c>
      <c r="J214" s="1713">
        <v>0</v>
      </c>
      <c r="K214" s="1710">
        <v>0</v>
      </c>
      <c r="L214" s="1710">
        <v>0</v>
      </c>
      <c r="M214" s="2254">
        <f>+E214+I214+J214+K214+L214+N214+O214-45</f>
        <v>45734</v>
      </c>
      <c r="N214" s="1713"/>
      <c r="O214" s="1344">
        <f>47647-1868</f>
        <v>45779</v>
      </c>
      <c r="P214" s="1344">
        <f>1467941-1500-179962-31111</f>
        <v>1255368</v>
      </c>
      <c r="Q214" s="1344">
        <f>1467941+1868-1500+27303+9532</f>
        <v>1505144</v>
      </c>
      <c r="R214" s="1344">
        <f>1467941+12137</f>
        <v>1480078</v>
      </c>
      <c r="S214" s="1344">
        <v>1452191</v>
      </c>
      <c r="T214" s="1344">
        <v>1455191</v>
      </c>
      <c r="U214" s="1344">
        <v>1439591</v>
      </c>
      <c r="V214" s="1344">
        <v>1331592</v>
      </c>
      <c r="W214" s="1344">
        <v>1299583</v>
      </c>
      <c r="X214" s="2265">
        <f>SUM(Q214:W214)</f>
        <v>9963370</v>
      </c>
      <c r="Y214" s="3791"/>
      <c r="Z214" s="1061">
        <f>+X214-D214</f>
        <v>-1301102</v>
      </c>
    </row>
    <row r="215" spans="1:29" ht="13.5" hidden="1" customHeight="1">
      <c r="A215" s="3788"/>
      <c r="B215" s="2263" t="s">
        <v>24</v>
      </c>
      <c r="C215" s="3795"/>
      <c r="D215" s="2266">
        <f>M215+O215+P215+Q215+R215+S215+T215+U215+V215+W215</f>
        <v>0</v>
      </c>
      <c r="E215" s="1710">
        <f>+F215+G215+H215</f>
        <v>0</v>
      </c>
      <c r="F215" s="1710"/>
      <c r="G215" s="1710">
        <v>0</v>
      </c>
      <c r="H215" s="1713"/>
      <c r="I215" s="1713">
        <v>0</v>
      </c>
      <c r="J215" s="1713"/>
      <c r="K215" s="1710"/>
      <c r="L215" s="1710"/>
      <c r="M215" s="1710">
        <f>+L215+K215+J215+I215+E215+N215</f>
        <v>0</v>
      </c>
      <c r="N215" s="1710"/>
      <c r="O215" s="1710"/>
      <c r="P215" s="1710"/>
      <c r="Q215" s="1710"/>
      <c r="R215" s="1710"/>
      <c r="S215" s="1710"/>
      <c r="T215" s="1710"/>
      <c r="U215" s="1710"/>
      <c r="V215" s="1710"/>
      <c r="W215" s="1710"/>
      <c r="X215" s="2265">
        <f>SUM(O215:R215)</f>
        <v>0</v>
      </c>
      <c r="Y215" s="3791"/>
      <c r="Z215" s="1060"/>
    </row>
    <row r="216" spans="1:29" ht="13.5" customHeight="1">
      <c r="A216" s="3788"/>
      <c r="B216" s="2267" t="s">
        <v>29</v>
      </c>
      <c r="C216" s="3795"/>
      <c r="D216" s="2268">
        <f>+D217</f>
        <v>63832007</v>
      </c>
      <c r="E216" s="2268">
        <f t="shared" ref="E216:X216" si="126">+E217</f>
        <v>0</v>
      </c>
      <c r="F216" s="2268">
        <f t="shared" si="126"/>
        <v>0</v>
      </c>
      <c r="G216" s="2268">
        <f t="shared" si="126"/>
        <v>0</v>
      </c>
      <c r="H216" s="2268">
        <f t="shared" si="126"/>
        <v>0</v>
      </c>
      <c r="I216" s="2268">
        <f t="shared" si="126"/>
        <v>0</v>
      </c>
      <c r="J216" s="2268">
        <f t="shared" si="126"/>
        <v>0</v>
      </c>
      <c r="K216" s="2268">
        <f t="shared" si="126"/>
        <v>0</v>
      </c>
      <c r="L216" s="2268">
        <f t="shared" si="126"/>
        <v>0</v>
      </c>
      <c r="M216" s="2268">
        <f t="shared" si="126"/>
        <v>259161</v>
      </c>
      <c r="N216" s="2268">
        <f t="shared" si="126"/>
        <v>0</v>
      </c>
      <c r="O216" s="2268">
        <f t="shared" si="126"/>
        <v>259415</v>
      </c>
      <c r="P216" s="2268">
        <f t="shared" si="126"/>
        <v>7113754</v>
      </c>
      <c r="Q216" s="2268">
        <f t="shared" si="126"/>
        <v>8529156</v>
      </c>
      <c r="R216" s="2268">
        <f t="shared" si="126"/>
        <v>8387101</v>
      </c>
      <c r="S216" s="2268">
        <f t="shared" si="126"/>
        <v>8229084</v>
      </c>
      <c r="T216" s="2268">
        <f t="shared" si="126"/>
        <v>8246084</v>
      </c>
      <c r="U216" s="2268">
        <f t="shared" si="126"/>
        <v>8157684</v>
      </c>
      <c r="V216" s="2268">
        <f t="shared" si="126"/>
        <v>7545683</v>
      </c>
      <c r="W216" s="2268">
        <f t="shared" si="126"/>
        <v>7364300</v>
      </c>
      <c r="X216" s="2269">
        <f t="shared" si="126"/>
        <v>56459092</v>
      </c>
      <c r="Y216" s="3791"/>
      <c r="Z216" s="1061">
        <f>+X216-D216</f>
        <v>-7372915</v>
      </c>
    </row>
    <row r="217" spans="1:29" ht="13.5" customHeight="1">
      <c r="A217" s="3788"/>
      <c r="B217" s="2263" t="s">
        <v>32</v>
      </c>
      <c r="C217" s="3795"/>
      <c r="D217" s="2264">
        <f>M217+P217+Q217+R217+S217+T217+U217+V217+W217</f>
        <v>63832007</v>
      </c>
      <c r="E217" s="1710">
        <f>+F217+G217+H217</f>
        <v>0</v>
      </c>
      <c r="F217" s="1710"/>
      <c r="G217" s="1710"/>
      <c r="H217" s="1713"/>
      <c r="I217" s="1713">
        <v>0</v>
      </c>
      <c r="J217" s="1713">
        <v>0</v>
      </c>
      <c r="K217" s="1710">
        <v>0</v>
      </c>
      <c r="L217" s="1710">
        <v>0</v>
      </c>
      <c r="M217" s="2254">
        <f>+E217+I217+J217+K217+L217+N217+O217-254</f>
        <v>259161</v>
      </c>
      <c r="N217" s="1710"/>
      <c r="O217" s="2271">
        <f>270000-10585</f>
        <v>259415</v>
      </c>
      <c r="P217" s="2272">
        <f>8318334-8500-1019786-176294</f>
        <v>7113754</v>
      </c>
      <c r="Q217" s="2271">
        <f>8318334+10585-8500+154719+54018</f>
        <v>8529156</v>
      </c>
      <c r="R217" s="2272">
        <f>8318334+68767</f>
        <v>8387101</v>
      </c>
      <c r="S217" s="2272">
        <v>8229084</v>
      </c>
      <c r="T217" s="2272">
        <v>8246084</v>
      </c>
      <c r="U217" s="2272">
        <v>8157684</v>
      </c>
      <c r="V217" s="2272">
        <v>7545683</v>
      </c>
      <c r="W217" s="2272">
        <v>7364300</v>
      </c>
      <c r="X217" s="2265">
        <f>SUM(Q217:W217)</f>
        <v>56459092</v>
      </c>
      <c r="Y217" s="3791"/>
      <c r="Z217" s="1060"/>
    </row>
    <row r="218" spans="1:29" s="637" customFormat="1" ht="13.5" customHeight="1">
      <c r="A218" s="3788"/>
      <c r="B218" s="2259" t="s">
        <v>33</v>
      </c>
      <c r="C218" s="2260"/>
      <c r="D218" s="1691">
        <f t="shared" ref="D218:L218" si="127">+D219+D221</f>
        <v>63832007</v>
      </c>
      <c r="E218" s="1691">
        <f t="shared" si="127"/>
        <v>0</v>
      </c>
      <c r="F218" s="1691">
        <f t="shared" si="127"/>
        <v>0</v>
      </c>
      <c r="G218" s="1691">
        <f t="shared" si="127"/>
        <v>0</v>
      </c>
      <c r="H218" s="1691">
        <f t="shared" si="127"/>
        <v>0</v>
      </c>
      <c r="I218" s="1691">
        <f t="shared" si="127"/>
        <v>0</v>
      </c>
      <c r="J218" s="1691">
        <f t="shared" si="127"/>
        <v>0</v>
      </c>
      <c r="K218" s="1691">
        <f t="shared" si="127"/>
        <v>0</v>
      </c>
      <c r="L218" s="1691">
        <f t="shared" si="127"/>
        <v>0</v>
      </c>
      <c r="M218" s="1691">
        <f>+M219+M221</f>
        <v>0</v>
      </c>
      <c r="N218" s="1691">
        <f>+N219+N221</f>
        <v>0</v>
      </c>
      <c r="O218" s="1691">
        <f>+O219+O221</f>
        <v>0</v>
      </c>
      <c r="P218" s="1691">
        <f>+P219+P221</f>
        <v>7372915</v>
      </c>
      <c r="Q218" s="1691">
        <f>+Q219+Q221</f>
        <v>8529156</v>
      </c>
      <c r="R218" s="1691">
        <f t="shared" ref="R218:W218" si="128">+R219+R221</f>
        <v>8387101</v>
      </c>
      <c r="S218" s="1691">
        <f t="shared" si="128"/>
        <v>8229084</v>
      </c>
      <c r="T218" s="1691">
        <f t="shared" si="128"/>
        <v>8246084</v>
      </c>
      <c r="U218" s="1691">
        <f t="shared" si="128"/>
        <v>8157684</v>
      </c>
      <c r="V218" s="1691">
        <f t="shared" si="128"/>
        <v>7545683</v>
      </c>
      <c r="W218" s="1691">
        <f t="shared" si="128"/>
        <v>7364300</v>
      </c>
      <c r="X218" s="3796" t="s">
        <v>75</v>
      </c>
      <c r="Y218" s="3792"/>
      <c r="Z218" s="1064"/>
    </row>
    <row r="219" spans="1:29" ht="11.25" hidden="1" customHeight="1">
      <c r="A219" s="3788"/>
      <c r="B219" s="2262" t="s">
        <v>35</v>
      </c>
      <c r="C219" s="3844" t="s">
        <v>314</v>
      </c>
      <c r="D219" s="2268">
        <f t="shared" ref="D219:W219" si="129">+D220</f>
        <v>0</v>
      </c>
      <c r="E219" s="2268">
        <f t="shared" si="129"/>
        <v>0</v>
      </c>
      <c r="F219" s="2268">
        <f t="shared" si="129"/>
        <v>0</v>
      </c>
      <c r="G219" s="2268">
        <f t="shared" si="129"/>
        <v>0</v>
      </c>
      <c r="H219" s="2268">
        <f t="shared" si="129"/>
        <v>0</v>
      </c>
      <c r="I219" s="2268">
        <f t="shared" si="129"/>
        <v>0</v>
      </c>
      <c r="J219" s="2268">
        <f t="shared" si="129"/>
        <v>0</v>
      </c>
      <c r="K219" s="2268">
        <f t="shared" si="129"/>
        <v>0</v>
      </c>
      <c r="L219" s="2268">
        <f t="shared" si="129"/>
        <v>0</v>
      </c>
      <c r="M219" s="2268">
        <f t="shared" si="129"/>
        <v>0</v>
      </c>
      <c r="N219" s="2268">
        <f t="shared" si="129"/>
        <v>0</v>
      </c>
      <c r="O219" s="2268">
        <f t="shared" si="129"/>
        <v>0</v>
      </c>
      <c r="P219" s="2268">
        <f t="shared" si="129"/>
        <v>0</v>
      </c>
      <c r="Q219" s="2268">
        <f t="shared" si="129"/>
        <v>0</v>
      </c>
      <c r="R219" s="2268">
        <f t="shared" si="129"/>
        <v>0</v>
      </c>
      <c r="S219" s="2268">
        <f t="shared" si="129"/>
        <v>0</v>
      </c>
      <c r="T219" s="2268">
        <f t="shared" si="129"/>
        <v>0</v>
      </c>
      <c r="U219" s="2268">
        <f t="shared" si="129"/>
        <v>0</v>
      </c>
      <c r="V219" s="2268">
        <f t="shared" si="129"/>
        <v>0</v>
      </c>
      <c r="W219" s="2268">
        <f t="shared" si="129"/>
        <v>0</v>
      </c>
      <c r="X219" s="3796"/>
      <c r="Y219" s="3792"/>
      <c r="Z219" s="1060"/>
    </row>
    <row r="220" spans="1:29" ht="11.25" hidden="1" customHeight="1">
      <c r="A220" s="3788"/>
      <c r="B220" s="2263" t="s">
        <v>24</v>
      </c>
      <c r="C220" s="3844"/>
      <c r="D220" s="2266">
        <f>M220+O220+P220+Q220+R220+S220+T220+U220+V220+W220</f>
        <v>0</v>
      </c>
      <c r="E220" s="1710">
        <f>+F220+G220+H220</f>
        <v>0</v>
      </c>
      <c r="F220" s="2266"/>
      <c r="G220" s="2266"/>
      <c r="H220" s="2266"/>
      <c r="I220" s="2266"/>
      <c r="J220" s="2266"/>
      <c r="K220" s="2266"/>
      <c r="L220" s="2266"/>
      <c r="M220" s="1710">
        <f>+L220+K220+J220+I220+E220+N220</f>
        <v>0</v>
      </c>
      <c r="N220" s="2266"/>
      <c r="O220" s="2266"/>
      <c r="P220" s="2266"/>
      <c r="Q220" s="2266"/>
      <c r="R220" s="2266"/>
      <c r="S220" s="2266"/>
      <c r="T220" s="2266"/>
      <c r="U220" s="2266"/>
      <c r="V220" s="2266"/>
      <c r="W220" s="2266"/>
      <c r="X220" s="3796"/>
      <c r="Y220" s="3792"/>
      <c r="Z220" s="1060"/>
    </row>
    <row r="221" spans="1:29" ht="13.5" customHeight="1">
      <c r="A221" s="3788"/>
      <c r="B221" s="2267" t="s">
        <v>29</v>
      </c>
      <c r="C221" s="3844"/>
      <c r="D221" s="2268">
        <f t="shared" ref="D221:W221" si="130">+D222</f>
        <v>63832007</v>
      </c>
      <c r="E221" s="2268">
        <f t="shared" si="130"/>
        <v>0</v>
      </c>
      <c r="F221" s="2268">
        <f t="shared" si="130"/>
        <v>0</v>
      </c>
      <c r="G221" s="2268">
        <f t="shared" si="130"/>
        <v>0</v>
      </c>
      <c r="H221" s="2268">
        <f t="shared" si="130"/>
        <v>0</v>
      </c>
      <c r="I221" s="2268">
        <f t="shared" si="130"/>
        <v>0</v>
      </c>
      <c r="J221" s="2268">
        <f t="shared" si="130"/>
        <v>0</v>
      </c>
      <c r="K221" s="2268">
        <f t="shared" si="130"/>
        <v>0</v>
      </c>
      <c r="L221" s="2268">
        <f t="shared" si="130"/>
        <v>0</v>
      </c>
      <c r="M221" s="2268">
        <f t="shared" si="130"/>
        <v>0</v>
      </c>
      <c r="N221" s="2268">
        <f t="shared" si="130"/>
        <v>0</v>
      </c>
      <c r="O221" s="2268">
        <f t="shared" si="130"/>
        <v>0</v>
      </c>
      <c r="P221" s="2268">
        <f t="shared" si="130"/>
        <v>7372915</v>
      </c>
      <c r="Q221" s="2268">
        <f t="shared" si="130"/>
        <v>8529156</v>
      </c>
      <c r="R221" s="2268">
        <f t="shared" si="130"/>
        <v>8387101</v>
      </c>
      <c r="S221" s="2268">
        <f t="shared" si="130"/>
        <v>8229084</v>
      </c>
      <c r="T221" s="2268">
        <f t="shared" si="130"/>
        <v>8246084</v>
      </c>
      <c r="U221" s="2268">
        <f t="shared" si="130"/>
        <v>8157684</v>
      </c>
      <c r="V221" s="2268">
        <f t="shared" si="130"/>
        <v>7545683</v>
      </c>
      <c r="W221" s="2268">
        <f t="shared" si="130"/>
        <v>7364300</v>
      </c>
      <c r="X221" s="3796"/>
      <c r="Y221" s="3792"/>
      <c r="Z221" s="1060"/>
    </row>
    <row r="222" spans="1:29" ht="15" customHeight="1">
      <c r="A222" s="3788"/>
      <c r="B222" s="2263" t="s">
        <v>32</v>
      </c>
      <c r="C222" s="3844"/>
      <c r="D222" s="2264">
        <f>M222+P222+Q222+R222+S222+T222+U222+V222+W222</f>
        <v>63832007</v>
      </c>
      <c r="E222" s="1710">
        <f>+F222+G222+H222</f>
        <v>0</v>
      </c>
      <c r="F222" s="1710"/>
      <c r="G222" s="1710"/>
      <c r="H222" s="1710"/>
      <c r="I222" s="1710">
        <v>0</v>
      </c>
      <c r="J222" s="1710">
        <v>0</v>
      </c>
      <c r="K222" s="1710">
        <f>219301-219301</f>
        <v>0</v>
      </c>
      <c r="L222" s="1710">
        <v>0</v>
      </c>
      <c r="M222" s="2254">
        <f>+E222+I222+J222+K222+L222+N222+O222</f>
        <v>0</v>
      </c>
      <c r="N222" s="1710"/>
      <c r="O222" s="2271">
        <f>270000-270000</f>
        <v>0</v>
      </c>
      <c r="P222" s="2272">
        <f>8318334+259415-8500-1019786-176548</f>
        <v>7372915</v>
      </c>
      <c r="Q222" s="2272">
        <f>8318334+10585-8500+154719+54018</f>
        <v>8529156</v>
      </c>
      <c r="R222" s="2272">
        <f>8318334+68767</f>
        <v>8387101</v>
      </c>
      <c r="S222" s="2272">
        <v>8229084</v>
      </c>
      <c r="T222" s="2272">
        <v>8246084</v>
      </c>
      <c r="U222" s="2272">
        <v>8157684</v>
      </c>
      <c r="V222" s="2272">
        <v>7545683</v>
      </c>
      <c r="W222" s="2272">
        <v>7364300</v>
      </c>
      <c r="X222" s="3796"/>
      <c r="Y222" s="3792"/>
      <c r="Z222" s="1060"/>
    </row>
    <row r="223" spans="1:29" ht="24">
      <c r="A223" s="3788" t="s">
        <v>133</v>
      </c>
      <c r="B223" s="2255" t="s">
        <v>457</v>
      </c>
      <c r="C223" s="2256" t="s">
        <v>95</v>
      </c>
      <c r="D223" s="1740"/>
      <c r="E223" s="1740"/>
      <c r="F223" s="1740"/>
      <c r="G223" s="1740"/>
      <c r="H223" s="1740"/>
      <c r="I223" s="2257"/>
      <c r="J223" s="2257"/>
      <c r="K223" s="2257"/>
      <c r="L223" s="2257"/>
      <c r="M223" s="2257"/>
      <c r="N223" s="2257"/>
      <c r="O223" s="2257"/>
      <c r="P223" s="2257"/>
      <c r="Q223" s="2257"/>
      <c r="R223" s="2257"/>
      <c r="S223" s="2257"/>
      <c r="T223" s="2257"/>
      <c r="U223" s="2257"/>
      <c r="V223" s="2257"/>
      <c r="W223" s="2257"/>
      <c r="X223" s="2258"/>
      <c r="Y223" s="3791" t="s">
        <v>422</v>
      </c>
      <c r="Z223" s="1060"/>
    </row>
    <row r="224" spans="1:29">
      <c r="A224" s="3788"/>
      <c r="B224" s="2259" t="s">
        <v>21</v>
      </c>
      <c r="C224" s="2260"/>
      <c r="D224" s="1551">
        <f t="shared" ref="D224:X224" si="131">+D225+D228</f>
        <v>83250</v>
      </c>
      <c r="E224" s="1551">
        <f t="shared" si="131"/>
        <v>0</v>
      </c>
      <c r="F224" s="1551">
        <f t="shared" si="131"/>
        <v>0</v>
      </c>
      <c r="G224" s="1551">
        <f t="shared" si="131"/>
        <v>0</v>
      </c>
      <c r="H224" s="1551">
        <f t="shared" si="131"/>
        <v>0</v>
      </c>
      <c r="I224" s="1551">
        <f t="shared" si="131"/>
        <v>0</v>
      </c>
      <c r="J224" s="1551">
        <f t="shared" si="131"/>
        <v>0</v>
      </c>
      <c r="K224" s="1551">
        <f t="shared" si="131"/>
        <v>0</v>
      </c>
      <c r="L224" s="1551">
        <f t="shared" si="131"/>
        <v>0</v>
      </c>
      <c r="M224" s="1551">
        <f t="shared" si="131"/>
        <v>0</v>
      </c>
      <c r="N224" s="1551">
        <f t="shared" si="131"/>
        <v>0</v>
      </c>
      <c r="O224" s="1551">
        <f t="shared" si="131"/>
        <v>0</v>
      </c>
      <c r="P224" s="1551">
        <f t="shared" si="131"/>
        <v>7250</v>
      </c>
      <c r="Q224" s="1551">
        <f t="shared" si="131"/>
        <v>76000</v>
      </c>
      <c r="R224" s="1551">
        <f t="shared" si="131"/>
        <v>0</v>
      </c>
      <c r="S224" s="1551">
        <f t="shared" si="131"/>
        <v>0</v>
      </c>
      <c r="T224" s="1551">
        <f t="shared" si="131"/>
        <v>0</v>
      </c>
      <c r="U224" s="1551">
        <f t="shared" si="131"/>
        <v>0</v>
      </c>
      <c r="V224" s="1551">
        <f t="shared" si="131"/>
        <v>0</v>
      </c>
      <c r="W224" s="1551">
        <f t="shared" si="131"/>
        <v>0</v>
      </c>
      <c r="X224" s="2261">
        <f t="shared" si="131"/>
        <v>76000</v>
      </c>
      <c r="Y224" s="3791"/>
      <c r="Z224" s="1060"/>
    </row>
    <row r="225" spans="1:26">
      <c r="A225" s="3788"/>
      <c r="B225" s="2262" t="s">
        <v>35</v>
      </c>
      <c r="C225" s="3794" t="s">
        <v>145</v>
      </c>
      <c r="D225" s="1763">
        <f t="shared" ref="D225:X225" si="132">+D226+D227</f>
        <v>12487</v>
      </c>
      <c r="E225" s="1763">
        <f t="shared" si="132"/>
        <v>0</v>
      </c>
      <c r="F225" s="1763">
        <f t="shared" si="132"/>
        <v>0</v>
      </c>
      <c r="G225" s="1763">
        <f t="shared" si="132"/>
        <v>0</v>
      </c>
      <c r="H225" s="1763">
        <f t="shared" si="132"/>
        <v>0</v>
      </c>
      <c r="I225" s="1763">
        <f t="shared" si="132"/>
        <v>0</v>
      </c>
      <c r="J225" s="1763">
        <f t="shared" si="132"/>
        <v>0</v>
      </c>
      <c r="K225" s="1763">
        <f t="shared" si="132"/>
        <v>0</v>
      </c>
      <c r="L225" s="1763">
        <f t="shared" si="132"/>
        <v>0</v>
      </c>
      <c r="M225" s="1763">
        <f t="shared" si="132"/>
        <v>0</v>
      </c>
      <c r="N225" s="1763">
        <f t="shared" si="132"/>
        <v>0</v>
      </c>
      <c r="O225" s="1763">
        <f t="shared" si="132"/>
        <v>0</v>
      </c>
      <c r="P225" s="1763">
        <f t="shared" si="132"/>
        <v>1087</v>
      </c>
      <c r="Q225" s="1763">
        <f t="shared" si="132"/>
        <v>11400</v>
      </c>
      <c r="R225" s="1763">
        <f t="shared" si="132"/>
        <v>0</v>
      </c>
      <c r="S225" s="1763">
        <f t="shared" si="132"/>
        <v>0</v>
      </c>
      <c r="T225" s="1763">
        <f t="shared" si="132"/>
        <v>0</v>
      </c>
      <c r="U225" s="1763">
        <f t="shared" si="132"/>
        <v>0</v>
      </c>
      <c r="V225" s="1763">
        <f t="shared" si="132"/>
        <v>0</v>
      </c>
      <c r="W225" s="1763">
        <f t="shared" si="132"/>
        <v>0</v>
      </c>
      <c r="X225" s="1751">
        <f t="shared" si="132"/>
        <v>11400</v>
      </c>
      <c r="Y225" s="3791"/>
      <c r="Z225" s="1060"/>
    </row>
    <row r="226" spans="1:26">
      <c r="A226" s="3788"/>
      <c r="B226" s="2263" t="s">
        <v>23</v>
      </c>
      <c r="C226" s="3795"/>
      <c r="D226" s="2264">
        <f>M226+P226+Q226+R226+S226+T226+U226+V226+W226</f>
        <v>12487</v>
      </c>
      <c r="E226" s="1710">
        <f>+F226+G226+H226</f>
        <v>0</v>
      </c>
      <c r="F226" s="1710"/>
      <c r="G226" s="1710"/>
      <c r="H226" s="1713"/>
      <c r="I226" s="1713">
        <v>0</v>
      </c>
      <c r="J226" s="1713">
        <v>0</v>
      </c>
      <c r="K226" s="1710">
        <v>0</v>
      </c>
      <c r="L226" s="1710">
        <v>0</v>
      </c>
      <c r="M226" s="2254">
        <f>+E226+I226+J226+K226+L226+N226+O226</f>
        <v>0</v>
      </c>
      <c r="N226" s="1713"/>
      <c r="O226" s="1344"/>
      <c r="P226" s="1344">
        <f>1500-413</f>
        <v>1087</v>
      </c>
      <c r="Q226" s="1344">
        <f>1500+9900</f>
        <v>11400</v>
      </c>
      <c r="R226" s="1344"/>
      <c r="S226" s="1344"/>
      <c r="T226" s="1344"/>
      <c r="U226" s="1344"/>
      <c r="V226" s="1344"/>
      <c r="W226" s="1344"/>
      <c r="X226" s="2265">
        <f>SUM(Q226:W226)</f>
        <v>11400</v>
      </c>
      <c r="Y226" s="3791"/>
      <c r="Z226" s="1060"/>
    </row>
    <row r="227" spans="1:26" hidden="1">
      <c r="A227" s="3788"/>
      <c r="B227" s="2263" t="s">
        <v>24</v>
      </c>
      <c r="C227" s="3795"/>
      <c r="D227" s="2266">
        <f>M227+O227+P227+Q227+R227+S227+T227+U227+V227+W227</f>
        <v>0</v>
      </c>
      <c r="E227" s="1710">
        <f>+F227+G227+H227</f>
        <v>0</v>
      </c>
      <c r="F227" s="1710"/>
      <c r="G227" s="1710">
        <v>0</v>
      </c>
      <c r="H227" s="1713"/>
      <c r="I227" s="1713">
        <v>0</v>
      </c>
      <c r="J227" s="1713"/>
      <c r="K227" s="1710"/>
      <c r="L227" s="1710"/>
      <c r="M227" s="1710">
        <f>+L227+K227+J227+I227+E227+N227</f>
        <v>0</v>
      </c>
      <c r="N227" s="1710"/>
      <c r="O227" s="1710"/>
      <c r="P227" s="1710"/>
      <c r="Q227" s="1710"/>
      <c r="R227" s="1710"/>
      <c r="S227" s="1710"/>
      <c r="T227" s="1710"/>
      <c r="U227" s="1710"/>
      <c r="V227" s="1710"/>
      <c r="W227" s="1710"/>
      <c r="X227" s="2265">
        <f>SUM(O227:R227)</f>
        <v>0</v>
      </c>
      <c r="Y227" s="3791"/>
      <c r="Z227" s="1060"/>
    </row>
    <row r="228" spans="1:26">
      <c r="A228" s="3788"/>
      <c r="B228" s="2267" t="s">
        <v>29</v>
      </c>
      <c r="C228" s="3795"/>
      <c r="D228" s="2268">
        <f>+D229</f>
        <v>70763</v>
      </c>
      <c r="E228" s="2268">
        <f t="shared" ref="E228:X228" si="133">+E229</f>
        <v>0</v>
      </c>
      <c r="F228" s="2268">
        <f t="shared" si="133"/>
        <v>0</v>
      </c>
      <c r="G228" s="2268">
        <f t="shared" si="133"/>
        <v>0</v>
      </c>
      <c r="H228" s="2268">
        <f t="shared" si="133"/>
        <v>0</v>
      </c>
      <c r="I228" s="2268">
        <f t="shared" si="133"/>
        <v>0</v>
      </c>
      <c r="J228" s="2268">
        <f t="shared" si="133"/>
        <v>0</v>
      </c>
      <c r="K228" s="2268">
        <f t="shared" si="133"/>
        <v>0</v>
      </c>
      <c r="L228" s="2268">
        <f t="shared" si="133"/>
        <v>0</v>
      </c>
      <c r="M228" s="2268">
        <f t="shared" si="133"/>
        <v>0</v>
      </c>
      <c r="N228" s="2268">
        <f t="shared" si="133"/>
        <v>0</v>
      </c>
      <c r="O228" s="2268">
        <f t="shared" si="133"/>
        <v>0</v>
      </c>
      <c r="P228" s="2268">
        <f t="shared" si="133"/>
        <v>6163</v>
      </c>
      <c r="Q228" s="2268">
        <f t="shared" si="133"/>
        <v>64600</v>
      </c>
      <c r="R228" s="2268">
        <f t="shared" si="133"/>
        <v>0</v>
      </c>
      <c r="S228" s="2268">
        <f t="shared" si="133"/>
        <v>0</v>
      </c>
      <c r="T228" s="2268">
        <f t="shared" si="133"/>
        <v>0</v>
      </c>
      <c r="U228" s="2268">
        <f t="shared" si="133"/>
        <v>0</v>
      </c>
      <c r="V228" s="2268">
        <f t="shared" si="133"/>
        <v>0</v>
      </c>
      <c r="W228" s="2268">
        <f t="shared" si="133"/>
        <v>0</v>
      </c>
      <c r="X228" s="2269">
        <f t="shared" si="133"/>
        <v>64600</v>
      </c>
      <c r="Y228" s="3791"/>
      <c r="Z228" s="1060"/>
    </row>
    <row r="229" spans="1:26">
      <c r="A229" s="3788"/>
      <c r="B229" s="2263" t="s">
        <v>32</v>
      </c>
      <c r="C229" s="3795"/>
      <c r="D229" s="2264">
        <f>M229+P229+Q229+R229+S229+T229+U229+V229+W229</f>
        <v>70763</v>
      </c>
      <c r="E229" s="1710">
        <f>+F229+G229+H229</f>
        <v>0</v>
      </c>
      <c r="F229" s="1710"/>
      <c r="G229" s="1710"/>
      <c r="H229" s="1713"/>
      <c r="I229" s="1713">
        <v>0</v>
      </c>
      <c r="J229" s="1713">
        <v>0</v>
      </c>
      <c r="K229" s="1710">
        <v>0</v>
      </c>
      <c r="L229" s="1710">
        <v>0</v>
      </c>
      <c r="M229" s="2254">
        <f>+E229+I229+J229+K229+L229+N229+O229</f>
        <v>0</v>
      </c>
      <c r="N229" s="1710"/>
      <c r="O229" s="2271"/>
      <c r="P229" s="2271">
        <f>8500-2337</f>
        <v>6163</v>
      </c>
      <c r="Q229" s="2271">
        <f>8500+56100</f>
        <v>64600</v>
      </c>
      <c r="R229" s="2272"/>
      <c r="S229" s="2272"/>
      <c r="T229" s="2272"/>
      <c r="U229" s="2272"/>
      <c r="V229" s="2272"/>
      <c r="W229" s="2272"/>
      <c r="X229" s="2265">
        <f>SUM(Q229:W229)</f>
        <v>64600</v>
      </c>
      <c r="Y229" s="3791"/>
      <c r="Z229" s="1060"/>
    </row>
    <row r="230" spans="1:26">
      <c r="A230" s="3788"/>
      <c r="B230" s="2259" t="s">
        <v>33</v>
      </c>
      <c r="C230" s="2260"/>
      <c r="D230" s="1691">
        <f t="shared" ref="D230:M230" si="134">+D231+D233</f>
        <v>70763</v>
      </c>
      <c r="E230" s="1691">
        <f t="shared" si="134"/>
        <v>0</v>
      </c>
      <c r="F230" s="1691">
        <f t="shared" si="134"/>
        <v>0</v>
      </c>
      <c r="G230" s="1691">
        <f t="shared" si="134"/>
        <v>0</v>
      </c>
      <c r="H230" s="1691">
        <f t="shared" si="134"/>
        <v>0</v>
      </c>
      <c r="I230" s="1691">
        <f t="shared" si="134"/>
        <v>0</v>
      </c>
      <c r="J230" s="1691">
        <f t="shared" si="134"/>
        <v>0</v>
      </c>
      <c r="K230" s="1691">
        <f t="shared" si="134"/>
        <v>0</v>
      </c>
      <c r="L230" s="1691">
        <f t="shared" si="134"/>
        <v>0</v>
      </c>
      <c r="M230" s="1691">
        <f t="shared" si="134"/>
        <v>0</v>
      </c>
      <c r="N230" s="1691">
        <f>+N231+N233</f>
        <v>0</v>
      </c>
      <c r="O230" s="1691">
        <f>+O231+O233</f>
        <v>0</v>
      </c>
      <c r="P230" s="1691">
        <f>+P231+P233</f>
        <v>6163</v>
      </c>
      <c r="Q230" s="1691">
        <f>+Q231+Q233</f>
        <v>64600</v>
      </c>
      <c r="R230" s="1691">
        <f t="shared" ref="R230:W230" si="135">+R231+R233</f>
        <v>0</v>
      </c>
      <c r="S230" s="1691">
        <f t="shared" si="135"/>
        <v>0</v>
      </c>
      <c r="T230" s="1691">
        <f t="shared" si="135"/>
        <v>0</v>
      </c>
      <c r="U230" s="1691">
        <f t="shared" si="135"/>
        <v>0</v>
      </c>
      <c r="V230" s="1691">
        <f t="shared" si="135"/>
        <v>0</v>
      </c>
      <c r="W230" s="1691">
        <f t="shared" si="135"/>
        <v>0</v>
      </c>
      <c r="X230" s="3796" t="s">
        <v>75</v>
      </c>
      <c r="Y230" s="3792"/>
      <c r="Z230" s="1060"/>
    </row>
    <row r="231" spans="1:26" hidden="1">
      <c r="A231" s="3788"/>
      <c r="B231" s="2262" t="s">
        <v>35</v>
      </c>
      <c r="C231" s="3844" t="s">
        <v>314</v>
      </c>
      <c r="D231" s="2268">
        <f t="shared" ref="D231:W231" si="136">+D232</f>
        <v>0</v>
      </c>
      <c r="E231" s="2268">
        <f t="shared" si="136"/>
        <v>0</v>
      </c>
      <c r="F231" s="2268">
        <f t="shared" si="136"/>
        <v>0</v>
      </c>
      <c r="G231" s="2268">
        <f t="shared" si="136"/>
        <v>0</v>
      </c>
      <c r="H231" s="2268">
        <f t="shared" si="136"/>
        <v>0</v>
      </c>
      <c r="I231" s="2268">
        <f t="shared" si="136"/>
        <v>0</v>
      </c>
      <c r="J231" s="2268">
        <f t="shared" si="136"/>
        <v>0</v>
      </c>
      <c r="K231" s="2268">
        <f t="shared" si="136"/>
        <v>0</v>
      </c>
      <c r="L231" s="2268">
        <f t="shared" si="136"/>
        <v>0</v>
      </c>
      <c r="M231" s="2268">
        <f t="shared" si="136"/>
        <v>0</v>
      </c>
      <c r="N231" s="2268">
        <f t="shared" si="136"/>
        <v>0</v>
      </c>
      <c r="O231" s="2268">
        <f t="shared" si="136"/>
        <v>0</v>
      </c>
      <c r="P231" s="2268">
        <f t="shared" si="136"/>
        <v>0</v>
      </c>
      <c r="Q231" s="2268">
        <f t="shared" si="136"/>
        <v>0</v>
      </c>
      <c r="R231" s="2268">
        <f t="shared" si="136"/>
        <v>0</v>
      </c>
      <c r="S231" s="2268">
        <f t="shared" si="136"/>
        <v>0</v>
      </c>
      <c r="T231" s="2268">
        <f t="shared" si="136"/>
        <v>0</v>
      </c>
      <c r="U231" s="2268">
        <f t="shared" si="136"/>
        <v>0</v>
      </c>
      <c r="V231" s="2268">
        <f t="shared" si="136"/>
        <v>0</v>
      </c>
      <c r="W231" s="2268">
        <f t="shared" si="136"/>
        <v>0</v>
      </c>
      <c r="X231" s="3796"/>
      <c r="Y231" s="3792"/>
      <c r="Z231" s="1060"/>
    </row>
    <row r="232" spans="1:26" hidden="1">
      <c r="A232" s="3788"/>
      <c r="B232" s="2263" t="s">
        <v>24</v>
      </c>
      <c r="C232" s="3844"/>
      <c r="D232" s="2266">
        <f>M232+O232+P232+Q232+R232+S232+T232+U232+V232+W232</f>
        <v>0</v>
      </c>
      <c r="E232" s="1710">
        <f>+F232+G232+H232</f>
        <v>0</v>
      </c>
      <c r="F232" s="2266"/>
      <c r="G232" s="2266"/>
      <c r="H232" s="2266"/>
      <c r="I232" s="2266"/>
      <c r="J232" s="2266"/>
      <c r="K232" s="2266"/>
      <c r="L232" s="2266"/>
      <c r="M232" s="1710">
        <f>+L232+K232+J232+I232+E232+N232</f>
        <v>0</v>
      </c>
      <c r="N232" s="2266"/>
      <c r="O232" s="2266"/>
      <c r="P232" s="2266"/>
      <c r="Q232" s="2266"/>
      <c r="R232" s="2266"/>
      <c r="S232" s="2266"/>
      <c r="T232" s="2266"/>
      <c r="U232" s="2266"/>
      <c r="V232" s="2266"/>
      <c r="W232" s="2266"/>
      <c r="X232" s="3796"/>
      <c r="Y232" s="3792"/>
      <c r="Z232" s="1060"/>
    </row>
    <row r="233" spans="1:26">
      <c r="A233" s="3788"/>
      <c r="B233" s="2267" t="s">
        <v>29</v>
      </c>
      <c r="C233" s="3844"/>
      <c r="D233" s="2268">
        <f t="shared" ref="D233:W233" si="137">+D234</f>
        <v>70763</v>
      </c>
      <c r="E233" s="2268">
        <f t="shared" si="137"/>
        <v>0</v>
      </c>
      <c r="F233" s="2268">
        <f t="shared" si="137"/>
        <v>0</v>
      </c>
      <c r="G233" s="2268">
        <f t="shared" si="137"/>
        <v>0</v>
      </c>
      <c r="H233" s="2268">
        <f t="shared" si="137"/>
        <v>0</v>
      </c>
      <c r="I233" s="2268">
        <f t="shared" si="137"/>
        <v>0</v>
      </c>
      <c r="J233" s="2268">
        <f t="shared" si="137"/>
        <v>0</v>
      </c>
      <c r="K233" s="2268">
        <f t="shared" si="137"/>
        <v>0</v>
      </c>
      <c r="L233" s="2268">
        <f t="shared" si="137"/>
        <v>0</v>
      </c>
      <c r="M233" s="2268">
        <f t="shared" si="137"/>
        <v>0</v>
      </c>
      <c r="N233" s="2268">
        <f t="shared" si="137"/>
        <v>0</v>
      </c>
      <c r="O233" s="2268">
        <f t="shared" si="137"/>
        <v>0</v>
      </c>
      <c r="P233" s="2268">
        <f t="shared" si="137"/>
        <v>6163</v>
      </c>
      <c r="Q233" s="2268">
        <f t="shared" si="137"/>
        <v>64600</v>
      </c>
      <c r="R233" s="2268">
        <f t="shared" si="137"/>
        <v>0</v>
      </c>
      <c r="S233" s="2268">
        <f t="shared" si="137"/>
        <v>0</v>
      </c>
      <c r="T233" s="2268">
        <f t="shared" si="137"/>
        <v>0</v>
      </c>
      <c r="U233" s="2268">
        <f t="shared" si="137"/>
        <v>0</v>
      </c>
      <c r="V233" s="2268">
        <f t="shared" si="137"/>
        <v>0</v>
      </c>
      <c r="W233" s="2268">
        <f t="shared" si="137"/>
        <v>0</v>
      </c>
      <c r="X233" s="3796"/>
      <c r="Y233" s="3792"/>
      <c r="Z233" s="1060"/>
    </row>
    <row r="234" spans="1:26" ht="13.5" thickBot="1">
      <c r="A234" s="3789"/>
      <c r="B234" s="1308" t="s">
        <v>32</v>
      </c>
      <c r="C234" s="3845"/>
      <c r="D234" s="2219">
        <f>M234+P234+Q234+R234+S234+T234+U234+V234+W234</f>
        <v>70763</v>
      </c>
      <c r="E234" s="963">
        <f>+F234+G234+H234</f>
        <v>0</v>
      </c>
      <c r="F234" s="963"/>
      <c r="G234" s="963"/>
      <c r="H234" s="963"/>
      <c r="I234" s="963">
        <v>0</v>
      </c>
      <c r="J234" s="963">
        <v>0</v>
      </c>
      <c r="K234" s="963">
        <f>219301-219301</f>
        <v>0</v>
      </c>
      <c r="L234" s="963">
        <v>0</v>
      </c>
      <c r="M234" s="2219">
        <f>+E234+I234+J234+K234+L234+N234+O234</f>
        <v>0</v>
      </c>
      <c r="N234" s="963"/>
      <c r="O234" s="1309">
        <f>270000-270000</f>
        <v>0</v>
      </c>
      <c r="P234" s="1309">
        <f>8500-2337</f>
        <v>6163</v>
      </c>
      <c r="Q234" s="1310">
        <f>8500+56100</f>
        <v>64600</v>
      </c>
      <c r="R234" s="1310"/>
      <c r="S234" s="1310"/>
      <c r="T234" s="1310"/>
      <c r="U234" s="1310"/>
      <c r="V234" s="1310"/>
      <c r="W234" s="1310"/>
      <c r="X234" s="3797"/>
      <c r="Y234" s="3793"/>
      <c r="Z234" s="1060"/>
    </row>
    <row r="235" spans="1:26">
      <c r="A235" s="1065"/>
      <c r="B235" s="625"/>
      <c r="C235" s="625"/>
      <c r="D235" s="625"/>
      <c r="E235" s="625"/>
      <c r="F235" s="625"/>
      <c r="G235" s="625"/>
      <c r="H235" s="625"/>
      <c r="I235" s="625"/>
      <c r="J235" s="625"/>
      <c r="K235" s="625"/>
      <c r="L235" s="625"/>
      <c r="M235" s="625"/>
      <c r="N235" s="625"/>
      <c r="O235" s="625"/>
      <c r="P235" s="625"/>
      <c r="Q235" s="625"/>
      <c r="R235" s="625"/>
      <c r="S235" s="625"/>
      <c r="T235" s="625"/>
      <c r="U235" s="625"/>
      <c r="V235" s="625"/>
      <c r="W235" s="625"/>
      <c r="X235" s="625"/>
      <c r="Y235" s="625"/>
    </row>
  </sheetData>
  <mergeCells count="96">
    <mergeCell ref="A223:A234"/>
    <mergeCell ref="Y223:Y234"/>
    <mergeCell ref="C225:C229"/>
    <mergeCell ref="X230:X234"/>
    <mergeCell ref="C231:C234"/>
    <mergeCell ref="A199:A210"/>
    <mergeCell ref="Y199:Y210"/>
    <mergeCell ref="C201:C205"/>
    <mergeCell ref="C207:C210"/>
    <mergeCell ref="X206:X210"/>
    <mergeCell ref="A211:A222"/>
    <mergeCell ref="Y211:Y222"/>
    <mergeCell ref="C213:C217"/>
    <mergeCell ref="X218:X222"/>
    <mergeCell ref="C219:C222"/>
    <mergeCell ref="A175:A186"/>
    <mergeCell ref="Y175:Y186"/>
    <mergeCell ref="C177:C181"/>
    <mergeCell ref="C183:C186"/>
    <mergeCell ref="X182:X186"/>
    <mergeCell ref="A187:A198"/>
    <mergeCell ref="Y187:Y198"/>
    <mergeCell ref="C189:C193"/>
    <mergeCell ref="C195:C198"/>
    <mergeCell ref="X194:X198"/>
    <mergeCell ref="A127:A138"/>
    <mergeCell ref="Y127:Y138"/>
    <mergeCell ref="C129:C133"/>
    <mergeCell ref="C135:C138"/>
    <mergeCell ref="X134:X138"/>
    <mergeCell ref="A139:A150"/>
    <mergeCell ref="Y139:Y150"/>
    <mergeCell ref="C141:C145"/>
    <mergeCell ref="C147:C150"/>
    <mergeCell ref="X146:X150"/>
    <mergeCell ref="A103:A114"/>
    <mergeCell ref="Y103:Y114"/>
    <mergeCell ref="C105:C109"/>
    <mergeCell ref="C111:C114"/>
    <mergeCell ref="X110:X114"/>
    <mergeCell ref="A115:A126"/>
    <mergeCell ref="Y115:Y126"/>
    <mergeCell ref="C117:C121"/>
    <mergeCell ref="C123:C126"/>
    <mergeCell ref="X122:X126"/>
    <mergeCell ref="A24:A30"/>
    <mergeCell ref="Y24:Y30"/>
    <mergeCell ref="C26:C27"/>
    <mergeCell ref="C29:C30"/>
    <mergeCell ref="A91:A102"/>
    <mergeCell ref="Y91:Y102"/>
    <mergeCell ref="C93:C97"/>
    <mergeCell ref="C99:C102"/>
    <mergeCell ref="X98:X102"/>
    <mergeCell ref="A79:A90"/>
    <mergeCell ref="Y79:Y90"/>
    <mergeCell ref="C81:C85"/>
    <mergeCell ref="C87:C90"/>
    <mergeCell ref="X86:X90"/>
    <mergeCell ref="X18:X23"/>
    <mergeCell ref="A67:A78"/>
    <mergeCell ref="Y67:Y78"/>
    <mergeCell ref="C69:C73"/>
    <mergeCell ref="C75:C78"/>
    <mergeCell ref="X74:X78"/>
    <mergeCell ref="A51:A66"/>
    <mergeCell ref="Y51:Y66"/>
    <mergeCell ref="C53:C59"/>
    <mergeCell ref="C63:C66"/>
    <mergeCell ref="X62:X66"/>
    <mergeCell ref="A31:A50"/>
    <mergeCell ref="Y31:Y50"/>
    <mergeCell ref="C33:C44"/>
    <mergeCell ref="C46:C50"/>
    <mergeCell ref="X45:X50"/>
    <mergeCell ref="A3:Y3"/>
    <mergeCell ref="C4:C6"/>
    <mergeCell ref="D4:D6"/>
    <mergeCell ref="Y4:Y6"/>
    <mergeCell ref="X4:X6"/>
    <mergeCell ref="B4:B6"/>
    <mergeCell ref="M4:M5"/>
    <mergeCell ref="O4:O5"/>
    <mergeCell ref="A4:A6"/>
    <mergeCell ref="P4:P5"/>
    <mergeCell ref="Q4:W5"/>
    <mergeCell ref="A151:A162"/>
    <mergeCell ref="Y151:Y162"/>
    <mergeCell ref="C153:C157"/>
    <mergeCell ref="C159:C162"/>
    <mergeCell ref="X158:X162"/>
    <mergeCell ref="A163:A174"/>
    <mergeCell ref="Y163:Y174"/>
    <mergeCell ref="C165:C169"/>
    <mergeCell ref="X170:X174"/>
    <mergeCell ref="C171:C174"/>
  </mergeCells>
  <printOptions horizontalCentered="1"/>
  <pageMargins left="0.23622047244094491" right="0.27559055118110237" top="0.51181102362204722" bottom="0.35433070866141736" header="0.19685039370078741" footer="0.15748031496062992"/>
  <pageSetup paperSize="9" scale="70" firstPageNumber="31" orientation="landscape" useFirstPageNumber="1" r:id="rId1"/>
  <headerFooter alignWithMargins="0">
    <oddHeader>&amp;C&amp;"Arial,Kursywa"Wieloletnia prognoza finansowa Województwa Zachodniopomorskiego na lata 2017-2038&amp;"Arial,Normalny"
__________________________________________________________________________________________________________________</oddHeader>
    <oddFooter>&amp;C&amp;P</oddFooter>
  </headerFooter>
  <rowBreaks count="1" manualBreakCount="1">
    <brk id="162" max="24" man="1"/>
  </row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F1870"/>
  <sheetViews>
    <sheetView showGridLines="0" view="pageBreakPreview" zoomScaleNormal="100" zoomScaleSheetLayoutView="100" workbookViewId="0">
      <pane ySplit="8" topLeftCell="A9" activePane="bottomLeft" state="frozen"/>
      <selection pane="bottomLeft" activeCell="A9" sqref="A9"/>
    </sheetView>
  </sheetViews>
  <sheetFormatPr defaultColWidth="9.140625" defaultRowHeight="12.75"/>
  <cols>
    <col min="1" max="1" width="3.7109375" style="447" customWidth="1"/>
    <col min="2" max="2" width="54.7109375" style="448" customWidth="1"/>
    <col min="3" max="3" width="9.85546875" style="448" customWidth="1"/>
    <col min="4" max="4" width="13.42578125" style="448" customWidth="1"/>
    <col min="5" max="5" width="10" style="1455" hidden="1" customWidth="1"/>
    <col min="6" max="6" width="11.5703125" style="448" hidden="1" customWidth="1"/>
    <col min="7" max="7" width="11.140625" style="448" hidden="1" customWidth="1"/>
    <col min="8" max="8" width="10.42578125" style="448" hidden="1" customWidth="1"/>
    <col min="9" max="11" width="10.7109375" style="448" hidden="1" customWidth="1"/>
    <col min="12" max="12" width="11.85546875" style="448" hidden="1" customWidth="1"/>
    <col min="13" max="13" width="11.85546875" style="448" customWidth="1"/>
    <col min="14" max="14" width="13.140625" style="1456" hidden="1" customWidth="1"/>
    <col min="15" max="15" width="10.5703125" style="448" hidden="1" customWidth="1"/>
    <col min="16" max="16" width="12.85546875" style="448" customWidth="1"/>
    <col min="17" max="17" width="9.5703125" style="448" customWidth="1"/>
    <col min="18" max="18" width="10.85546875" style="448" customWidth="1"/>
    <col min="19" max="19" width="10.28515625" style="448" customWidth="1"/>
    <col min="20" max="20" width="9.7109375" style="448" customWidth="1"/>
    <col min="21" max="21" width="10.5703125" style="448" customWidth="1"/>
    <col min="22" max="22" width="10" style="448" customWidth="1"/>
    <col min="23" max="23" width="9.7109375" style="448" customWidth="1"/>
    <col min="24" max="24" width="12.140625" style="448" customWidth="1"/>
    <col min="25" max="25" width="14.28515625" style="586" customWidth="1"/>
    <col min="26" max="26" width="11.5703125" style="585" hidden="1" customWidth="1"/>
    <col min="27" max="27" width="10.140625" style="585" hidden="1" customWidth="1"/>
    <col min="28" max="28" width="9.5703125" style="585" hidden="1" customWidth="1"/>
    <col min="29" max="29" width="0" style="585" hidden="1" customWidth="1"/>
    <col min="30" max="30" width="10.140625" style="585" hidden="1" customWidth="1"/>
    <col min="31" max="31" width="0" style="585" hidden="1" customWidth="1"/>
    <col min="32" max="32" width="10.7109375" style="585" hidden="1" customWidth="1"/>
    <col min="33" max="41" width="9.140625" style="585"/>
    <col min="42" max="42" width="8.5703125" style="585" customWidth="1"/>
    <col min="43" max="54" width="9.140625" style="585"/>
    <col min="55" max="55" width="8.7109375" style="585" customWidth="1"/>
    <col min="56" max="65" width="9.140625" style="585"/>
    <col min="66" max="66" width="4.28515625" style="585" customWidth="1"/>
    <col min="67" max="76" width="9.140625" style="585"/>
    <col min="77" max="77" width="5" style="585" customWidth="1"/>
    <col min="78" max="87" width="9.140625" style="585"/>
    <col min="88" max="88" width="3.85546875" style="585" customWidth="1"/>
    <col min="89" max="100" width="9.140625" style="585"/>
    <col min="101" max="101" width="5.28515625" style="585" customWidth="1"/>
    <col min="102" max="113" width="9.140625" style="585"/>
    <col min="114" max="114" width="1.5703125" style="585" customWidth="1"/>
    <col min="115" max="127" width="9.140625" style="585"/>
    <col min="128" max="128" width="0.7109375" style="585" customWidth="1"/>
    <col min="129" max="140" width="9.140625" style="585"/>
    <col min="141" max="141" width="8.28515625" style="585" customWidth="1"/>
    <col min="142" max="150" width="9.140625" style="585"/>
    <col min="151" max="151" width="0.28515625" style="585" customWidth="1"/>
    <col min="152" max="177" width="9.140625" style="585"/>
    <col min="178" max="178" width="0.7109375" style="585" customWidth="1"/>
    <col min="179" max="16384" width="9.140625" style="585"/>
  </cols>
  <sheetData>
    <row r="1" spans="1:28" ht="17.25" customHeight="1">
      <c r="D1" s="455"/>
      <c r="E1" s="448"/>
      <c r="N1" s="448"/>
      <c r="O1" s="451"/>
      <c r="S1" s="457" t="s">
        <v>249</v>
      </c>
      <c r="T1" s="6"/>
      <c r="U1" s="6"/>
      <c r="V1" s="6"/>
      <c r="W1" s="6"/>
      <c r="X1" s="6"/>
      <c r="Y1" s="7"/>
    </row>
    <row r="2" spans="1:28" ht="15" hidden="1" customHeight="1">
      <c r="E2" s="448"/>
      <c r="J2" s="1311"/>
      <c r="N2" s="458"/>
      <c r="O2" s="456"/>
      <c r="S2" s="6"/>
      <c r="T2" s="6"/>
      <c r="U2" s="6"/>
      <c r="V2" s="6"/>
      <c r="W2" s="6"/>
      <c r="X2" s="6"/>
      <c r="Y2" s="7"/>
    </row>
    <row r="3" spans="1:28" ht="15" hidden="1" customHeight="1">
      <c r="D3" s="455"/>
      <c r="E3" s="455"/>
      <c r="F3" s="455"/>
      <c r="G3" s="455"/>
      <c r="H3" s="455"/>
      <c r="I3" s="455"/>
      <c r="J3" s="455"/>
      <c r="K3" s="455"/>
      <c r="L3" s="455"/>
      <c r="M3" s="455"/>
      <c r="N3" s="458"/>
      <c r="O3" s="455"/>
      <c r="P3" s="455"/>
      <c r="Q3" s="455"/>
      <c r="R3" s="455"/>
      <c r="S3" s="455"/>
      <c r="T3" s="455"/>
      <c r="U3" s="455"/>
      <c r="V3" s="455"/>
      <c r="W3" s="455"/>
      <c r="X3" s="455"/>
      <c r="Y3" s="7"/>
    </row>
    <row r="4" spans="1:28" ht="8.25" customHeight="1">
      <c r="D4" s="455"/>
      <c r="E4" s="448"/>
      <c r="J4" s="455"/>
      <c r="L4" s="455"/>
      <c r="M4" s="455"/>
      <c r="N4" s="458"/>
      <c r="O4" s="2201"/>
      <c r="P4" s="458"/>
      <c r="Q4" s="458"/>
      <c r="R4" s="458"/>
      <c r="S4" s="6"/>
      <c r="T4" s="6"/>
      <c r="U4" s="6"/>
      <c r="V4" s="6"/>
      <c r="W4" s="6"/>
      <c r="X4" s="6"/>
      <c r="Y4" s="7"/>
    </row>
    <row r="5" spans="1:28" s="459" customFormat="1" ht="18.75" thickBot="1">
      <c r="A5" s="3860" t="s">
        <v>287</v>
      </c>
      <c r="B5" s="3860"/>
      <c r="C5" s="3860"/>
      <c r="D5" s="3860"/>
      <c r="E5" s="3860"/>
      <c r="F5" s="3860"/>
      <c r="G5" s="3860"/>
      <c r="H5" s="3860"/>
      <c r="I5" s="3860"/>
      <c r="J5" s="3860"/>
      <c r="K5" s="3860"/>
      <c r="L5" s="3860"/>
      <c r="M5" s="3860"/>
      <c r="N5" s="3860"/>
      <c r="O5" s="619"/>
      <c r="P5" s="619"/>
      <c r="Q5" s="619"/>
      <c r="R5" s="619"/>
      <c r="S5" s="620"/>
      <c r="T5" s="620"/>
      <c r="U5" s="620"/>
      <c r="V5" s="620"/>
      <c r="W5" s="620"/>
      <c r="X5" s="620"/>
      <c r="Y5" s="620"/>
    </row>
    <row r="6" spans="1:28" ht="36.75" customHeight="1">
      <c r="A6" s="3029"/>
      <c r="B6" s="3029"/>
      <c r="C6" s="3674" t="s">
        <v>85</v>
      </c>
      <c r="D6" s="3677" t="s">
        <v>86</v>
      </c>
      <c r="E6" s="3582" t="s">
        <v>2</v>
      </c>
      <c r="F6" s="3595"/>
      <c r="G6" s="3595"/>
      <c r="H6" s="3595"/>
      <c r="I6" s="3595"/>
      <c r="J6" s="3595"/>
      <c r="K6" s="3595"/>
      <c r="L6" s="3574"/>
      <c r="M6" s="3698" t="s">
        <v>339</v>
      </c>
      <c r="N6" s="425"/>
      <c r="O6" s="3877" t="s">
        <v>347</v>
      </c>
      <c r="P6" s="3692" t="s">
        <v>494</v>
      </c>
      <c r="Q6" s="3694" t="s">
        <v>495</v>
      </c>
      <c r="R6" s="3694"/>
      <c r="S6" s="3694"/>
      <c r="T6" s="3694"/>
      <c r="U6" s="3694"/>
      <c r="V6" s="3694"/>
      <c r="W6" s="3695"/>
      <c r="X6" s="3686" t="s">
        <v>488</v>
      </c>
      <c r="Y6" s="3869" t="s">
        <v>87</v>
      </c>
    </row>
    <row r="7" spans="1:28" ht="45.75" customHeight="1">
      <c r="A7" s="3484" t="s">
        <v>88</v>
      </c>
      <c r="B7" s="3030" t="s">
        <v>89</v>
      </c>
      <c r="C7" s="3675"/>
      <c r="D7" s="3678"/>
      <c r="E7" s="3583"/>
      <c r="F7" s="3596"/>
      <c r="G7" s="3596"/>
      <c r="H7" s="3596"/>
      <c r="I7" s="3596"/>
      <c r="J7" s="3596"/>
      <c r="K7" s="3596"/>
      <c r="L7" s="3575"/>
      <c r="M7" s="3700"/>
      <c r="N7" s="332"/>
      <c r="O7" s="3878"/>
      <c r="P7" s="3693"/>
      <c r="Q7" s="3696"/>
      <c r="R7" s="3696"/>
      <c r="S7" s="3696"/>
      <c r="T7" s="3696"/>
      <c r="U7" s="3696"/>
      <c r="V7" s="3696"/>
      <c r="W7" s="3697"/>
      <c r="X7" s="3687"/>
      <c r="Y7" s="3870"/>
    </row>
    <row r="8" spans="1:28" ht="15.75" customHeight="1" thickBot="1">
      <c r="A8" s="3031"/>
      <c r="B8" s="3032"/>
      <c r="C8" s="3676"/>
      <c r="D8" s="3679"/>
      <c r="E8" s="3482" t="s">
        <v>5</v>
      </c>
      <c r="F8" s="8" t="s">
        <v>6</v>
      </c>
      <c r="G8" s="8" t="s">
        <v>7</v>
      </c>
      <c r="H8" s="8" t="s">
        <v>8</v>
      </c>
      <c r="I8" s="3485" t="s">
        <v>9</v>
      </c>
      <c r="J8" s="3485" t="s">
        <v>10</v>
      </c>
      <c r="K8" s="3485" t="s">
        <v>11</v>
      </c>
      <c r="L8" s="3485" t="s">
        <v>12</v>
      </c>
      <c r="M8" s="415" t="s">
        <v>493</v>
      </c>
      <c r="N8" s="3485" t="s">
        <v>13</v>
      </c>
      <c r="O8" s="3485" t="s">
        <v>14</v>
      </c>
      <c r="P8" s="3485" t="s">
        <v>15</v>
      </c>
      <c r="Q8" s="3485" t="s">
        <v>16</v>
      </c>
      <c r="R8" s="3485" t="s">
        <v>17</v>
      </c>
      <c r="S8" s="324" t="s">
        <v>259</v>
      </c>
      <c r="T8" s="324" t="s">
        <v>263</v>
      </c>
      <c r="U8" s="324" t="s">
        <v>324</v>
      </c>
      <c r="V8" s="324" t="s">
        <v>325</v>
      </c>
      <c r="W8" s="3033" t="s">
        <v>323</v>
      </c>
      <c r="X8" s="3688"/>
      <c r="Y8" s="3871"/>
    </row>
    <row r="9" spans="1:28" s="461" customFormat="1" ht="12" customHeight="1" thickBot="1">
      <c r="A9" s="3034">
        <v>1</v>
      </c>
      <c r="B9" s="3035">
        <v>2</v>
      </c>
      <c r="C9" s="3036" t="s">
        <v>137</v>
      </c>
      <c r="D9" s="3037" t="s">
        <v>138</v>
      </c>
      <c r="E9" s="3036" t="s">
        <v>139</v>
      </c>
      <c r="F9" s="3036" t="s">
        <v>140</v>
      </c>
      <c r="G9" s="3036" t="s">
        <v>141</v>
      </c>
      <c r="H9" s="3036" t="s">
        <v>142</v>
      </c>
      <c r="I9" s="3036" t="s">
        <v>140</v>
      </c>
      <c r="J9" s="3036" t="s">
        <v>141</v>
      </c>
      <c r="K9" s="3036" t="s">
        <v>142</v>
      </c>
      <c r="L9" s="3036" t="s">
        <v>143</v>
      </c>
      <c r="M9" s="16">
        <v>5</v>
      </c>
      <c r="N9" s="16" t="s">
        <v>326</v>
      </c>
      <c r="O9" s="16"/>
      <c r="P9" s="16">
        <v>6</v>
      </c>
      <c r="Q9" s="16">
        <v>7</v>
      </c>
      <c r="R9" s="17">
        <v>8</v>
      </c>
      <c r="S9" s="17">
        <v>9</v>
      </c>
      <c r="T9" s="17">
        <v>10</v>
      </c>
      <c r="U9" s="3038">
        <v>11</v>
      </c>
      <c r="V9" s="3038">
        <v>12</v>
      </c>
      <c r="W9" s="3038">
        <v>13</v>
      </c>
      <c r="X9" s="3039">
        <v>14</v>
      </c>
      <c r="Y9" s="19">
        <v>15</v>
      </c>
      <c r="AA9" s="1312"/>
    </row>
    <row r="10" spans="1:28" s="3483" customFormat="1" ht="15.75" customHeight="1">
      <c r="A10" s="3040"/>
      <c r="B10" s="307" t="s">
        <v>90</v>
      </c>
      <c r="C10" s="277"/>
      <c r="D10" s="278">
        <f>+D11+D12</f>
        <v>123812016</v>
      </c>
      <c r="E10" s="278">
        <f t="shared" ref="E10:Q10" si="0">+E11+E12</f>
        <v>2805880</v>
      </c>
      <c r="F10" s="278">
        <f t="shared" si="0"/>
        <v>0</v>
      </c>
      <c r="G10" s="278">
        <f t="shared" si="0"/>
        <v>27000</v>
      </c>
      <c r="H10" s="278">
        <f t="shared" si="0"/>
        <v>3348880.0600000005</v>
      </c>
      <c r="I10" s="278">
        <f t="shared" si="0"/>
        <v>5513671</v>
      </c>
      <c r="J10" s="278">
        <f t="shared" si="0"/>
        <v>18798477</v>
      </c>
      <c r="K10" s="278">
        <f t="shared" si="0"/>
        <v>11401296</v>
      </c>
      <c r="L10" s="278">
        <f t="shared" si="0"/>
        <v>5348030</v>
      </c>
      <c r="M10" s="278">
        <f t="shared" si="0"/>
        <v>56392338</v>
      </c>
      <c r="N10" s="278">
        <f t="shared" si="0"/>
        <v>22494848</v>
      </c>
      <c r="O10" s="278">
        <f t="shared" si="0"/>
        <v>25042127</v>
      </c>
      <c r="P10" s="278">
        <f t="shared" si="0"/>
        <v>1859601</v>
      </c>
      <c r="Q10" s="278">
        <f t="shared" si="0"/>
        <v>7354952</v>
      </c>
      <c r="R10" s="278">
        <f t="shared" ref="R10:X10" si="1">+R11+R12</f>
        <v>3167813</v>
      </c>
      <c r="S10" s="278">
        <f t="shared" si="1"/>
        <v>4145973</v>
      </c>
      <c r="T10" s="278">
        <f t="shared" si="1"/>
        <v>4145973</v>
      </c>
      <c r="U10" s="278">
        <f t="shared" si="1"/>
        <v>4145973</v>
      </c>
      <c r="V10" s="278">
        <f t="shared" si="1"/>
        <v>4145973</v>
      </c>
      <c r="W10" s="3041">
        <f t="shared" si="1"/>
        <v>4145973</v>
      </c>
      <c r="X10" s="3042">
        <f t="shared" si="1"/>
        <v>65560077</v>
      </c>
      <c r="Y10" s="3043"/>
      <c r="AA10" s="468">
        <f>+O10+P10+Q10+R10+S10+T10+2020000+2916667</f>
        <v>50653106</v>
      </c>
      <c r="AB10" s="468" t="e">
        <f>#REF!-AA10</f>
        <v>#REF!</v>
      </c>
    </row>
    <row r="11" spans="1:28" s="3483" customFormat="1" ht="15.75" customHeight="1">
      <c r="A11" s="246"/>
      <c r="B11" s="292" t="s">
        <v>91</v>
      </c>
      <c r="C11" s="280"/>
      <c r="D11" s="281">
        <f>+D82+D87+D92+D120+D125+D130+D135</f>
        <v>63256080</v>
      </c>
      <c r="E11" s="281">
        <f t="shared" ref="E11:L11" si="2">+E82+E87+E92</f>
        <v>0</v>
      </c>
      <c r="F11" s="281">
        <f t="shared" si="2"/>
        <v>0</v>
      </c>
      <c r="G11" s="281">
        <f t="shared" si="2"/>
        <v>0</v>
      </c>
      <c r="H11" s="281">
        <f t="shared" si="2"/>
        <v>0</v>
      </c>
      <c r="I11" s="281">
        <f t="shared" si="2"/>
        <v>0</v>
      </c>
      <c r="J11" s="281">
        <f t="shared" si="2"/>
        <v>0</v>
      </c>
      <c r="K11" s="281">
        <f t="shared" si="2"/>
        <v>0</v>
      </c>
      <c r="L11" s="281">
        <f t="shared" si="2"/>
        <v>0</v>
      </c>
      <c r="M11" s="281">
        <f>+L11+K11+J11+I11</f>
        <v>0</v>
      </c>
      <c r="N11" s="281">
        <f>+N82+N87+N92</f>
        <v>0</v>
      </c>
      <c r="O11" s="281">
        <f>+O82+O87+O92+O120+O125+O130</f>
        <v>0</v>
      </c>
      <c r="P11" s="281">
        <f t="shared" ref="P11:Q11" si="3">+P82+P87+P92+P120+P125+P130</f>
        <v>0</v>
      </c>
      <c r="Q11" s="281">
        <f t="shared" si="3"/>
        <v>5050955</v>
      </c>
      <c r="R11" s="281">
        <f t="shared" ref="R11:W11" si="4">+R82+R87+R92+R120+R125+R130+R135</f>
        <v>3167813</v>
      </c>
      <c r="S11" s="281">
        <f t="shared" si="4"/>
        <v>4145973</v>
      </c>
      <c r="T11" s="281">
        <f t="shared" si="4"/>
        <v>4145973</v>
      </c>
      <c r="U11" s="281">
        <f t="shared" si="4"/>
        <v>4145973</v>
      </c>
      <c r="V11" s="281">
        <f t="shared" si="4"/>
        <v>4145973</v>
      </c>
      <c r="W11" s="3044">
        <f t="shared" si="4"/>
        <v>4145973</v>
      </c>
      <c r="X11" s="3045">
        <f>+X82+X87+X92+X120+X125+X130+X135</f>
        <v>63256080</v>
      </c>
      <c r="Y11" s="3046"/>
    </row>
    <row r="12" spans="1:28" s="3483" customFormat="1" ht="15.75" customHeight="1" thickBot="1">
      <c r="A12" s="246"/>
      <c r="B12" s="293" t="s">
        <v>20</v>
      </c>
      <c r="C12" s="1313"/>
      <c r="D12" s="291">
        <f>+D33+D44+D57+D58+D59+D45+D69+D70+D97+D107+D108</f>
        <v>60555936</v>
      </c>
      <c r="E12" s="291">
        <f t="shared" ref="E12:S12" si="5">+E33+E44+E57+E58+E59+E45+E69+E70+E97+E107+E108</f>
        <v>2805880</v>
      </c>
      <c r="F12" s="291">
        <f t="shared" si="5"/>
        <v>0</v>
      </c>
      <c r="G12" s="291">
        <f t="shared" si="5"/>
        <v>27000</v>
      </c>
      <c r="H12" s="291">
        <f t="shared" si="5"/>
        <v>3348880.0600000005</v>
      </c>
      <c r="I12" s="291">
        <f t="shared" si="5"/>
        <v>5513671</v>
      </c>
      <c r="J12" s="291">
        <f t="shared" si="5"/>
        <v>18798477</v>
      </c>
      <c r="K12" s="291">
        <f t="shared" si="5"/>
        <v>11401296</v>
      </c>
      <c r="L12" s="291">
        <f t="shared" si="5"/>
        <v>5348030</v>
      </c>
      <c r="M12" s="291">
        <f>+M33+M44+M57+M58+M59+M45+M69+M70+M97+M107+M108</f>
        <v>56392338</v>
      </c>
      <c r="N12" s="291">
        <f>+N33+N44+N57+N58+N59+N45+N69+N70+N97+N107+N108+N134</f>
        <v>22494848</v>
      </c>
      <c r="O12" s="291">
        <f>+O33+O44+O57+O58+O59+O45+O69+O70+O97+O107+O108+O134</f>
        <v>25042127</v>
      </c>
      <c r="P12" s="291">
        <f>+P33+P44+P57+P58+P59+P45+P69+P70+P97+P107+P108</f>
        <v>1859601</v>
      </c>
      <c r="Q12" s="291">
        <f>+Q33+Q44+Q57+Q58+Q59+Q45+Q69+Q70+Q97+Q107+Q108</f>
        <v>2303997</v>
      </c>
      <c r="R12" s="291">
        <f t="shared" si="5"/>
        <v>0</v>
      </c>
      <c r="S12" s="291">
        <f t="shared" si="5"/>
        <v>0</v>
      </c>
      <c r="T12" s="291">
        <f>+T33+T44+T57+T58+T59+T45+T69+T70+T97+T107+T108</f>
        <v>0</v>
      </c>
      <c r="U12" s="291">
        <f>+U33+U44+U57+U58+U59+U45+U69+U70+U97+U107+U108</f>
        <v>0</v>
      </c>
      <c r="V12" s="291">
        <f>+V33+V44+V57+V58+V59+V45+V69+V70+V97+V107+V108</f>
        <v>0</v>
      </c>
      <c r="W12" s="3047">
        <f>+W33+W44+W57+W58+W59+W45+W69+W70+W97+W107+W108</f>
        <v>0</v>
      </c>
      <c r="X12" s="3048">
        <f>+X33+X44+X57+X58+X59+X45+X69+X70+X97+X107+X108</f>
        <v>2303997</v>
      </c>
      <c r="Y12" s="3046"/>
    </row>
    <row r="13" spans="1:28" s="461" customFormat="1" ht="15" customHeight="1">
      <c r="A13" s="246"/>
      <c r="B13" s="3049" t="s">
        <v>21</v>
      </c>
      <c r="C13" s="3050"/>
      <c r="D13" s="3051">
        <f>+D14+D21</f>
        <v>218858096</v>
      </c>
      <c r="E13" s="1314">
        <f t="shared" ref="E13:Q13" si="6">SUM(E14,E21)</f>
        <v>3848353</v>
      </c>
      <c r="F13" s="1314">
        <f t="shared" si="6"/>
        <v>0</v>
      </c>
      <c r="G13" s="1314">
        <f t="shared" si="6"/>
        <v>102454</v>
      </c>
      <c r="H13" s="1314">
        <f t="shared" si="6"/>
        <v>6059759.0600000005</v>
      </c>
      <c r="I13" s="1314">
        <f>SUM(I14,I21)</f>
        <v>22200440</v>
      </c>
      <c r="J13" s="1314">
        <f t="shared" si="6"/>
        <v>30496981</v>
      </c>
      <c r="K13" s="1314">
        <f t="shared" si="6"/>
        <v>16499453</v>
      </c>
      <c r="L13" s="1314">
        <f t="shared" si="6"/>
        <v>31183456</v>
      </c>
      <c r="M13" s="1314">
        <f t="shared" si="6"/>
        <v>66476810</v>
      </c>
      <c r="N13" s="1314">
        <f t="shared" si="6"/>
        <v>46913434</v>
      </c>
      <c r="O13" s="1314">
        <f t="shared" si="6"/>
        <v>62584916</v>
      </c>
      <c r="P13" s="1314">
        <f t="shared" si="6"/>
        <v>15026703</v>
      </c>
      <c r="Q13" s="1314">
        <f t="shared" si="6"/>
        <v>14541808</v>
      </c>
      <c r="R13" s="1314">
        <f>SUM(R14,R21)</f>
        <v>7578275</v>
      </c>
      <c r="S13" s="1314">
        <f>+S14+S21</f>
        <v>5488036</v>
      </c>
      <c r="T13" s="1314">
        <f>SUM(T14,T21)</f>
        <v>5225973</v>
      </c>
      <c r="U13" s="1314">
        <f>SUM(U14,U21)</f>
        <v>5225973</v>
      </c>
      <c r="V13" s="1314">
        <f>SUM(V14,V21)</f>
        <v>5085973</v>
      </c>
      <c r="W13" s="3052">
        <f>SUM(W14,W21)</f>
        <v>4145973</v>
      </c>
      <c r="X13" s="3053">
        <f>SUM(X14,X21)</f>
        <v>65560077</v>
      </c>
      <c r="Y13" s="1315"/>
      <c r="AB13" s="228"/>
    </row>
    <row r="14" spans="1:28" s="576" customFormat="1" ht="14.25" customHeight="1">
      <c r="A14" s="246"/>
      <c r="B14" s="3054" t="s">
        <v>22</v>
      </c>
      <c r="C14" s="3055"/>
      <c r="D14" s="3056">
        <f>SUM(D15:D20)</f>
        <v>218858096</v>
      </c>
      <c r="E14" s="3056">
        <f t="shared" ref="E14:Q14" si="7">SUM(E15:E20)</f>
        <v>3848353</v>
      </c>
      <c r="F14" s="3056">
        <f t="shared" si="7"/>
        <v>0</v>
      </c>
      <c r="G14" s="3056">
        <f t="shared" si="7"/>
        <v>102454</v>
      </c>
      <c r="H14" s="3056">
        <f t="shared" si="7"/>
        <v>6059759.0600000005</v>
      </c>
      <c r="I14" s="3056">
        <f t="shared" si="7"/>
        <v>6621685</v>
      </c>
      <c r="J14" s="3056">
        <f t="shared" si="7"/>
        <v>22298156</v>
      </c>
      <c r="K14" s="3056">
        <f>SUM(K15:K20)</f>
        <v>16499453</v>
      </c>
      <c r="L14" s="3056">
        <f t="shared" si="7"/>
        <v>30782980</v>
      </c>
      <c r="M14" s="3056">
        <f t="shared" si="7"/>
        <v>66476810</v>
      </c>
      <c r="N14" s="3056">
        <f t="shared" si="7"/>
        <v>26985967</v>
      </c>
      <c r="O14" s="3056">
        <f t="shared" si="7"/>
        <v>35308361</v>
      </c>
      <c r="P14" s="3056">
        <f t="shared" si="7"/>
        <v>15026703</v>
      </c>
      <c r="Q14" s="3056">
        <f t="shared" si="7"/>
        <v>14541808</v>
      </c>
      <c r="R14" s="3056">
        <f>SUM(R15:R20)</f>
        <v>7578275</v>
      </c>
      <c r="S14" s="3056">
        <f>+S15+S16+S17+S18+S20</f>
        <v>5488036</v>
      </c>
      <c r="T14" s="3056">
        <f>SUM(T15:T20)</f>
        <v>5225973</v>
      </c>
      <c r="U14" s="3056">
        <f>SUM(U15:U20)</f>
        <v>5225973</v>
      </c>
      <c r="V14" s="3056">
        <f>SUM(V15:V20)</f>
        <v>5085973</v>
      </c>
      <c r="W14" s="3057">
        <f>SUM(W15:W20)</f>
        <v>4145973</v>
      </c>
      <c r="X14" s="3058">
        <f>SUM(X15:X20)</f>
        <v>65560077</v>
      </c>
      <c r="Y14" s="1316"/>
      <c r="AA14" s="577">
        <f>+J14-J16</f>
        <v>18798477</v>
      </c>
    </row>
    <row r="15" spans="1:28" s="576" customFormat="1" ht="14.25" customHeight="1">
      <c r="A15" s="246"/>
      <c r="B15" s="3059" t="s">
        <v>23</v>
      </c>
      <c r="C15" s="3055"/>
      <c r="D15" s="3060">
        <f>+D82+D87+D92+D120+D125+D130+D135</f>
        <v>63256080</v>
      </c>
      <c r="E15" s="3060">
        <f t="shared" ref="E15:L15" si="8">+E82+E87+E92</f>
        <v>0</v>
      </c>
      <c r="F15" s="3060">
        <f t="shared" si="8"/>
        <v>0</v>
      </c>
      <c r="G15" s="3060">
        <f t="shared" si="8"/>
        <v>0</v>
      </c>
      <c r="H15" s="3060">
        <f t="shared" si="8"/>
        <v>0</v>
      </c>
      <c r="I15" s="3060">
        <f t="shared" si="8"/>
        <v>0</v>
      </c>
      <c r="J15" s="3060">
        <f t="shared" si="8"/>
        <v>0</v>
      </c>
      <c r="K15" s="3060">
        <f t="shared" si="8"/>
        <v>0</v>
      </c>
      <c r="L15" s="3060">
        <f t="shared" si="8"/>
        <v>0</v>
      </c>
      <c r="M15" s="3060">
        <f>+L15+K15+J15+I15+E15</f>
        <v>0</v>
      </c>
      <c r="N15" s="3060">
        <f>+N82+N87+N92</f>
        <v>0</v>
      </c>
      <c r="O15" s="3060">
        <f>+O82+O87+O92+O120+O125+O130</f>
        <v>0</v>
      </c>
      <c r="P15" s="3060">
        <f t="shared" ref="P15" si="9">+P82+P87+P92+P120+P125+P130</f>
        <v>0</v>
      </c>
      <c r="Q15" s="3060">
        <f>+Q82+Q87+Q92+Q120+Q125+Q130+Q135</f>
        <v>5050955</v>
      </c>
      <c r="R15" s="3060">
        <f t="shared" ref="R15:W15" si="10">+R82+R87+R92+R120+R125+R130+R135</f>
        <v>3167813</v>
      </c>
      <c r="S15" s="3060">
        <f t="shared" si="10"/>
        <v>4145973</v>
      </c>
      <c r="T15" s="3060">
        <f t="shared" si="10"/>
        <v>4145973</v>
      </c>
      <c r="U15" s="3060">
        <f t="shared" si="10"/>
        <v>4145973</v>
      </c>
      <c r="V15" s="3060">
        <f t="shared" si="10"/>
        <v>4145973</v>
      </c>
      <c r="W15" s="3061">
        <f t="shared" si="10"/>
        <v>4145973</v>
      </c>
      <c r="X15" s="1317">
        <f>+X82+X87+X92+X120+X125+X130+X135</f>
        <v>63256080</v>
      </c>
      <c r="Y15" s="1316"/>
      <c r="AA15" s="577"/>
      <c r="AB15" s="577">
        <f>+D15+D17+D18+D20</f>
        <v>123812016</v>
      </c>
    </row>
    <row r="16" spans="1:28" s="461" customFormat="1" ht="14.25" customHeight="1">
      <c r="A16" s="246"/>
      <c r="B16" s="3059" t="s">
        <v>43</v>
      </c>
      <c r="C16" s="3062"/>
      <c r="D16" s="3063">
        <f>+D32+D43+D56+D81+D86+D96+D106+D91+D124</f>
        <v>39290955</v>
      </c>
      <c r="E16" s="3063">
        <f t="shared" ref="E16:L16" si="11">+E32+E43+E56+E69+E81+E86+E96+E106</f>
        <v>1042473</v>
      </c>
      <c r="F16" s="3063">
        <f t="shared" si="11"/>
        <v>0</v>
      </c>
      <c r="G16" s="3063">
        <f t="shared" si="11"/>
        <v>75454</v>
      </c>
      <c r="H16" s="3063">
        <f t="shared" si="11"/>
        <v>2710879</v>
      </c>
      <c r="I16" s="3063">
        <f t="shared" si="11"/>
        <v>1108014</v>
      </c>
      <c r="J16" s="3063">
        <f t="shared" si="11"/>
        <v>3499679</v>
      </c>
      <c r="K16" s="3063">
        <f t="shared" si="11"/>
        <v>5098157</v>
      </c>
      <c r="L16" s="3063">
        <f t="shared" si="11"/>
        <v>25434950</v>
      </c>
      <c r="M16" s="3060">
        <f>+M32+M43+M56+M81+M86+M96+M106+M91+M124</f>
        <v>10084472</v>
      </c>
      <c r="N16" s="3060">
        <f t="shared" ref="N16:V16" si="12">+N32+N43+N56+N81+N86+N96+N106+N91+N124</f>
        <v>4491119</v>
      </c>
      <c r="O16" s="3060">
        <f>+O32+O43+O56+O81+O86+O96+O106+O91+O124</f>
        <v>10266234</v>
      </c>
      <c r="P16" s="3060">
        <f t="shared" si="12"/>
        <v>13167102</v>
      </c>
      <c r="Q16" s="3060">
        <f t="shared" si="12"/>
        <v>7186856</v>
      </c>
      <c r="R16" s="3060">
        <f t="shared" si="12"/>
        <v>4410462</v>
      </c>
      <c r="S16" s="3060">
        <f t="shared" si="12"/>
        <v>1342063</v>
      </c>
      <c r="T16" s="3060">
        <f t="shared" si="12"/>
        <v>1080000</v>
      </c>
      <c r="U16" s="3060">
        <f t="shared" si="12"/>
        <v>1080000</v>
      </c>
      <c r="V16" s="3060">
        <f t="shared" si="12"/>
        <v>940000</v>
      </c>
      <c r="W16" s="3064">
        <f>+W32+W43+W56+W81+W86+W96+W106+W91+W124</f>
        <v>0</v>
      </c>
      <c r="X16" s="1318" t="s">
        <v>75</v>
      </c>
      <c r="Y16" s="1315"/>
      <c r="AA16" s="228">
        <f>+P16+O16+N16+L16+K16+J16+I16+E16</f>
        <v>64107728</v>
      </c>
      <c r="AB16" s="228">
        <f>+AB15-D10</f>
        <v>0</v>
      </c>
    </row>
    <row r="17" spans="1:28" s="461" customFormat="1" ht="14.25" customHeight="1">
      <c r="A17" s="246"/>
      <c r="B17" s="3059" t="s">
        <v>147</v>
      </c>
      <c r="C17" s="3065"/>
      <c r="D17" s="3063">
        <f>+D44+D57+D69+D97+D33+D107</f>
        <v>24903655</v>
      </c>
      <c r="E17" s="3063">
        <f t="shared" ref="E17:L17" si="13">+E44+E57+E69+E97+E33+E107</f>
        <v>2805880</v>
      </c>
      <c r="F17" s="3063">
        <f t="shared" si="13"/>
        <v>0</v>
      </c>
      <c r="G17" s="3063">
        <f t="shared" si="13"/>
        <v>27000</v>
      </c>
      <c r="H17" s="3063">
        <f t="shared" si="13"/>
        <v>3348880.0600000005</v>
      </c>
      <c r="I17" s="3063">
        <f t="shared" si="13"/>
        <v>5513671</v>
      </c>
      <c r="J17" s="3063">
        <f t="shared" si="13"/>
        <v>8588477</v>
      </c>
      <c r="K17" s="3063">
        <f t="shared" si="13"/>
        <v>7491341</v>
      </c>
      <c r="L17" s="3063">
        <f t="shared" si="13"/>
        <v>942693</v>
      </c>
      <c r="M17" s="3063">
        <f>+M44+M57+M69+M97+M33+M107</f>
        <v>23044054</v>
      </c>
      <c r="N17" s="3063">
        <f t="shared" ref="N17:T17" si="14">+N44+N57+N69+N97+N33+N107</f>
        <v>10920082</v>
      </c>
      <c r="O17" s="3063">
        <f>+O44+O57+O69+O97+O33+O107+O134</f>
        <v>9225869</v>
      </c>
      <c r="P17" s="3063">
        <f>+P44+P57+P69+P97+P33+P107</f>
        <v>1859601</v>
      </c>
      <c r="Q17" s="3060">
        <f>+Q44+Q57+Q69+Q97+Q33+Q107</f>
        <v>0</v>
      </c>
      <c r="R17" s="3066">
        <f t="shared" si="14"/>
        <v>0</v>
      </c>
      <c r="S17" s="3066">
        <f t="shared" si="14"/>
        <v>0</v>
      </c>
      <c r="T17" s="3066">
        <f t="shared" si="14"/>
        <v>0</v>
      </c>
      <c r="U17" s="3066">
        <f>+U44+U57+U69+U97+U33+U107</f>
        <v>0</v>
      </c>
      <c r="V17" s="3066">
        <f>+V44+V57+V69+V97+V33+V107</f>
        <v>0</v>
      </c>
      <c r="W17" s="3067">
        <f>+W44+W57+W69+W97+W33+W107</f>
        <v>0</v>
      </c>
      <c r="X17" s="3068"/>
      <c r="Y17" s="3069"/>
      <c r="AA17" s="228">
        <f>+P17+O17+N17+L17+K17+J17+I17+E17</f>
        <v>47347614</v>
      </c>
      <c r="AB17" s="228">
        <f>+AA17-D17</f>
        <v>22443959</v>
      </c>
    </row>
    <row r="18" spans="1:28" s="576" customFormat="1" ht="14.25" customHeight="1">
      <c r="A18" s="1319"/>
      <c r="B18" s="3070" t="s">
        <v>24</v>
      </c>
      <c r="C18" s="3062"/>
      <c r="D18" s="3065">
        <f>D58+D45+D70+D108</f>
        <v>29452281</v>
      </c>
      <c r="E18" s="3065">
        <f t="shared" ref="E18:T18" si="15">E58+E45+E70</f>
        <v>0</v>
      </c>
      <c r="F18" s="3065">
        <f t="shared" si="15"/>
        <v>0</v>
      </c>
      <c r="G18" s="3065">
        <f t="shared" si="15"/>
        <v>0</v>
      </c>
      <c r="H18" s="3065">
        <f t="shared" si="15"/>
        <v>0</v>
      </c>
      <c r="I18" s="3065">
        <f t="shared" si="15"/>
        <v>0</v>
      </c>
      <c r="J18" s="3065">
        <f t="shared" si="15"/>
        <v>8065000</v>
      </c>
      <c r="K18" s="3065">
        <f t="shared" si="15"/>
        <v>1854955</v>
      </c>
      <c r="L18" s="3065">
        <f t="shared" si="15"/>
        <v>3882193</v>
      </c>
      <c r="M18" s="3065">
        <f>M58+M45+M70+M108</f>
        <v>27148284</v>
      </c>
      <c r="N18" s="3065">
        <f t="shared" si="15"/>
        <v>10097910</v>
      </c>
      <c r="O18" s="3065">
        <f>O58+O45+O70+O108</f>
        <v>15816258</v>
      </c>
      <c r="P18" s="3065">
        <f>P58+P45+P70+P108</f>
        <v>0</v>
      </c>
      <c r="Q18" s="3065">
        <f>Q58+Q45+Q70+Q108</f>
        <v>2303997</v>
      </c>
      <c r="R18" s="3071">
        <f t="shared" si="15"/>
        <v>0</v>
      </c>
      <c r="S18" s="3071">
        <f t="shared" si="15"/>
        <v>0</v>
      </c>
      <c r="T18" s="3071">
        <f t="shared" si="15"/>
        <v>0</v>
      </c>
      <c r="U18" s="3071">
        <f>U58+U45+U70</f>
        <v>0</v>
      </c>
      <c r="V18" s="3071">
        <f>V58+V45+V70</f>
        <v>0</v>
      </c>
      <c r="W18" s="3072">
        <f>W58+W45+W70</f>
        <v>0</v>
      </c>
      <c r="X18" s="3073">
        <f>X58+X45+X70+X108</f>
        <v>2303997</v>
      </c>
      <c r="Y18" s="3074"/>
      <c r="AA18" s="577">
        <f>+P18+O18+N18+L18+K18+J18+I18+E18</f>
        <v>39716316</v>
      </c>
    </row>
    <row r="19" spans="1:28" s="477" customFormat="1" ht="14.25" hidden="1" customHeight="1">
      <c r="A19" s="1319"/>
      <c r="B19" s="3070" t="s">
        <v>45</v>
      </c>
      <c r="C19" s="3062"/>
      <c r="D19" s="3065">
        <f>+D135</f>
        <v>55755125</v>
      </c>
      <c r="E19" s="3065"/>
      <c r="F19" s="3065"/>
      <c r="G19" s="3065"/>
      <c r="H19" s="3065"/>
      <c r="I19" s="3065"/>
      <c r="J19" s="3065"/>
      <c r="K19" s="3065"/>
      <c r="L19" s="3065"/>
      <c r="M19" s="3065">
        <v>0</v>
      </c>
      <c r="N19" s="3065"/>
      <c r="O19" s="3065">
        <v>0</v>
      </c>
      <c r="P19" s="3065">
        <f>+P135</f>
        <v>0</v>
      </c>
      <c r="Q19" s="3065">
        <f>+Q135</f>
        <v>0</v>
      </c>
      <c r="R19" s="3071">
        <v>0</v>
      </c>
      <c r="S19" s="3071">
        <v>0</v>
      </c>
      <c r="T19" s="3071">
        <v>0</v>
      </c>
      <c r="U19" s="3071">
        <v>0</v>
      </c>
      <c r="V19" s="3071">
        <v>0</v>
      </c>
      <c r="W19" s="3072">
        <v>0</v>
      </c>
      <c r="X19" s="3075"/>
      <c r="Y19" s="3074"/>
      <c r="AA19" s="1442"/>
    </row>
    <row r="20" spans="1:28" s="461" customFormat="1" ht="14.25" customHeight="1">
      <c r="A20" s="246"/>
      <c r="B20" s="3070" t="s">
        <v>148</v>
      </c>
      <c r="C20" s="3062"/>
      <c r="D20" s="3065">
        <f t="shared" ref="D20:T20" si="16">D59</f>
        <v>6200000</v>
      </c>
      <c r="E20" s="3065">
        <f t="shared" si="16"/>
        <v>0</v>
      </c>
      <c r="F20" s="3065">
        <f t="shared" si="16"/>
        <v>0</v>
      </c>
      <c r="G20" s="3065">
        <f t="shared" si="16"/>
        <v>0</v>
      </c>
      <c r="H20" s="3065">
        <f t="shared" si="16"/>
        <v>0</v>
      </c>
      <c r="I20" s="3065">
        <f t="shared" si="16"/>
        <v>0</v>
      </c>
      <c r="J20" s="3065">
        <f t="shared" si="16"/>
        <v>2145000</v>
      </c>
      <c r="K20" s="3065">
        <f t="shared" si="16"/>
        <v>2055000</v>
      </c>
      <c r="L20" s="3065">
        <f t="shared" si="16"/>
        <v>523144</v>
      </c>
      <c r="M20" s="3065">
        <f t="shared" si="16"/>
        <v>6200000</v>
      </c>
      <c r="N20" s="3065">
        <f>N59</f>
        <v>1476856</v>
      </c>
      <c r="O20" s="3065">
        <f t="shared" si="16"/>
        <v>0</v>
      </c>
      <c r="P20" s="3065">
        <f t="shared" si="16"/>
        <v>0</v>
      </c>
      <c r="Q20" s="3071">
        <f t="shared" si="16"/>
        <v>0</v>
      </c>
      <c r="R20" s="3071">
        <f t="shared" si="16"/>
        <v>0</v>
      </c>
      <c r="S20" s="3071">
        <f t="shared" si="16"/>
        <v>0</v>
      </c>
      <c r="T20" s="3071">
        <f t="shared" si="16"/>
        <v>0</v>
      </c>
      <c r="U20" s="3071">
        <f>U59</f>
        <v>0</v>
      </c>
      <c r="V20" s="3071">
        <f>V59</f>
        <v>0</v>
      </c>
      <c r="W20" s="3072">
        <f>W59</f>
        <v>0</v>
      </c>
      <c r="X20" s="3068">
        <f>X59</f>
        <v>0</v>
      </c>
      <c r="Y20" s="3069"/>
      <c r="AA20" s="228">
        <f>+P20+O20+N20+L20+K20+J20+I20+E20</f>
        <v>6200000</v>
      </c>
    </row>
    <row r="21" spans="1:28" s="576" customFormat="1" ht="14.25" hidden="1" customHeight="1">
      <c r="A21" s="194"/>
      <c r="B21" s="232" t="s">
        <v>29</v>
      </c>
      <c r="C21" s="3076"/>
      <c r="D21" s="3077">
        <f t="shared" ref="D21:W21" si="17">SUM(D22:D22)</f>
        <v>0</v>
      </c>
      <c r="E21" s="3077">
        <f t="shared" si="17"/>
        <v>0</v>
      </c>
      <c r="F21" s="3077">
        <f t="shared" si="17"/>
        <v>0</v>
      </c>
      <c r="G21" s="3077">
        <f t="shared" si="17"/>
        <v>0</v>
      </c>
      <c r="H21" s="3077">
        <f t="shared" si="17"/>
        <v>0</v>
      </c>
      <c r="I21" s="3077">
        <f t="shared" si="17"/>
        <v>15578755</v>
      </c>
      <c r="J21" s="3077">
        <f t="shared" si="17"/>
        <v>8198825</v>
      </c>
      <c r="K21" s="3077">
        <f t="shared" si="17"/>
        <v>0</v>
      </c>
      <c r="L21" s="3077">
        <f t="shared" si="17"/>
        <v>400476</v>
      </c>
      <c r="M21" s="3077">
        <f t="shared" si="17"/>
        <v>0</v>
      </c>
      <c r="N21" s="3077">
        <f t="shared" si="17"/>
        <v>19927467</v>
      </c>
      <c r="O21" s="3077">
        <f t="shared" si="17"/>
        <v>27276555</v>
      </c>
      <c r="P21" s="3077">
        <f t="shared" si="17"/>
        <v>0</v>
      </c>
      <c r="Q21" s="3078">
        <f t="shared" si="17"/>
        <v>0</v>
      </c>
      <c r="R21" s="3078">
        <f t="shared" si="17"/>
        <v>0</v>
      </c>
      <c r="S21" s="3078">
        <f t="shared" si="17"/>
        <v>0</v>
      </c>
      <c r="T21" s="3078">
        <f t="shared" si="17"/>
        <v>0</v>
      </c>
      <c r="U21" s="3078">
        <f t="shared" si="17"/>
        <v>0</v>
      </c>
      <c r="V21" s="3078">
        <f t="shared" si="17"/>
        <v>0</v>
      </c>
      <c r="W21" s="3079">
        <f t="shared" si="17"/>
        <v>0</v>
      </c>
      <c r="X21" s="1318" t="s">
        <v>75</v>
      </c>
      <c r="Y21" s="1316"/>
    </row>
    <row r="22" spans="1:28" s="461" customFormat="1" ht="14.25" hidden="1" customHeight="1">
      <c r="A22" s="210"/>
      <c r="B22" s="3080" t="s">
        <v>46</v>
      </c>
      <c r="C22" s="3081"/>
      <c r="D22" s="3082"/>
      <c r="E22" s="3082">
        <f t="shared" ref="E22:T22" si="18">+E47+E72+E34+E99+E110</f>
        <v>0</v>
      </c>
      <c r="F22" s="3082">
        <f t="shared" si="18"/>
        <v>0</v>
      </c>
      <c r="G22" s="3082">
        <f t="shared" si="18"/>
        <v>0</v>
      </c>
      <c r="H22" s="3082">
        <f t="shared" si="18"/>
        <v>0</v>
      </c>
      <c r="I22" s="3082">
        <f t="shared" si="18"/>
        <v>15578755</v>
      </c>
      <c r="J22" s="3082">
        <f t="shared" si="18"/>
        <v>8198825</v>
      </c>
      <c r="K22" s="3082">
        <f t="shared" si="18"/>
        <v>0</v>
      </c>
      <c r="L22" s="3082">
        <f t="shared" si="18"/>
        <v>400476</v>
      </c>
      <c r="M22" s="3082">
        <f t="shared" si="18"/>
        <v>0</v>
      </c>
      <c r="N22" s="3082">
        <f t="shared" si="18"/>
        <v>19927467</v>
      </c>
      <c r="O22" s="3082">
        <f t="shared" si="18"/>
        <v>27276555</v>
      </c>
      <c r="P22" s="3082">
        <f t="shared" si="18"/>
        <v>0</v>
      </c>
      <c r="Q22" s="3083">
        <f t="shared" si="18"/>
        <v>0</v>
      </c>
      <c r="R22" s="3083">
        <f t="shared" si="18"/>
        <v>0</v>
      </c>
      <c r="S22" s="3083">
        <f t="shared" si="18"/>
        <v>0</v>
      </c>
      <c r="T22" s="3083">
        <f t="shared" si="18"/>
        <v>0</v>
      </c>
      <c r="U22" s="3083">
        <f>+U47+U72+U34+U99+U110</f>
        <v>0</v>
      </c>
      <c r="V22" s="3083">
        <f>+V47+V72+V34+V99+V110</f>
        <v>0</v>
      </c>
      <c r="W22" s="3084">
        <f>+W47+W72+W34+W99+W110</f>
        <v>0</v>
      </c>
      <c r="X22" s="1318" t="s">
        <v>75</v>
      </c>
      <c r="Y22" s="3085"/>
    </row>
    <row r="23" spans="1:28" s="576" customFormat="1" ht="14.25" customHeight="1">
      <c r="A23" s="194"/>
      <c r="B23" s="1320" t="s">
        <v>33</v>
      </c>
      <c r="C23" s="239"/>
      <c r="D23" s="1408">
        <f>+D24+D27</f>
        <v>35652281</v>
      </c>
      <c r="E23" s="1408">
        <f t="shared" ref="E23:T23" si="19">+E24+E27</f>
        <v>0</v>
      </c>
      <c r="F23" s="1408">
        <f t="shared" si="19"/>
        <v>0</v>
      </c>
      <c r="G23" s="1408">
        <f t="shared" si="19"/>
        <v>0</v>
      </c>
      <c r="H23" s="1408">
        <f t="shared" si="19"/>
        <v>0</v>
      </c>
      <c r="I23" s="1408">
        <f t="shared" si="19"/>
        <v>0</v>
      </c>
      <c r="J23" s="1408">
        <f t="shared" si="19"/>
        <v>10210000</v>
      </c>
      <c r="K23" s="1408">
        <f t="shared" si="19"/>
        <v>3909955</v>
      </c>
      <c r="L23" s="1408">
        <f t="shared" si="19"/>
        <v>923620</v>
      </c>
      <c r="M23" s="1408">
        <f t="shared" si="19"/>
        <v>33348284</v>
      </c>
      <c r="N23" s="1408">
        <f t="shared" si="19"/>
        <v>16717286</v>
      </c>
      <c r="O23" s="1408">
        <f t="shared" si="19"/>
        <v>38558330</v>
      </c>
      <c r="P23" s="1408">
        <f t="shared" si="19"/>
        <v>0</v>
      </c>
      <c r="Q23" s="1408">
        <f t="shared" si="19"/>
        <v>2303997</v>
      </c>
      <c r="R23" s="1745">
        <f t="shared" si="19"/>
        <v>0</v>
      </c>
      <c r="S23" s="1745">
        <f t="shared" si="19"/>
        <v>0</v>
      </c>
      <c r="T23" s="1745">
        <f t="shared" si="19"/>
        <v>0</v>
      </c>
      <c r="U23" s="1745">
        <f>+U24+U27</f>
        <v>0</v>
      </c>
      <c r="V23" s="1745">
        <f>+V24+V27</f>
        <v>0</v>
      </c>
      <c r="W23" s="1883">
        <f>+W24+W27</f>
        <v>0</v>
      </c>
      <c r="X23" s="3872" t="s">
        <v>34</v>
      </c>
      <c r="Y23" s="3086"/>
    </row>
    <row r="24" spans="1:28" s="461" customFormat="1" ht="14.25" customHeight="1">
      <c r="A24" s="210"/>
      <c r="B24" s="232" t="s">
        <v>22</v>
      </c>
      <c r="C24" s="3076"/>
      <c r="D24" s="3077">
        <f>+D25+D26</f>
        <v>35652281</v>
      </c>
      <c r="E24" s="3077">
        <f t="shared" ref="E24:T24" si="20">+E25+E26</f>
        <v>0</v>
      </c>
      <c r="F24" s="3077">
        <f t="shared" si="20"/>
        <v>0</v>
      </c>
      <c r="G24" s="3077">
        <f t="shared" si="20"/>
        <v>0</v>
      </c>
      <c r="H24" s="3077">
        <f t="shared" si="20"/>
        <v>0</v>
      </c>
      <c r="I24" s="3077">
        <f t="shared" si="20"/>
        <v>0</v>
      </c>
      <c r="J24" s="3077">
        <f t="shared" si="20"/>
        <v>10210000</v>
      </c>
      <c r="K24" s="3077">
        <f t="shared" si="20"/>
        <v>3909955</v>
      </c>
      <c r="L24" s="3077">
        <f t="shared" si="20"/>
        <v>523144</v>
      </c>
      <c r="M24" s="3077">
        <f t="shared" si="20"/>
        <v>33348284</v>
      </c>
      <c r="N24" s="3077">
        <f t="shared" si="20"/>
        <v>9964019</v>
      </c>
      <c r="O24" s="3077">
        <f t="shared" si="20"/>
        <v>15816258</v>
      </c>
      <c r="P24" s="3077">
        <f t="shared" si="20"/>
        <v>0</v>
      </c>
      <c r="Q24" s="3077">
        <f t="shared" si="20"/>
        <v>2303997</v>
      </c>
      <c r="R24" s="3078">
        <f t="shared" si="20"/>
        <v>0</v>
      </c>
      <c r="S24" s="3078">
        <f t="shared" si="20"/>
        <v>0</v>
      </c>
      <c r="T24" s="3078">
        <f t="shared" si="20"/>
        <v>0</v>
      </c>
      <c r="U24" s="3078">
        <f>+U25+U26</f>
        <v>0</v>
      </c>
      <c r="V24" s="3078">
        <f>+V25+V26</f>
        <v>0</v>
      </c>
      <c r="W24" s="3079">
        <f>+W25+W26</f>
        <v>0</v>
      </c>
      <c r="X24" s="3873"/>
      <c r="Y24" s="3085"/>
    </row>
    <row r="25" spans="1:28" s="461" customFormat="1" ht="14.25" customHeight="1">
      <c r="A25" s="210"/>
      <c r="B25" s="3070" t="s">
        <v>24</v>
      </c>
      <c r="C25" s="3062"/>
      <c r="D25" s="3065">
        <f>D64+D50+D75+D113</f>
        <v>29452281</v>
      </c>
      <c r="E25" s="3065">
        <f>E64+E50+E75</f>
        <v>0</v>
      </c>
      <c r="F25" s="3065">
        <f>F64+F50</f>
        <v>0</v>
      </c>
      <c r="G25" s="3065">
        <f>G64+G50</f>
        <v>0</v>
      </c>
      <c r="H25" s="3065">
        <f>H64+H50</f>
        <v>0</v>
      </c>
      <c r="I25" s="3065">
        <f>I64+I50+I75</f>
        <v>0</v>
      </c>
      <c r="J25" s="3065">
        <f>J64+J50+J75</f>
        <v>8065000</v>
      </c>
      <c r="K25" s="3065">
        <f>K64+K50+K75</f>
        <v>1854955</v>
      </c>
      <c r="L25" s="3065">
        <f>L64+L50+L75</f>
        <v>0</v>
      </c>
      <c r="M25" s="3065">
        <f>M64+M50+M75+M108</f>
        <v>27148284</v>
      </c>
      <c r="N25" s="3065">
        <f t="shared" ref="N25:T25" si="21">N64+N50+N75</f>
        <v>8487163</v>
      </c>
      <c r="O25" s="3065">
        <f>O64+O50+O75+O108</f>
        <v>15816258</v>
      </c>
      <c r="P25" s="3065">
        <f>P64+P50+P75+P108</f>
        <v>0</v>
      </c>
      <c r="Q25" s="3065">
        <f t="shared" si="21"/>
        <v>2303997</v>
      </c>
      <c r="R25" s="3071">
        <f t="shared" si="21"/>
        <v>0</v>
      </c>
      <c r="S25" s="3071">
        <f t="shared" si="21"/>
        <v>0</v>
      </c>
      <c r="T25" s="3071">
        <f t="shared" si="21"/>
        <v>0</v>
      </c>
      <c r="U25" s="3071">
        <f>U64+U50+U75</f>
        <v>0</v>
      </c>
      <c r="V25" s="3066">
        <f>V64+V50+V75</f>
        <v>0</v>
      </c>
      <c r="W25" s="3087">
        <f>W64+W50+W75</f>
        <v>0</v>
      </c>
      <c r="X25" s="3873"/>
      <c r="Y25" s="3085"/>
      <c r="AA25" s="228">
        <f>+P25+O25+N25+L25+K25+J25+I25+E25</f>
        <v>34223376</v>
      </c>
    </row>
    <row r="26" spans="1:28" s="461" customFormat="1" ht="14.25" customHeight="1" thickBot="1">
      <c r="A26" s="210"/>
      <c r="B26" s="3070" t="s">
        <v>538</v>
      </c>
      <c r="C26" s="3062"/>
      <c r="D26" s="3065">
        <f t="shared" ref="D26:T26" si="22">D65</f>
        <v>6200000</v>
      </c>
      <c r="E26" s="3065">
        <f t="shared" si="22"/>
        <v>0</v>
      </c>
      <c r="F26" s="3065">
        <f t="shared" si="22"/>
        <v>0</v>
      </c>
      <c r="G26" s="3065">
        <f t="shared" si="22"/>
        <v>0</v>
      </c>
      <c r="H26" s="3065">
        <f t="shared" si="22"/>
        <v>0</v>
      </c>
      <c r="I26" s="3065">
        <f t="shared" si="22"/>
        <v>0</v>
      </c>
      <c r="J26" s="3065">
        <f t="shared" si="22"/>
        <v>2145000</v>
      </c>
      <c r="K26" s="3065">
        <f t="shared" si="22"/>
        <v>2055000</v>
      </c>
      <c r="L26" s="3065">
        <f t="shared" si="22"/>
        <v>523144</v>
      </c>
      <c r="M26" s="3065">
        <f>M65</f>
        <v>6200000</v>
      </c>
      <c r="N26" s="3065">
        <f t="shared" si="22"/>
        <v>1476856</v>
      </c>
      <c r="O26" s="3065">
        <f t="shared" si="22"/>
        <v>0</v>
      </c>
      <c r="P26" s="3065">
        <f t="shared" si="22"/>
        <v>0</v>
      </c>
      <c r="Q26" s="3071">
        <f t="shared" si="22"/>
        <v>0</v>
      </c>
      <c r="R26" s="3071">
        <f t="shared" si="22"/>
        <v>0</v>
      </c>
      <c r="S26" s="3071">
        <f t="shared" si="22"/>
        <v>0</v>
      </c>
      <c r="T26" s="3071">
        <f t="shared" si="22"/>
        <v>0</v>
      </c>
      <c r="U26" s="3066">
        <f>U65</f>
        <v>0</v>
      </c>
      <c r="V26" s="3071">
        <f>V65</f>
        <v>0</v>
      </c>
      <c r="W26" s="3087">
        <f>W65</f>
        <v>0</v>
      </c>
      <c r="X26" s="3873"/>
      <c r="Y26" s="3085"/>
      <c r="AA26" s="228">
        <f>+P26+O26+N26+L26+K26+J26+I26+E26</f>
        <v>6200000</v>
      </c>
    </row>
    <row r="27" spans="1:28" s="461" customFormat="1" ht="14.25" hidden="1" customHeight="1">
      <c r="A27" s="210"/>
      <c r="B27" s="232" t="s">
        <v>29</v>
      </c>
      <c r="C27" s="3076"/>
      <c r="D27" s="3077">
        <f t="shared" ref="D27:W27" si="23">SUM(D28:D28)</f>
        <v>0</v>
      </c>
      <c r="E27" s="3077">
        <f t="shared" si="23"/>
        <v>0</v>
      </c>
      <c r="F27" s="3077">
        <f t="shared" si="23"/>
        <v>0</v>
      </c>
      <c r="G27" s="3077">
        <f t="shared" si="23"/>
        <v>0</v>
      </c>
      <c r="H27" s="3077">
        <f t="shared" si="23"/>
        <v>0</v>
      </c>
      <c r="I27" s="3077">
        <f t="shared" si="23"/>
        <v>0</v>
      </c>
      <c r="J27" s="3077">
        <f t="shared" si="23"/>
        <v>0</v>
      </c>
      <c r="K27" s="3077">
        <f t="shared" si="23"/>
        <v>0</v>
      </c>
      <c r="L27" s="3077">
        <f t="shared" si="23"/>
        <v>400476</v>
      </c>
      <c r="M27" s="3077">
        <f t="shared" si="23"/>
        <v>0</v>
      </c>
      <c r="N27" s="3077">
        <f t="shared" si="23"/>
        <v>6753267</v>
      </c>
      <c r="O27" s="3077">
        <f t="shared" si="23"/>
        <v>22742072</v>
      </c>
      <c r="P27" s="3077">
        <f t="shared" si="23"/>
        <v>0</v>
      </c>
      <c r="Q27" s="3078">
        <f t="shared" si="23"/>
        <v>0</v>
      </c>
      <c r="R27" s="3078">
        <f t="shared" si="23"/>
        <v>0</v>
      </c>
      <c r="S27" s="3078">
        <f t="shared" si="23"/>
        <v>0</v>
      </c>
      <c r="T27" s="3078">
        <f t="shared" si="23"/>
        <v>0</v>
      </c>
      <c r="U27" s="3078">
        <f t="shared" si="23"/>
        <v>0</v>
      </c>
      <c r="V27" s="3078">
        <f t="shared" si="23"/>
        <v>0</v>
      </c>
      <c r="W27" s="3088">
        <f t="shared" si="23"/>
        <v>0</v>
      </c>
      <c r="X27" s="3873"/>
      <c r="Y27" s="3085"/>
      <c r="AA27" s="228"/>
    </row>
    <row r="28" spans="1:28" s="461" customFormat="1" ht="14.25" hidden="1" customHeight="1" thickBot="1">
      <c r="A28" s="210"/>
      <c r="B28" s="3080" t="s">
        <v>46</v>
      </c>
      <c r="C28" s="3089"/>
      <c r="D28" s="1323">
        <f t="shared" ref="D28:L28" si="24">D38+D52+D77+D102+D115</f>
        <v>0</v>
      </c>
      <c r="E28" s="1323">
        <f t="shared" si="24"/>
        <v>0</v>
      </c>
      <c r="F28" s="1323">
        <f t="shared" si="24"/>
        <v>0</v>
      </c>
      <c r="G28" s="1323">
        <f t="shared" si="24"/>
        <v>0</v>
      </c>
      <c r="H28" s="1323">
        <f t="shared" si="24"/>
        <v>0</v>
      </c>
      <c r="I28" s="1323">
        <f t="shared" si="24"/>
        <v>0</v>
      </c>
      <c r="J28" s="1323">
        <f t="shared" si="24"/>
        <v>0</v>
      </c>
      <c r="K28" s="1323">
        <f t="shared" si="24"/>
        <v>0</v>
      </c>
      <c r="L28" s="1323">
        <f t="shared" si="24"/>
        <v>400476</v>
      </c>
      <c r="M28" s="1323">
        <f t="shared" ref="M28:T28" si="25">M38+M52+M77+M102+M115</f>
        <v>0</v>
      </c>
      <c r="N28" s="1323">
        <f t="shared" si="25"/>
        <v>6753267</v>
      </c>
      <c r="O28" s="1323">
        <f t="shared" si="25"/>
        <v>22742072</v>
      </c>
      <c r="P28" s="1323">
        <f t="shared" si="25"/>
        <v>0</v>
      </c>
      <c r="Q28" s="3090">
        <f t="shared" si="25"/>
        <v>0</v>
      </c>
      <c r="R28" s="3090">
        <f t="shared" si="25"/>
        <v>0</v>
      </c>
      <c r="S28" s="3090">
        <f t="shared" si="25"/>
        <v>0</v>
      </c>
      <c r="T28" s="3090">
        <f t="shared" si="25"/>
        <v>0</v>
      </c>
      <c r="U28" s="3090">
        <f>U38+U52+U77+U102+U115</f>
        <v>0</v>
      </c>
      <c r="V28" s="3090">
        <f>V38+V52+V77+V102+V115</f>
        <v>0</v>
      </c>
      <c r="W28" s="3091">
        <f>W38+W52+W77+W102+W115</f>
        <v>0</v>
      </c>
      <c r="X28" s="3874"/>
      <c r="Y28" s="3085"/>
      <c r="AA28" s="228">
        <f>+P28+O28+N28+L28+K28+J28+I28+E28</f>
        <v>29895815</v>
      </c>
    </row>
    <row r="29" spans="1:28" s="1330" customFormat="1" ht="23.25" hidden="1" customHeight="1">
      <c r="A29" s="3849" t="s">
        <v>77</v>
      </c>
      <c r="B29" s="1324"/>
      <c r="C29" s="1325" t="s">
        <v>95</v>
      </c>
      <c r="D29" s="1326"/>
      <c r="E29" s="1327"/>
      <c r="F29" s="1327"/>
      <c r="G29" s="1327"/>
      <c r="H29" s="1327"/>
      <c r="I29" s="1327"/>
      <c r="J29" s="1327"/>
      <c r="K29" s="1327"/>
      <c r="L29" s="1327"/>
      <c r="M29" s="1327"/>
      <c r="N29" s="1327"/>
      <c r="O29" s="1327"/>
      <c r="P29" s="1327"/>
      <c r="Q29" s="1327"/>
      <c r="R29" s="1327"/>
      <c r="S29" s="1327"/>
      <c r="T29" s="1327"/>
      <c r="U29" s="1328"/>
      <c r="V29" s="1327"/>
      <c r="W29" s="1326"/>
      <c r="X29" s="1329"/>
      <c r="Y29" s="3863" t="s">
        <v>149</v>
      </c>
    </row>
    <row r="30" spans="1:28" s="493" customFormat="1" ht="13.5" hidden="1" customHeight="1">
      <c r="A30" s="3850"/>
      <c r="B30" s="1331"/>
      <c r="C30" s="1332"/>
      <c r="D30" s="1333"/>
      <c r="E30" s="1333"/>
      <c r="F30" s="1333"/>
      <c r="G30" s="1333"/>
      <c r="H30" s="1333"/>
      <c r="I30" s="1333"/>
      <c r="J30" s="1333"/>
      <c r="K30" s="1333"/>
      <c r="L30" s="1333"/>
      <c r="M30" s="1333"/>
      <c r="N30" s="1333"/>
      <c r="O30" s="1333"/>
      <c r="P30" s="1333"/>
      <c r="Q30" s="1333"/>
      <c r="R30" s="1333"/>
      <c r="S30" s="1333"/>
      <c r="T30" s="1333"/>
      <c r="U30" s="1334"/>
      <c r="V30" s="1335"/>
      <c r="W30" s="1336"/>
      <c r="X30" s="1337"/>
      <c r="Y30" s="3864"/>
    </row>
    <row r="31" spans="1:28" s="493" customFormat="1" ht="12.75" hidden="1" customHeight="1">
      <c r="A31" s="3850"/>
      <c r="B31" s="1338" t="s">
        <v>35</v>
      </c>
      <c r="C31" s="3861" t="s">
        <v>150</v>
      </c>
      <c r="D31" s="1339"/>
      <c r="E31" s="1339"/>
      <c r="F31" s="1339"/>
      <c r="G31" s="1339"/>
      <c r="H31" s="1339"/>
      <c r="I31" s="1339"/>
      <c r="J31" s="1339"/>
      <c r="K31" s="1339"/>
      <c r="L31" s="1339"/>
      <c r="M31" s="1339"/>
      <c r="N31" s="1339"/>
      <c r="O31" s="1339"/>
      <c r="P31" s="1339"/>
      <c r="Q31" s="1339"/>
      <c r="R31" s="1339"/>
      <c r="S31" s="1339"/>
      <c r="T31" s="1339"/>
      <c r="U31" s="1340"/>
      <c r="V31" s="1341"/>
      <c r="W31" s="1342"/>
      <c r="X31" s="1343"/>
      <c r="Y31" s="3865"/>
    </row>
    <row r="32" spans="1:28" s="493" customFormat="1" ht="12.75" hidden="1" customHeight="1">
      <c r="A32" s="3850"/>
      <c r="B32" s="295" t="s">
        <v>151</v>
      </c>
      <c r="C32" s="3862"/>
      <c r="D32" s="1344"/>
      <c r="E32" s="1344"/>
      <c r="F32" s="1344"/>
      <c r="G32" s="1344"/>
      <c r="H32" s="1344"/>
      <c r="I32" s="1344"/>
      <c r="J32" s="1344"/>
      <c r="K32" s="1344"/>
      <c r="L32" s="1344"/>
      <c r="M32" s="1344"/>
      <c r="N32" s="1344"/>
      <c r="O32" s="1344"/>
      <c r="P32" s="1344"/>
      <c r="Q32" s="1344"/>
      <c r="R32" s="1344"/>
      <c r="S32" s="1344"/>
      <c r="T32" s="1344"/>
      <c r="U32" s="1345"/>
      <c r="V32" s="297"/>
      <c r="W32" s="1346"/>
      <c r="X32" s="1347"/>
      <c r="Y32" s="3865"/>
      <c r="AB32" s="500"/>
    </row>
    <row r="33" spans="1:28" s="493" customFormat="1" ht="13.5" hidden="1" customHeight="1">
      <c r="A33" s="3850"/>
      <c r="B33" s="1348" t="s">
        <v>147</v>
      </c>
      <c r="C33" s="3862"/>
      <c r="D33" s="1344"/>
      <c r="E33" s="1344"/>
      <c r="F33" s="1344"/>
      <c r="G33" s="1344"/>
      <c r="H33" s="1344"/>
      <c r="I33" s="1344"/>
      <c r="J33" s="1344"/>
      <c r="K33" s="1344"/>
      <c r="L33" s="1344"/>
      <c r="M33" s="1344"/>
      <c r="N33" s="1344"/>
      <c r="O33" s="1344"/>
      <c r="P33" s="1344"/>
      <c r="Q33" s="1344"/>
      <c r="R33" s="1344"/>
      <c r="S33" s="1344"/>
      <c r="T33" s="1344"/>
      <c r="U33" s="1345"/>
      <c r="V33" s="297"/>
      <c r="W33" s="1346"/>
      <c r="X33" s="1349"/>
      <c r="Y33" s="3865"/>
    </row>
    <row r="34" spans="1:28" s="493" customFormat="1" ht="13.5" hidden="1" customHeight="1">
      <c r="A34" s="3850"/>
      <c r="B34" s="1350" t="s">
        <v>29</v>
      </c>
      <c r="C34" s="3862"/>
      <c r="D34" s="1351"/>
      <c r="E34" s="1351"/>
      <c r="F34" s="1351"/>
      <c r="G34" s="1351"/>
      <c r="H34" s="1351"/>
      <c r="I34" s="1351"/>
      <c r="J34" s="1351"/>
      <c r="K34" s="1351"/>
      <c r="L34" s="1351"/>
      <c r="M34" s="1351"/>
      <c r="N34" s="1351"/>
      <c r="O34" s="1351"/>
      <c r="P34" s="1351"/>
      <c r="Q34" s="1351"/>
      <c r="R34" s="1351"/>
      <c r="S34" s="1351"/>
      <c r="T34" s="1351"/>
      <c r="U34" s="1352"/>
      <c r="V34" s="1353"/>
      <c r="W34" s="1354"/>
      <c r="X34" s="1355"/>
      <c r="Y34" s="3865"/>
    </row>
    <row r="35" spans="1:28" s="493" customFormat="1" ht="11.25" hidden="1" customHeight="1">
      <c r="A35" s="3850"/>
      <c r="B35" s="1356" t="s">
        <v>46</v>
      </c>
      <c r="C35" s="3862"/>
      <c r="D35" s="1357"/>
      <c r="E35" s="1357"/>
      <c r="F35" s="1357"/>
      <c r="G35" s="1357"/>
      <c r="H35" s="1357"/>
      <c r="I35" s="1357"/>
      <c r="J35" s="1357"/>
      <c r="K35" s="1357"/>
      <c r="L35" s="1357"/>
      <c r="M35" s="1357"/>
      <c r="N35" s="1357"/>
      <c r="O35" s="1357"/>
      <c r="P35" s="1357"/>
      <c r="Q35" s="1357"/>
      <c r="R35" s="1357"/>
      <c r="S35" s="1357"/>
      <c r="T35" s="1357"/>
      <c r="U35" s="1345"/>
      <c r="V35" s="297"/>
      <c r="W35" s="1346"/>
      <c r="X35" s="1347"/>
      <c r="Y35" s="3865"/>
    </row>
    <row r="36" spans="1:28" s="493" customFormat="1" ht="13.5" hidden="1" customHeight="1">
      <c r="A36" s="3850"/>
      <c r="B36" s="1049" t="s">
        <v>33</v>
      </c>
      <c r="C36" s="1358"/>
      <c r="D36" s="1333"/>
      <c r="E36" s="1333"/>
      <c r="F36" s="1333"/>
      <c r="G36" s="1333"/>
      <c r="H36" s="1333"/>
      <c r="I36" s="1333"/>
      <c r="J36" s="1333"/>
      <c r="K36" s="1333"/>
      <c r="L36" s="1333"/>
      <c r="M36" s="1333"/>
      <c r="N36" s="1333"/>
      <c r="O36" s="1333"/>
      <c r="P36" s="1333"/>
      <c r="Q36" s="1333"/>
      <c r="R36" s="1333"/>
      <c r="S36" s="1333"/>
      <c r="T36" s="1333"/>
      <c r="U36" s="1334"/>
      <c r="V36" s="1335"/>
      <c r="W36" s="1336"/>
      <c r="X36" s="3474"/>
      <c r="Y36" s="3865"/>
    </row>
    <row r="37" spans="1:28" s="493" customFormat="1" ht="13.5" hidden="1" customHeight="1">
      <c r="A37" s="3850"/>
      <c r="B37" s="1350" t="s">
        <v>29</v>
      </c>
      <c r="C37" s="1359"/>
      <c r="D37" s="1360"/>
      <c r="E37" s="1360"/>
      <c r="F37" s="1360"/>
      <c r="G37" s="1360"/>
      <c r="H37" s="1360"/>
      <c r="I37" s="1360"/>
      <c r="J37" s="1360"/>
      <c r="K37" s="1360"/>
      <c r="L37" s="1360"/>
      <c r="M37" s="1360"/>
      <c r="N37" s="1360"/>
      <c r="O37" s="1360"/>
      <c r="P37" s="1360"/>
      <c r="Q37" s="1360"/>
      <c r="R37" s="1360"/>
      <c r="S37" s="1360"/>
      <c r="T37" s="1360"/>
      <c r="U37" s="1361"/>
      <c r="V37" s="1362"/>
      <c r="W37" s="1363"/>
      <c r="X37" s="3474"/>
      <c r="Y37" s="3865"/>
    </row>
    <row r="38" spans="1:28" s="493" customFormat="1" ht="14.25" hidden="1" customHeight="1" thickBot="1">
      <c r="A38" s="3851"/>
      <c r="B38" s="1364" t="s">
        <v>46</v>
      </c>
      <c r="C38" s="1365" t="s">
        <v>34</v>
      </c>
      <c r="D38" s="1366"/>
      <c r="E38" s="297"/>
      <c r="F38" s="297"/>
      <c r="G38" s="297"/>
      <c r="H38" s="297"/>
      <c r="I38" s="297"/>
      <c r="J38" s="297"/>
      <c r="K38" s="297"/>
      <c r="L38" s="297"/>
      <c r="M38" s="297"/>
      <c r="N38" s="297"/>
      <c r="O38" s="297"/>
      <c r="P38" s="297"/>
      <c r="Q38" s="297"/>
      <c r="R38" s="297"/>
      <c r="S38" s="297"/>
      <c r="T38" s="297"/>
      <c r="U38" s="1345"/>
      <c r="V38" s="297"/>
      <c r="W38" s="1346"/>
      <c r="X38" s="3475"/>
      <c r="Y38" s="3866"/>
    </row>
    <row r="39" spans="1:28" s="493" customFormat="1" ht="27" hidden="1" customHeight="1">
      <c r="A39" s="3849" t="s">
        <v>77</v>
      </c>
      <c r="B39" s="3852">
        <v>0</v>
      </c>
      <c r="C39" s="3875" t="s">
        <v>95</v>
      </c>
      <c r="D39" s="1406"/>
      <c r="E39" s="3847"/>
      <c r="F39" s="3847"/>
      <c r="G39" s="3847"/>
      <c r="H39" s="3847"/>
      <c r="I39" s="3847"/>
      <c r="J39" s="3847"/>
      <c r="K39" s="3847"/>
      <c r="L39" s="3479"/>
      <c r="M39" s="3479"/>
      <c r="N39" s="3847"/>
      <c r="O39" s="3479"/>
      <c r="P39" s="3479"/>
      <c r="Q39" s="3479"/>
      <c r="R39" s="3479"/>
      <c r="S39" s="3479"/>
      <c r="T39" s="3479"/>
      <c r="U39" s="1415"/>
      <c r="V39" s="3479"/>
      <c r="W39" s="1406"/>
      <c r="X39" s="1407"/>
      <c r="Y39" s="3863" t="s">
        <v>423</v>
      </c>
    </row>
    <row r="40" spans="1:28" s="493" customFormat="1" ht="23.25" hidden="1" customHeight="1">
      <c r="A40" s="3850"/>
      <c r="B40" s="3853"/>
      <c r="C40" s="3876"/>
      <c r="D40" s="1457"/>
      <c r="E40" s="3848"/>
      <c r="F40" s="3848"/>
      <c r="G40" s="3848"/>
      <c r="H40" s="3848"/>
      <c r="I40" s="3848"/>
      <c r="J40" s="3848"/>
      <c r="K40" s="3848"/>
      <c r="L40" s="3480"/>
      <c r="M40" s="3480"/>
      <c r="N40" s="3848"/>
      <c r="O40" s="3480"/>
      <c r="P40" s="3480"/>
      <c r="Q40" s="3480"/>
      <c r="R40" s="3480"/>
      <c r="S40" s="3480"/>
      <c r="T40" s="3480"/>
      <c r="U40" s="1458"/>
      <c r="V40" s="3480"/>
      <c r="W40" s="1457"/>
      <c r="X40" s="1371"/>
      <c r="Y40" s="3864"/>
    </row>
    <row r="41" spans="1:28" s="493" customFormat="1" ht="13.5" hidden="1" customHeight="1">
      <c r="A41" s="3850"/>
      <c r="B41" s="1049" t="s">
        <v>21</v>
      </c>
      <c r="C41" s="1459"/>
      <c r="D41" s="1333">
        <f>+D42+D46</f>
        <v>0</v>
      </c>
      <c r="E41" s="1333">
        <f t="shared" ref="E41:M41" si="26">+E42+E46</f>
        <v>3210853</v>
      </c>
      <c r="F41" s="1333">
        <f t="shared" si="26"/>
        <v>0</v>
      </c>
      <c r="G41" s="1333">
        <f t="shared" si="26"/>
        <v>78054</v>
      </c>
      <c r="H41" s="1333">
        <f t="shared" si="26"/>
        <v>2678041</v>
      </c>
      <c r="I41" s="1333">
        <f t="shared" si="26"/>
        <v>20749439</v>
      </c>
      <c r="J41" s="1333">
        <f t="shared" si="26"/>
        <v>15205981</v>
      </c>
      <c r="K41" s="1333">
        <f t="shared" si="26"/>
        <v>6980991</v>
      </c>
      <c r="L41" s="1333">
        <f t="shared" si="26"/>
        <v>29066477</v>
      </c>
      <c r="M41" s="1333">
        <f t="shared" si="26"/>
        <v>0</v>
      </c>
      <c r="N41" s="1333">
        <f t="shared" ref="N41:W41" si="27">+N42+N46</f>
        <v>17799477</v>
      </c>
      <c r="O41" s="1333">
        <f t="shared" si="27"/>
        <v>4534483</v>
      </c>
      <c r="P41" s="1333">
        <f t="shared" si="27"/>
        <v>0</v>
      </c>
      <c r="Q41" s="1372">
        <f t="shared" si="27"/>
        <v>0</v>
      </c>
      <c r="R41" s="1372">
        <f t="shared" si="27"/>
        <v>0</v>
      </c>
      <c r="S41" s="1372">
        <f t="shared" si="27"/>
        <v>0</v>
      </c>
      <c r="T41" s="1372">
        <f t="shared" si="27"/>
        <v>0</v>
      </c>
      <c r="U41" s="1372">
        <f t="shared" si="27"/>
        <v>0</v>
      </c>
      <c r="V41" s="1372">
        <f t="shared" si="27"/>
        <v>0</v>
      </c>
      <c r="W41" s="1373">
        <f t="shared" si="27"/>
        <v>0</v>
      </c>
      <c r="X41" s="1374">
        <f>+X42</f>
        <v>0</v>
      </c>
      <c r="Y41" s="3864"/>
    </row>
    <row r="42" spans="1:28" s="493" customFormat="1" ht="13.5" hidden="1" customHeight="1">
      <c r="A42" s="3850"/>
      <c r="B42" s="1409" t="s">
        <v>35</v>
      </c>
      <c r="C42" s="3861" t="s">
        <v>254</v>
      </c>
      <c r="D42" s="1460">
        <f>+D43+D44+D45</f>
        <v>0</v>
      </c>
      <c r="E42" s="1460">
        <f t="shared" ref="E42:K42" si="28">+E43+E44</f>
        <v>3210853</v>
      </c>
      <c r="F42" s="1460">
        <f t="shared" si="28"/>
        <v>0</v>
      </c>
      <c r="G42" s="1460">
        <f t="shared" si="28"/>
        <v>78054</v>
      </c>
      <c r="H42" s="1460">
        <f t="shared" si="28"/>
        <v>2678041</v>
      </c>
      <c r="I42" s="1460">
        <f t="shared" si="28"/>
        <v>5170684</v>
      </c>
      <c r="J42" s="1460">
        <f>+J43+J44</f>
        <v>7007156</v>
      </c>
      <c r="K42" s="1460">
        <f t="shared" si="28"/>
        <v>6980991</v>
      </c>
      <c r="L42" s="1460">
        <f t="shared" ref="L42:W42" si="29">+L43+L44+L45</f>
        <v>29066477</v>
      </c>
      <c r="M42" s="1460">
        <f t="shared" si="29"/>
        <v>0</v>
      </c>
      <c r="N42" s="1460">
        <f t="shared" si="29"/>
        <v>4625277</v>
      </c>
      <c r="O42" s="1460">
        <f t="shared" si="29"/>
        <v>0</v>
      </c>
      <c r="P42" s="1460">
        <f t="shared" si="29"/>
        <v>0</v>
      </c>
      <c r="Q42" s="1461">
        <f t="shared" si="29"/>
        <v>0</v>
      </c>
      <c r="R42" s="1461">
        <f t="shared" si="29"/>
        <v>0</v>
      </c>
      <c r="S42" s="1461">
        <f t="shared" si="29"/>
        <v>0</v>
      </c>
      <c r="T42" s="1461">
        <f t="shared" si="29"/>
        <v>0</v>
      </c>
      <c r="U42" s="1461">
        <f t="shared" si="29"/>
        <v>0</v>
      </c>
      <c r="V42" s="1461">
        <f t="shared" si="29"/>
        <v>0</v>
      </c>
      <c r="W42" s="1462">
        <f t="shared" si="29"/>
        <v>0</v>
      </c>
      <c r="X42" s="1378">
        <f>+X44+X45</f>
        <v>0</v>
      </c>
      <c r="Y42" s="3865"/>
    </row>
    <row r="43" spans="1:28" s="493" customFormat="1" ht="13.5" hidden="1" customHeight="1">
      <c r="A43" s="3850"/>
      <c r="B43" s="1411" t="s">
        <v>151</v>
      </c>
      <c r="C43" s="3862"/>
      <c r="D43" s="325">
        <v>0</v>
      </c>
      <c r="E43" s="1344">
        <v>404973</v>
      </c>
      <c r="F43" s="1344">
        <v>0</v>
      </c>
      <c r="G43" s="1344">
        <v>51054</v>
      </c>
      <c r="H43" s="1344">
        <v>679161</v>
      </c>
      <c r="I43" s="1344">
        <v>229513</v>
      </c>
      <c r="J43" s="1344">
        <v>878679</v>
      </c>
      <c r="K43" s="1344">
        <v>4792150</v>
      </c>
      <c r="L43" s="1344">
        <v>24268653</v>
      </c>
      <c r="M43" s="2200">
        <v>0</v>
      </c>
      <c r="N43" s="1344">
        <v>3014530</v>
      </c>
      <c r="O43" s="1344">
        <v>0</v>
      </c>
      <c r="P43" s="1344">
        <v>0</v>
      </c>
      <c r="Q43" s="1424">
        <v>0</v>
      </c>
      <c r="R43" s="1424">
        <v>0</v>
      </c>
      <c r="S43" s="1424">
        <v>0</v>
      </c>
      <c r="T43" s="1424">
        <v>0</v>
      </c>
      <c r="U43" s="1424">
        <v>0</v>
      </c>
      <c r="V43" s="1424">
        <v>0</v>
      </c>
      <c r="W43" s="1425">
        <v>0</v>
      </c>
      <c r="X43" s="1318" t="s">
        <v>75</v>
      </c>
      <c r="Y43" s="3865"/>
      <c r="AB43" s="500">
        <f>+E41+I41+J41+K41</f>
        <v>46147264</v>
      </c>
    </row>
    <row r="44" spans="1:28" s="493" customFormat="1" ht="12.75" hidden="1" customHeight="1">
      <c r="A44" s="3850"/>
      <c r="B44" s="1463" t="s">
        <v>147</v>
      </c>
      <c r="C44" s="3862"/>
      <c r="D44" s="325">
        <f t="shared" ref="D44:D45" si="30">M44+P44+Q44+R44+S44+T44+U44+V44+W44</f>
        <v>0</v>
      </c>
      <c r="E44" s="1344">
        <v>2805880</v>
      </c>
      <c r="F44" s="1344">
        <v>0</v>
      </c>
      <c r="G44" s="1344">
        <v>27000</v>
      </c>
      <c r="H44" s="1344">
        <v>1998880</v>
      </c>
      <c r="I44" s="1344">
        <v>4941171</v>
      </c>
      <c r="J44" s="1344">
        <v>6128477</v>
      </c>
      <c r="K44" s="1344">
        <f>3104472-915631</f>
        <v>2188841</v>
      </c>
      <c r="L44" s="1344">
        <v>915631</v>
      </c>
      <c r="M44" s="2200">
        <v>0</v>
      </c>
      <c r="N44" s="1344">
        <v>0</v>
      </c>
      <c r="O44" s="1344">
        <v>0</v>
      </c>
      <c r="P44" s="1344">
        <v>0</v>
      </c>
      <c r="Q44" s="1424">
        <v>0</v>
      </c>
      <c r="R44" s="1424">
        <v>0</v>
      </c>
      <c r="S44" s="1424">
        <v>0</v>
      </c>
      <c r="T44" s="1424">
        <v>0</v>
      </c>
      <c r="U44" s="1424">
        <v>0</v>
      </c>
      <c r="V44" s="1424">
        <v>0</v>
      </c>
      <c r="W44" s="1425">
        <v>0</v>
      </c>
      <c r="X44" s="1383">
        <f>SUM(Q44:W44)</f>
        <v>0</v>
      </c>
      <c r="Y44" s="3865"/>
    </row>
    <row r="45" spans="1:28" s="477" customFormat="1" ht="12" hidden="1" customHeight="1">
      <c r="A45" s="3850"/>
      <c r="B45" s="174" t="s">
        <v>92</v>
      </c>
      <c r="C45" s="3862"/>
      <c r="D45" s="325">
        <f t="shared" si="30"/>
        <v>0</v>
      </c>
      <c r="E45" s="1385">
        <v>0</v>
      </c>
      <c r="F45" s="1385"/>
      <c r="G45" s="1385"/>
      <c r="H45" s="1385"/>
      <c r="I45" s="1385">
        <v>0</v>
      </c>
      <c r="J45" s="1385">
        <v>0</v>
      </c>
      <c r="K45" s="1385">
        <v>0</v>
      </c>
      <c r="L45" s="1385">
        <v>3882193</v>
      </c>
      <c r="M45" s="2200">
        <v>0</v>
      </c>
      <c r="N45" s="1385">
        <v>1610747</v>
      </c>
      <c r="O45" s="1385">
        <f>289103-289103</f>
        <v>0</v>
      </c>
      <c r="P45" s="1385">
        <v>0</v>
      </c>
      <c r="Q45" s="1386">
        <v>0</v>
      </c>
      <c r="R45" s="1386">
        <v>0</v>
      </c>
      <c r="S45" s="1386">
        <v>0</v>
      </c>
      <c r="T45" s="1386">
        <v>0</v>
      </c>
      <c r="U45" s="1386">
        <v>0</v>
      </c>
      <c r="V45" s="1386">
        <v>0</v>
      </c>
      <c r="W45" s="1387">
        <v>0</v>
      </c>
      <c r="X45" s="1383">
        <f>SUM(Q45:W45)</f>
        <v>0</v>
      </c>
      <c r="Y45" s="3865"/>
    </row>
    <row r="46" spans="1:28" s="493" customFormat="1" ht="12.75" hidden="1" customHeight="1">
      <c r="A46" s="3850"/>
      <c r="B46" s="1238" t="s">
        <v>29</v>
      </c>
      <c r="C46" s="3862"/>
      <c r="D46" s="1351">
        <f>+D47</f>
        <v>0</v>
      </c>
      <c r="E46" s="1351">
        <f t="shared" ref="E46:X46" si="31">+E47</f>
        <v>0</v>
      </c>
      <c r="F46" s="1351">
        <f t="shared" si="31"/>
        <v>0</v>
      </c>
      <c r="G46" s="1351">
        <f t="shared" si="31"/>
        <v>0</v>
      </c>
      <c r="H46" s="1351">
        <f t="shared" si="31"/>
        <v>0</v>
      </c>
      <c r="I46" s="1351">
        <f t="shared" si="31"/>
        <v>15578755</v>
      </c>
      <c r="J46" s="1351">
        <f t="shared" si="31"/>
        <v>8198825</v>
      </c>
      <c r="K46" s="1351">
        <f t="shared" si="31"/>
        <v>0</v>
      </c>
      <c r="L46" s="1351">
        <v>0</v>
      </c>
      <c r="M46" s="1351">
        <f>+M47</f>
        <v>0</v>
      </c>
      <c r="N46" s="1351">
        <f t="shared" si="31"/>
        <v>13174200</v>
      </c>
      <c r="O46" s="1351">
        <f t="shared" si="31"/>
        <v>4534483</v>
      </c>
      <c r="P46" s="1351">
        <f t="shared" si="31"/>
        <v>0</v>
      </c>
      <c r="Q46" s="1426">
        <f t="shared" si="31"/>
        <v>0</v>
      </c>
      <c r="R46" s="1426">
        <f t="shared" si="31"/>
        <v>0</v>
      </c>
      <c r="S46" s="1426">
        <f t="shared" si="31"/>
        <v>0</v>
      </c>
      <c r="T46" s="1426">
        <f t="shared" si="31"/>
        <v>0</v>
      </c>
      <c r="U46" s="1426">
        <f t="shared" si="31"/>
        <v>0</v>
      </c>
      <c r="V46" s="1426">
        <f t="shared" si="31"/>
        <v>0</v>
      </c>
      <c r="W46" s="1427">
        <f t="shared" si="31"/>
        <v>0</v>
      </c>
      <c r="X46" s="1397" t="str">
        <f t="shared" si="31"/>
        <v>x</v>
      </c>
      <c r="Y46" s="3865"/>
    </row>
    <row r="47" spans="1:28" s="493" customFormat="1" ht="12" hidden="1" customHeight="1">
      <c r="A47" s="3850"/>
      <c r="B47" s="1356" t="s">
        <v>46</v>
      </c>
      <c r="C47" s="3862"/>
      <c r="D47" s="325">
        <v>0</v>
      </c>
      <c r="E47" s="1357">
        <f>+F47+G47+H47</f>
        <v>0</v>
      </c>
      <c r="F47" s="1357">
        <v>0</v>
      </c>
      <c r="G47" s="1357">
        <v>0</v>
      </c>
      <c r="H47" s="1357">
        <v>0</v>
      </c>
      <c r="I47" s="1344">
        <v>15578755</v>
      </c>
      <c r="J47" s="1344">
        <v>8198825</v>
      </c>
      <c r="K47" s="1357">
        <v>0</v>
      </c>
      <c r="L47" s="1357">
        <v>0</v>
      </c>
      <c r="M47" s="2200">
        <v>0</v>
      </c>
      <c r="N47" s="1344">
        <v>13174200</v>
      </c>
      <c r="O47" s="1344">
        <f>1944830+2589653</f>
        <v>4534483</v>
      </c>
      <c r="P47" s="1344">
        <v>0</v>
      </c>
      <c r="Q47" s="1424">
        <v>0</v>
      </c>
      <c r="R47" s="1424">
        <v>0</v>
      </c>
      <c r="S47" s="1424">
        <v>0</v>
      </c>
      <c r="T47" s="1424">
        <v>0</v>
      </c>
      <c r="U47" s="1424">
        <v>0</v>
      </c>
      <c r="V47" s="1424">
        <v>0</v>
      </c>
      <c r="W47" s="1424">
        <v>0</v>
      </c>
      <c r="X47" s="1318" t="s">
        <v>75</v>
      </c>
      <c r="Y47" s="3865"/>
    </row>
    <row r="48" spans="1:28" s="493" customFormat="1" ht="13.5" hidden="1" customHeight="1">
      <c r="A48" s="3850"/>
      <c r="B48" s="1049" t="s">
        <v>33</v>
      </c>
      <c r="C48" s="1358"/>
      <c r="D48" s="1333">
        <f>+D49+D51</f>
        <v>0</v>
      </c>
      <c r="E48" s="1333">
        <f t="shared" ref="E48:M48" si="32">+E51</f>
        <v>0</v>
      </c>
      <c r="F48" s="1333">
        <f t="shared" si="32"/>
        <v>0</v>
      </c>
      <c r="G48" s="1333">
        <f t="shared" si="32"/>
        <v>0</v>
      </c>
      <c r="H48" s="1333">
        <f t="shared" si="32"/>
        <v>0</v>
      </c>
      <c r="I48" s="1314">
        <f t="shared" si="32"/>
        <v>0</v>
      </c>
      <c r="J48" s="1314">
        <f t="shared" si="32"/>
        <v>0</v>
      </c>
      <c r="K48" s="1333">
        <f t="shared" si="32"/>
        <v>0</v>
      </c>
      <c r="L48" s="1333">
        <f t="shared" si="32"/>
        <v>0</v>
      </c>
      <c r="M48" s="1314">
        <f t="shared" si="32"/>
        <v>0</v>
      </c>
      <c r="N48" s="1314">
        <f t="shared" ref="N48:W48" si="33">+N49+N51</f>
        <v>0</v>
      </c>
      <c r="O48" s="1314">
        <f t="shared" si="33"/>
        <v>0</v>
      </c>
      <c r="P48" s="1314">
        <f t="shared" si="33"/>
        <v>0</v>
      </c>
      <c r="Q48" s="1464">
        <f t="shared" si="33"/>
        <v>0</v>
      </c>
      <c r="R48" s="1464">
        <f t="shared" si="33"/>
        <v>0</v>
      </c>
      <c r="S48" s="1464">
        <f t="shared" si="33"/>
        <v>0</v>
      </c>
      <c r="T48" s="1464">
        <f t="shared" si="33"/>
        <v>0</v>
      </c>
      <c r="U48" s="1464">
        <f t="shared" si="33"/>
        <v>0</v>
      </c>
      <c r="V48" s="1464">
        <f t="shared" si="33"/>
        <v>0</v>
      </c>
      <c r="W48" s="1464">
        <f t="shared" si="33"/>
        <v>0</v>
      </c>
      <c r="X48" s="3474"/>
      <c r="Y48" s="3865"/>
    </row>
    <row r="49" spans="1:29" s="493" customFormat="1" ht="13.5" hidden="1" customHeight="1">
      <c r="A49" s="3850"/>
      <c r="B49" s="1465" t="s">
        <v>35</v>
      </c>
      <c r="C49" s="3867" t="s">
        <v>99</v>
      </c>
      <c r="D49" s="1360">
        <f>+D50</f>
        <v>0</v>
      </c>
      <c r="E49" s="1360">
        <v>0</v>
      </c>
      <c r="F49" s="1360"/>
      <c r="G49" s="1360"/>
      <c r="H49" s="1360"/>
      <c r="I49" s="1360">
        <v>0</v>
      </c>
      <c r="J49" s="1360">
        <v>0</v>
      </c>
      <c r="K49" s="1360">
        <v>0</v>
      </c>
      <c r="L49" s="1360">
        <f>+L50</f>
        <v>0</v>
      </c>
      <c r="M49" s="1360">
        <f>+M50</f>
        <v>0</v>
      </c>
      <c r="N49" s="1360">
        <f>+N50</f>
        <v>0</v>
      </c>
      <c r="O49" s="1360">
        <f>+O50</f>
        <v>0</v>
      </c>
      <c r="P49" s="1360">
        <f t="shared" ref="P49:W49" si="34">+P50</f>
        <v>0</v>
      </c>
      <c r="Q49" s="1432">
        <f t="shared" si="34"/>
        <v>0</v>
      </c>
      <c r="R49" s="1432">
        <f t="shared" si="34"/>
        <v>0</v>
      </c>
      <c r="S49" s="1432">
        <f t="shared" si="34"/>
        <v>0</v>
      </c>
      <c r="T49" s="1432">
        <f t="shared" si="34"/>
        <v>0</v>
      </c>
      <c r="U49" s="1432">
        <f t="shared" si="34"/>
        <v>0</v>
      </c>
      <c r="V49" s="1432">
        <f t="shared" si="34"/>
        <v>0</v>
      </c>
      <c r="W49" s="1432">
        <f t="shared" si="34"/>
        <v>0</v>
      </c>
      <c r="X49" s="3474"/>
      <c r="Y49" s="3865"/>
    </row>
    <row r="50" spans="1:29" s="493" customFormat="1" ht="12.75" hidden="1" customHeight="1">
      <c r="A50" s="3850"/>
      <c r="B50" s="174" t="s">
        <v>92</v>
      </c>
      <c r="C50" s="3868"/>
      <c r="D50" s="325"/>
      <c r="E50" s="1344"/>
      <c r="F50" s="1344"/>
      <c r="G50" s="1344"/>
      <c r="H50" s="1344"/>
      <c r="I50" s="1344"/>
      <c r="J50" s="1344"/>
      <c r="K50" s="1344"/>
      <c r="L50" s="1344"/>
      <c r="M50" s="2200"/>
      <c r="N50" s="1344"/>
      <c r="O50" s="1344"/>
      <c r="P50" s="1344"/>
      <c r="Q50" s="1424"/>
      <c r="R50" s="1424">
        <v>0</v>
      </c>
      <c r="S50" s="1424">
        <v>0</v>
      </c>
      <c r="T50" s="1424">
        <v>0</v>
      </c>
      <c r="U50" s="1424">
        <v>0</v>
      </c>
      <c r="V50" s="1424">
        <v>0</v>
      </c>
      <c r="W50" s="1424">
        <v>0</v>
      </c>
      <c r="X50" s="3474"/>
      <c r="Y50" s="3865"/>
    </row>
    <row r="51" spans="1:29" s="493" customFormat="1" ht="12.75" hidden="1" customHeight="1">
      <c r="A51" s="3850"/>
      <c r="B51" s="1238" t="s">
        <v>29</v>
      </c>
      <c r="C51" s="1466"/>
      <c r="D51" s="1360">
        <f>+D52</f>
        <v>0</v>
      </c>
      <c r="E51" s="1360">
        <f t="shared" ref="E51:W51" si="35">+E52</f>
        <v>0</v>
      </c>
      <c r="F51" s="1360">
        <f t="shared" si="35"/>
        <v>0</v>
      </c>
      <c r="G51" s="1360">
        <f t="shared" si="35"/>
        <v>0</v>
      </c>
      <c r="H51" s="1360">
        <f t="shared" si="35"/>
        <v>0</v>
      </c>
      <c r="I51" s="1360">
        <f t="shared" si="35"/>
        <v>0</v>
      </c>
      <c r="J51" s="1360">
        <f t="shared" si="35"/>
        <v>0</v>
      </c>
      <c r="K51" s="1360">
        <f t="shared" si="35"/>
        <v>0</v>
      </c>
      <c r="L51" s="1360">
        <f t="shared" si="35"/>
        <v>0</v>
      </c>
      <c r="M51" s="1360">
        <f t="shared" si="35"/>
        <v>0</v>
      </c>
      <c r="N51" s="1360">
        <f t="shared" si="35"/>
        <v>0</v>
      </c>
      <c r="O51" s="1360">
        <f t="shared" si="35"/>
        <v>0</v>
      </c>
      <c r="P51" s="1360">
        <f t="shared" si="35"/>
        <v>0</v>
      </c>
      <c r="Q51" s="1432">
        <f t="shared" si="35"/>
        <v>0</v>
      </c>
      <c r="R51" s="1432">
        <f t="shared" si="35"/>
        <v>0</v>
      </c>
      <c r="S51" s="1432">
        <f t="shared" si="35"/>
        <v>0</v>
      </c>
      <c r="T51" s="1432">
        <f t="shared" si="35"/>
        <v>0</v>
      </c>
      <c r="U51" s="1432">
        <f t="shared" si="35"/>
        <v>0</v>
      </c>
      <c r="V51" s="1432">
        <f t="shared" si="35"/>
        <v>0</v>
      </c>
      <c r="W51" s="1432">
        <f t="shared" si="35"/>
        <v>0</v>
      </c>
      <c r="X51" s="3474"/>
      <c r="Y51" s="3865"/>
    </row>
    <row r="52" spans="1:29" s="493" customFormat="1" ht="13.5" hidden="1" customHeight="1" thickBot="1">
      <c r="A52" s="3851"/>
      <c r="B52" s="93" t="s">
        <v>46</v>
      </c>
      <c r="C52" s="1467" t="s">
        <v>34</v>
      </c>
      <c r="D52" s="325"/>
      <c r="E52" s="644"/>
      <c r="F52" s="644"/>
      <c r="G52" s="644"/>
      <c r="H52" s="644"/>
      <c r="I52" s="644"/>
      <c r="J52" s="644"/>
      <c r="K52" s="644"/>
      <c r="L52" s="644"/>
      <c r="M52" s="2200"/>
      <c r="N52" s="644"/>
      <c r="O52" s="644"/>
      <c r="P52" s="644"/>
      <c r="Q52" s="1436">
        <v>0</v>
      </c>
      <c r="R52" s="1436">
        <v>0</v>
      </c>
      <c r="S52" s="1436">
        <v>0</v>
      </c>
      <c r="T52" s="1436">
        <v>0</v>
      </c>
      <c r="U52" s="1436">
        <v>0</v>
      </c>
      <c r="V52" s="1436">
        <v>0</v>
      </c>
      <c r="W52" s="1436">
        <v>0</v>
      </c>
      <c r="X52" s="3475"/>
      <c r="Y52" s="3866"/>
    </row>
    <row r="53" spans="1:29" s="493" customFormat="1" ht="38.25" customHeight="1">
      <c r="A53" s="3857" t="s">
        <v>77</v>
      </c>
      <c r="B53" s="1405" t="s">
        <v>515</v>
      </c>
      <c r="C53" s="1325" t="s">
        <v>95</v>
      </c>
      <c r="D53" s="1406"/>
      <c r="E53" s="1050"/>
      <c r="F53" s="1050"/>
      <c r="G53" s="1050"/>
      <c r="H53" s="1050"/>
      <c r="I53" s="1050"/>
      <c r="J53" s="3479"/>
      <c r="K53" s="3479"/>
      <c r="L53" s="3479"/>
      <c r="M53" s="3479"/>
      <c r="N53" s="3479"/>
      <c r="O53" s="3479"/>
      <c r="P53" s="3479"/>
      <c r="Q53" s="3479"/>
      <c r="R53" s="3479"/>
      <c r="S53" s="3479"/>
      <c r="T53" s="3479"/>
      <c r="U53" s="1415"/>
      <c r="V53" s="3479"/>
      <c r="W53" s="1406"/>
      <c r="X53" s="1407"/>
      <c r="Y53" s="3863" t="s">
        <v>424</v>
      </c>
      <c r="AA53" s="3882"/>
      <c r="AB53" s="3882"/>
      <c r="AC53" s="3882"/>
    </row>
    <row r="54" spans="1:29" s="493" customFormat="1" ht="13.5" customHeight="1">
      <c r="A54" s="3897"/>
      <c r="B54" s="1049" t="s">
        <v>21</v>
      </c>
      <c r="C54" s="3092"/>
      <c r="D54" s="1333">
        <f>+D55+D60</f>
        <v>82078799</v>
      </c>
      <c r="E54" s="1333">
        <f t="shared" ref="E54:M54" si="36">+E55+E60</f>
        <v>0</v>
      </c>
      <c r="F54" s="1333">
        <f t="shared" si="36"/>
        <v>0</v>
      </c>
      <c r="G54" s="1333">
        <f t="shared" si="36"/>
        <v>0</v>
      </c>
      <c r="H54" s="1333">
        <f t="shared" si="36"/>
        <v>0</v>
      </c>
      <c r="I54" s="1333">
        <f t="shared" si="36"/>
        <v>1145001</v>
      </c>
      <c r="J54" s="1333">
        <f t="shared" si="36"/>
        <v>14985000</v>
      </c>
      <c r="K54" s="1333">
        <f t="shared" si="36"/>
        <v>9212462</v>
      </c>
      <c r="L54" s="1333">
        <f t="shared" si="36"/>
        <v>1262011</v>
      </c>
      <c r="M54" s="1333">
        <f t="shared" si="36"/>
        <v>62396069</v>
      </c>
      <c r="N54" s="1333">
        <f>+N55+N60</f>
        <v>14685461</v>
      </c>
      <c r="O54" s="1333">
        <f>+O55+O60</f>
        <v>21106134</v>
      </c>
      <c r="P54" s="1333">
        <f>+P55</f>
        <v>10191877</v>
      </c>
      <c r="Q54" s="1333">
        <f t="shared" ref="Q54:W54" si="37">+Q55</f>
        <v>9490853</v>
      </c>
      <c r="R54" s="1372">
        <f t="shared" si="37"/>
        <v>0</v>
      </c>
      <c r="S54" s="1372">
        <f t="shared" si="37"/>
        <v>0</v>
      </c>
      <c r="T54" s="1372">
        <f t="shared" si="37"/>
        <v>0</v>
      </c>
      <c r="U54" s="1372">
        <f t="shared" si="37"/>
        <v>0</v>
      </c>
      <c r="V54" s="1372">
        <f t="shared" si="37"/>
        <v>0</v>
      </c>
      <c r="W54" s="3093">
        <f t="shared" si="37"/>
        <v>0</v>
      </c>
      <c r="X54" s="1374">
        <f>+X55+X60</f>
        <v>2303997</v>
      </c>
      <c r="Y54" s="3864"/>
      <c r="Z54" s="500"/>
      <c r="AA54" s="3882"/>
      <c r="AB54" s="3882"/>
      <c r="AC54" s="3882"/>
    </row>
    <row r="55" spans="1:29" s="493" customFormat="1" ht="13.5" customHeight="1">
      <c r="A55" s="3897"/>
      <c r="B55" s="1409" t="s">
        <v>35</v>
      </c>
      <c r="C55" s="3861" t="s">
        <v>150</v>
      </c>
      <c r="D55" s="1339">
        <f>SUM(D56:D59)</f>
        <v>82078799</v>
      </c>
      <c r="E55" s="1339">
        <f t="shared" ref="E55:M55" si="38">+E56+E57+E58+E59</f>
        <v>0</v>
      </c>
      <c r="F55" s="1339">
        <f t="shared" si="38"/>
        <v>0</v>
      </c>
      <c r="G55" s="1339">
        <f t="shared" si="38"/>
        <v>0</v>
      </c>
      <c r="H55" s="1339">
        <f t="shared" si="38"/>
        <v>0</v>
      </c>
      <c r="I55" s="1339">
        <f t="shared" si="38"/>
        <v>1145001</v>
      </c>
      <c r="J55" s="1339">
        <f t="shared" si="38"/>
        <v>14985000</v>
      </c>
      <c r="K55" s="1339">
        <f t="shared" si="38"/>
        <v>9212462</v>
      </c>
      <c r="L55" s="1339">
        <f t="shared" si="38"/>
        <v>1262011</v>
      </c>
      <c r="M55" s="1339">
        <f t="shared" si="38"/>
        <v>62396069</v>
      </c>
      <c r="N55" s="1339">
        <f>SUM(N56:N59)</f>
        <v>14685461</v>
      </c>
      <c r="O55" s="1339">
        <f>SUM(O56:O59)</f>
        <v>21106134</v>
      </c>
      <c r="P55" s="1339">
        <f t="shared" ref="P55:W55" si="39">+P56+P57+P58+P59</f>
        <v>10191877</v>
      </c>
      <c r="Q55" s="1339">
        <f t="shared" si="39"/>
        <v>9490853</v>
      </c>
      <c r="R55" s="1376">
        <f t="shared" si="39"/>
        <v>0</v>
      </c>
      <c r="S55" s="1376">
        <f t="shared" si="39"/>
        <v>0</v>
      </c>
      <c r="T55" s="1376">
        <f t="shared" si="39"/>
        <v>0</v>
      </c>
      <c r="U55" s="1376">
        <f t="shared" si="39"/>
        <v>0</v>
      </c>
      <c r="V55" s="1376">
        <f t="shared" si="39"/>
        <v>0</v>
      </c>
      <c r="W55" s="3094">
        <f t="shared" si="39"/>
        <v>0</v>
      </c>
      <c r="X55" s="1378">
        <f>+X57+X58+X59</f>
        <v>2303997</v>
      </c>
      <c r="Y55" s="3864"/>
      <c r="AA55" s="3882"/>
      <c r="AB55" s="3882"/>
      <c r="AC55" s="3882"/>
    </row>
    <row r="56" spans="1:29" s="493" customFormat="1" ht="13.5" customHeight="1">
      <c r="A56" s="3897"/>
      <c r="B56" s="1411" t="s">
        <v>151</v>
      </c>
      <c r="C56" s="3862"/>
      <c r="D56" s="2234">
        <f>M56+P56+Q56+R56+S56+T56+U56+V56+W56</f>
        <v>21522863</v>
      </c>
      <c r="E56" s="1344">
        <v>0</v>
      </c>
      <c r="F56" s="1344">
        <v>0</v>
      </c>
      <c r="G56" s="1344">
        <v>0</v>
      </c>
      <c r="H56" s="1344">
        <v>0</v>
      </c>
      <c r="I56" s="1344">
        <v>572501</v>
      </c>
      <c r="J56" s="1344">
        <v>2315000</v>
      </c>
      <c r="K56" s="1344">
        <v>7</v>
      </c>
      <c r="L56" s="1344">
        <v>711805</v>
      </c>
      <c r="M56" s="3095">
        <f>+E56+I56+J56+K56+L56+N56+O56</f>
        <v>6003731</v>
      </c>
      <c r="N56" s="1344">
        <v>0</v>
      </c>
      <c r="O56" s="1344">
        <f>7810382-3610925-1795039</f>
        <v>2404418</v>
      </c>
      <c r="P56" s="1344">
        <f>16269659+3610925-1666500-9881808</f>
        <v>8332276</v>
      </c>
      <c r="Q56" s="1344">
        <v>7186856</v>
      </c>
      <c r="R56" s="1424">
        <v>0</v>
      </c>
      <c r="S56" s="1424">
        <v>0</v>
      </c>
      <c r="T56" s="1424">
        <v>0</v>
      </c>
      <c r="U56" s="1424">
        <v>0</v>
      </c>
      <c r="V56" s="1424">
        <v>0</v>
      </c>
      <c r="W56" s="3096">
        <v>0</v>
      </c>
      <c r="X56" s="1318" t="s">
        <v>75</v>
      </c>
      <c r="Y56" s="3865"/>
      <c r="AA56" s="3882"/>
      <c r="AB56" s="3882"/>
      <c r="AC56" s="3882"/>
    </row>
    <row r="57" spans="1:29" s="493" customFormat="1" ht="13.5" customHeight="1">
      <c r="A57" s="3897"/>
      <c r="B57" s="1463" t="s">
        <v>152</v>
      </c>
      <c r="C57" s="3862"/>
      <c r="D57" s="2234">
        <f>M57+P57+Q57+R57+S57+T57+U57+V57+W57</f>
        <v>24903655</v>
      </c>
      <c r="E57" s="1344">
        <f>+F57+G57+H57</f>
        <v>0</v>
      </c>
      <c r="F57" s="1344">
        <v>0</v>
      </c>
      <c r="G57" s="1344">
        <v>0</v>
      </c>
      <c r="H57" s="1344">
        <v>0</v>
      </c>
      <c r="I57" s="1344">
        <v>572500</v>
      </c>
      <c r="J57" s="1344">
        <v>2460000</v>
      </c>
      <c r="K57" s="1344">
        <v>5302500</v>
      </c>
      <c r="L57" s="1344">
        <v>27062</v>
      </c>
      <c r="M57" s="3095">
        <f>+E57+I57+J57+K57+L57+N57+O57</f>
        <v>23044054</v>
      </c>
      <c r="N57" s="1344">
        <v>7865875</v>
      </c>
      <c r="O57" s="1344">
        <f>7686142-870025</f>
        <v>6816117</v>
      </c>
      <c r="P57" s="1344">
        <f>193101+1666500</f>
        <v>1859601</v>
      </c>
      <c r="Q57" s="1424">
        <v>0</v>
      </c>
      <c r="R57" s="1424">
        <v>0</v>
      </c>
      <c r="S57" s="1424">
        <v>0</v>
      </c>
      <c r="T57" s="1424">
        <v>0</v>
      </c>
      <c r="U57" s="1424">
        <v>0</v>
      </c>
      <c r="V57" s="1424">
        <v>0</v>
      </c>
      <c r="W57" s="3096">
        <v>0</v>
      </c>
      <c r="X57" s="1383">
        <f>SUM(Q57:W57)</f>
        <v>0</v>
      </c>
      <c r="Y57" s="3865"/>
      <c r="AA57" s="3882"/>
      <c r="AB57" s="3882"/>
      <c r="AC57" s="3882"/>
    </row>
    <row r="58" spans="1:29" s="493" customFormat="1" ht="12" customHeight="1">
      <c r="A58" s="3897"/>
      <c r="B58" s="174" t="s">
        <v>24</v>
      </c>
      <c r="C58" s="3862"/>
      <c r="D58" s="2234">
        <f>M58+P58+Q58+R58+S58+T58+U58+V58+W58</f>
        <v>29452281</v>
      </c>
      <c r="E58" s="1357">
        <v>0</v>
      </c>
      <c r="F58" s="1357"/>
      <c r="G58" s="1357"/>
      <c r="H58" s="1357"/>
      <c r="I58" s="1357">
        <v>0</v>
      </c>
      <c r="J58" s="1357">
        <f>6920000+1145000</f>
        <v>8065000</v>
      </c>
      <c r="K58" s="1357">
        <v>1854955</v>
      </c>
      <c r="L58" s="1357">
        <v>0</v>
      </c>
      <c r="M58" s="3095">
        <f>+E58+I58+J58+K58+L58+N58+O58</f>
        <v>27148284</v>
      </c>
      <c r="N58" s="1357">
        <v>5342730</v>
      </c>
      <c r="O58" s="1357">
        <v>11885599</v>
      </c>
      <c r="P58" s="1357">
        <f>5303716-5303716</f>
        <v>0</v>
      </c>
      <c r="Q58" s="1344">
        <v>2303997</v>
      </c>
      <c r="R58" s="1428">
        <v>0</v>
      </c>
      <c r="S58" s="1428">
        <v>0</v>
      </c>
      <c r="T58" s="1428">
        <v>0</v>
      </c>
      <c r="U58" s="1428">
        <v>0</v>
      </c>
      <c r="V58" s="1428">
        <v>0</v>
      </c>
      <c r="W58" s="1429">
        <v>0</v>
      </c>
      <c r="X58" s="1383">
        <f>SUM(Q58:W58)</f>
        <v>2303997</v>
      </c>
      <c r="Y58" s="3865"/>
      <c r="AA58" s="3882"/>
      <c r="AB58" s="3882"/>
      <c r="AC58" s="3882"/>
    </row>
    <row r="59" spans="1:29" s="493" customFormat="1" ht="13.5" customHeight="1">
      <c r="A59" s="3897"/>
      <c r="B59" s="174" t="s">
        <v>148</v>
      </c>
      <c r="C59" s="3862"/>
      <c r="D59" s="2234">
        <f>M59+P59+Q59+R59+S59+T59+U59+V59+W59</f>
        <v>6200000</v>
      </c>
      <c r="E59" s="1357">
        <v>0</v>
      </c>
      <c r="F59" s="1357"/>
      <c r="G59" s="1357"/>
      <c r="H59" s="1357"/>
      <c r="I59" s="1357">
        <v>0</v>
      </c>
      <c r="J59" s="1357">
        <v>2145000</v>
      </c>
      <c r="K59" s="1357">
        <v>2055000</v>
      </c>
      <c r="L59" s="1357">
        <v>523144</v>
      </c>
      <c r="M59" s="3095">
        <f>+E59+I59+J59+K59+L59+N59+O59</f>
        <v>6200000</v>
      </c>
      <c r="N59" s="1357">
        <f>3476856-2000000</f>
        <v>1476856</v>
      </c>
      <c r="O59" s="1357">
        <v>0</v>
      </c>
      <c r="P59" s="1357">
        <v>0</v>
      </c>
      <c r="Q59" s="1428">
        <v>0</v>
      </c>
      <c r="R59" s="1428">
        <v>0</v>
      </c>
      <c r="S59" s="1428">
        <v>0</v>
      </c>
      <c r="T59" s="1428">
        <v>0</v>
      </c>
      <c r="U59" s="1428">
        <v>0</v>
      </c>
      <c r="V59" s="1428">
        <v>0</v>
      </c>
      <c r="W59" s="1429">
        <v>0</v>
      </c>
      <c r="X59" s="1383">
        <f>SUM(Q59:W59)</f>
        <v>0</v>
      </c>
      <c r="Y59" s="3865"/>
      <c r="AA59" s="3882"/>
      <c r="AB59" s="3882"/>
      <c r="AC59" s="3882"/>
    </row>
    <row r="60" spans="1:29" s="493" customFormat="1" ht="18.75" hidden="1" customHeight="1">
      <c r="A60" s="3897"/>
      <c r="B60" s="3483" t="s">
        <v>29</v>
      </c>
      <c r="C60" s="3883"/>
      <c r="D60" s="3097">
        <f>+D61</f>
        <v>0</v>
      </c>
      <c r="E60" s="3097">
        <f t="shared" ref="E60:N60" si="40">+E61</f>
        <v>0</v>
      </c>
      <c r="F60" s="3097">
        <f t="shared" si="40"/>
        <v>0</v>
      </c>
      <c r="G60" s="3097">
        <f t="shared" si="40"/>
        <v>0</v>
      </c>
      <c r="H60" s="3097">
        <f t="shared" si="40"/>
        <v>0</v>
      </c>
      <c r="I60" s="3097">
        <f t="shared" si="40"/>
        <v>0</v>
      </c>
      <c r="J60" s="3097">
        <f t="shared" si="40"/>
        <v>0</v>
      </c>
      <c r="K60" s="3097">
        <f t="shared" si="40"/>
        <v>0</v>
      </c>
      <c r="L60" s="3097">
        <f t="shared" si="40"/>
        <v>0</v>
      </c>
      <c r="M60" s="3097"/>
      <c r="N60" s="3097">
        <f t="shared" si="40"/>
        <v>0</v>
      </c>
      <c r="O60" s="3097"/>
      <c r="P60" s="3097"/>
      <c r="Q60" s="3098"/>
      <c r="R60" s="3098"/>
      <c r="S60" s="3098"/>
      <c r="T60" s="3099"/>
      <c r="U60" s="3099"/>
      <c r="V60" s="3100"/>
      <c r="W60" s="3099"/>
      <c r="X60" s="1347"/>
      <c r="Y60" s="3865"/>
      <c r="AA60" s="3882"/>
      <c r="AB60" s="3882"/>
      <c r="AC60" s="3882"/>
    </row>
    <row r="61" spans="1:29" s="493" customFormat="1" ht="16.5" hidden="1" customHeight="1">
      <c r="A61" s="3897"/>
      <c r="B61" s="3097" t="s">
        <v>46</v>
      </c>
      <c r="C61" s="1431"/>
      <c r="D61" s="3097">
        <v>0</v>
      </c>
      <c r="E61" s="3097">
        <f>+F61+G61+H61</f>
        <v>0</v>
      </c>
      <c r="F61" s="3097">
        <v>0</v>
      </c>
      <c r="G61" s="3097">
        <v>0</v>
      </c>
      <c r="H61" s="3097">
        <v>0</v>
      </c>
      <c r="I61" s="3097">
        <v>0</v>
      </c>
      <c r="J61" s="3097">
        <v>0</v>
      </c>
      <c r="K61" s="3097">
        <v>0</v>
      </c>
      <c r="L61" s="3097">
        <v>0</v>
      </c>
      <c r="M61" s="3097"/>
      <c r="N61" s="3097">
        <v>0</v>
      </c>
      <c r="O61" s="3097"/>
      <c r="P61" s="3097"/>
      <c r="Q61" s="3098"/>
      <c r="R61" s="3098"/>
      <c r="S61" s="3098"/>
      <c r="T61" s="3098"/>
      <c r="U61" s="3099"/>
      <c r="V61" s="3100"/>
      <c r="W61" s="3098"/>
      <c r="X61" s="3101"/>
      <c r="Y61" s="3865"/>
      <c r="AA61" s="3882"/>
      <c r="AB61" s="3882"/>
      <c r="AC61" s="3882"/>
    </row>
    <row r="62" spans="1:29" s="493" customFormat="1" ht="13.5" customHeight="1">
      <c r="A62" s="3897"/>
      <c r="B62" s="1049" t="s">
        <v>33</v>
      </c>
      <c r="C62" s="3092"/>
      <c r="D62" s="1333">
        <f>D64+D65</f>
        <v>35652281</v>
      </c>
      <c r="E62" s="1333">
        <f t="shared" ref="E62:O62" si="41">E64+E65</f>
        <v>0</v>
      </c>
      <c r="F62" s="1333">
        <f t="shared" si="41"/>
        <v>0</v>
      </c>
      <c r="G62" s="1333">
        <f t="shared" si="41"/>
        <v>0</v>
      </c>
      <c r="H62" s="1333">
        <f t="shared" si="41"/>
        <v>0</v>
      </c>
      <c r="I62" s="1333">
        <f t="shared" si="41"/>
        <v>0</v>
      </c>
      <c r="J62" s="1333">
        <f t="shared" si="41"/>
        <v>10210000</v>
      </c>
      <c r="K62" s="1333">
        <f t="shared" si="41"/>
        <v>3909955</v>
      </c>
      <c r="L62" s="1333">
        <f t="shared" si="41"/>
        <v>523144</v>
      </c>
      <c r="M62" s="1333">
        <f t="shared" si="41"/>
        <v>33348284</v>
      </c>
      <c r="N62" s="1333">
        <f t="shared" si="41"/>
        <v>6819586</v>
      </c>
      <c r="O62" s="1333">
        <f t="shared" si="41"/>
        <v>11885599</v>
      </c>
      <c r="P62" s="1372">
        <f>+P63</f>
        <v>0</v>
      </c>
      <c r="Q62" s="1333">
        <f t="shared" ref="Q62:W62" si="42">+Q63</f>
        <v>2303997</v>
      </c>
      <c r="R62" s="1372">
        <f t="shared" si="42"/>
        <v>0</v>
      </c>
      <c r="S62" s="1372">
        <f t="shared" si="42"/>
        <v>0</v>
      </c>
      <c r="T62" s="1372">
        <f t="shared" si="42"/>
        <v>0</v>
      </c>
      <c r="U62" s="1372">
        <f t="shared" si="42"/>
        <v>0</v>
      </c>
      <c r="V62" s="1372">
        <f t="shared" si="42"/>
        <v>0</v>
      </c>
      <c r="W62" s="3093">
        <f t="shared" si="42"/>
        <v>0</v>
      </c>
      <c r="X62" s="3894" t="s">
        <v>75</v>
      </c>
      <c r="Y62" s="3865"/>
      <c r="AA62" s="3882"/>
      <c r="AB62" s="3882"/>
      <c r="AC62" s="3882"/>
    </row>
    <row r="63" spans="1:29" s="493" customFormat="1" ht="13.5" customHeight="1">
      <c r="A63" s="3897"/>
      <c r="B63" s="1465" t="s">
        <v>35</v>
      </c>
      <c r="C63" s="3884" t="s">
        <v>150</v>
      </c>
      <c r="D63" s="1339">
        <f>+D64+D65</f>
        <v>35652281</v>
      </c>
      <c r="E63" s="1339">
        <f t="shared" ref="E63:O63" si="43">+E64+E65</f>
        <v>0</v>
      </c>
      <c r="F63" s="1339">
        <f t="shared" si="43"/>
        <v>0</v>
      </c>
      <c r="G63" s="1339">
        <f t="shared" si="43"/>
        <v>0</v>
      </c>
      <c r="H63" s="1339">
        <f t="shared" si="43"/>
        <v>0</v>
      </c>
      <c r="I63" s="1339">
        <f t="shared" si="43"/>
        <v>0</v>
      </c>
      <c r="J63" s="1339">
        <f t="shared" si="43"/>
        <v>10210000</v>
      </c>
      <c r="K63" s="1339">
        <f t="shared" si="43"/>
        <v>3909955</v>
      </c>
      <c r="L63" s="1339">
        <f t="shared" si="43"/>
        <v>523144</v>
      </c>
      <c r="M63" s="1339">
        <f t="shared" si="43"/>
        <v>33348284</v>
      </c>
      <c r="N63" s="1339">
        <f t="shared" si="43"/>
        <v>6819586</v>
      </c>
      <c r="O63" s="1339">
        <f t="shared" si="43"/>
        <v>11885599</v>
      </c>
      <c r="P63" s="1376">
        <f t="shared" ref="P63:W63" si="44">+P64+P65</f>
        <v>0</v>
      </c>
      <c r="Q63" s="1339">
        <f t="shared" si="44"/>
        <v>2303997</v>
      </c>
      <c r="R63" s="1376">
        <f t="shared" si="44"/>
        <v>0</v>
      </c>
      <c r="S63" s="1376">
        <f t="shared" si="44"/>
        <v>0</v>
      </c>
      <c r="T63" s="1376">
        <f t="shared" si="44"/>
        <v>0</v>
      </c>
      <c r="U63" s="1376">
        <f t="shared" si="44"/>
        <v>0</v>
      </c>
      <c r="V63" s="1376">
        <f t="shared" si="44"/>
        <v>0</v>
      </c>
      <c r="W63" s="3094">
        <f t="shared" si="44"/>
        <v>0</v>
      </c>
      <c r="X63" s="3895"/>
      <c r="Y63" s="3865"/>
      <c r="AA63" s="3882"/>
      <c r="AB63" s="3882"/>
      <c r="AC63" s="3882"/>
    </row>
    <row r="64" spans="1:29" s="493" customFormat="1" ht="13.5" customHeight="1">
      <c r="A64" s="3897"/>
      <c r="B64" s="174" t="s">
        <v>24</v>
      </c>
      <c r="C64" s="3885"/>
      <c r="D64" s="2234">
        <f>M64+P64+Q64+R64+S64+T64+U64+V64+W64</f>
        <v>29452281</v>
      </c>
      <c r="E64" s="1357">
        <v>0</v>
      </c>
      <c r="F64" s="1357"/>
      <c r="G64" s="1357"/>
      <c r="H64" s="1357"/>
      <c r="I64" s="1357">
        <v>0</v>
      </c>
      <c r="J64" s="1357">
        <f>6920000+1145000</f>
        <v>8065000</v>
      </c>
      <c r="K64" s="1357">
        <v>1854955</v>
      </c>
      <c r="L64" s="1357">
        <v>0</v>
      </c>
      <c r="M64" s="3095">
        <f>+E64+I64+J64+K64+L64+N64+O64</f>
        <v>27148284</v>
      </c>
      <c r="N64" s="1357">
        <f>9342730-4000000</f>
        <v>5342730</v>
      </c>
      <c r="O64" s="1357">
        <f>7885599+4000000</f>
        <v>11885599</v>
      </c>
      <c r="P64" s="1428">
        <f>5303716-5303716</f>
        <v>0</v>
      </c>
      <c r="Q64" s="3095">
        <v>2303997</v>
      </c>
      <c r="R64" s="1428">
        <v>0</v>
      </c>
      <c r="S64" s="1428">
        <v>0</v>
      </c>
      <c r="T64" s="1428">
        <v>0</v>
      </c>
      <c r="U64" s="1428">
        <v>0</v>
      </c>
      <c r="V64" s="1428">
        <v>0</v>
      </c>
      <c r="W64" s="1429">
        <v>0</v>
      </c>
      <c r="X64" s="3895"/>
      <c r="Y64" s="3865"/>
    </row>
    <row r="65" spans="1:29" s="493" customFormat="1" ht="11.25" customHeight="1" thickBot="1">
      <c r="A65" s="3898"/>
      <c r="B65" s="407" t="s">
        <v>148</v>
      </c>
      <c r="C65" s="3886"/>
      <c r="D65" s="2234">
        <f>M65+P65+Q65+R65+S65+T65+U65+V65+W65</f>
        <v>6200000</v>
      </c>
      <c r="E65" s="1126">
        <v>0</v>
      </c>
      <c r="F65" s="1126"/>
      <c r="G65" s="1126"/>
      <c r="H65" s="1126"/>
      <c r="I65" s="1126">
        <v>0</v>
      </c>
      <c r="J65" s="1126">
        <v>2145000</v>
      </c>
      <c r="K65" s="1126">
        <v>2055000</v>
      </c>
      <c r="L65" s="1126">
        <v>523144</v>
      </c>
      <c r="M65" s="2219">
        <f>+E65+I65+J65+K65+L65+N65+O65</f>
        <v>6200000</v>
      </c>
      <c r="N65" s="1126">
        <f>3476856-2000000</f>
        <v>1476856</v>
      </c>
      <c r="O65" s="1126">
        <v>0</v>
      </c>
      <c r="P65" s="1412">
        <v>0</v>
      </c>
      <c r="Q65" s="1412">
        <v>0</v>
      </c>
      <c r="R65" s="1412">
        <v>0</v>
      </c>
      <c r="S65" s="1412">
        <v>0</v>
      </c>
      <c r="T65" s="1412">
        <v>0</v>
      </c>
      <c r="U65" s="1412">
        <v>0</v>
      </c>
      <c r="V65" s="1412">
        <v>0</v>
      </c>
      <c r="W65" s="1413">
        <v>0</v>
      </c>
      <c r="X65" s="3896"/>
      <c r="Y65" s="3866"/>
    </row>
    <row r="66" spans="1:29" s="493" customFormat="1" ht="35.25" hidden="1" customHeight="1">
      <c r="A66" s="3858" t="s">
        <v>78</v>
      </c>
      <c r="B66" s="3102"/>
      <c r="C66" s="1367" t="s">
        <v>95</v>
      </c>
      <c r="D66" s="1368"/>
      <c r="E66" s="642"/>
      <c r="F66" s="642"/>
      <c r="G66" s="642"/>
      <c r="H66" s="642"/>
      <c r="I66" s="642"/>
      <c r="J66" s="1369"/>
      <c r="K66" s="1369"/>
      <c r="L66" s="1369"/>
      <c r="M66" s="1369"/>
      <c r="N66" s="1369"/>
      <c r="O66" s="1369"/>
      <c r="P66" s="1369"/>
      <c r="Q66" s="1369"/>
      <c r="R66" s="1369"/>
      <c r="S66" s="1369"/>
      <c r="T66" s="1369"/>
      <c r="U66" s="1370"/>
      <c r="V66" s="1369"/>
      <c r="W66" s="1368"/>
      <c r="X66" s="1371"/>
      <c r="Y66" s="3888" t="s">
        <v>425</v>
      </c>
      <c r="AA66" s="3882"/>
      <c r="AB66" s="3882"/>
      <c r="AC66" s="3882"/>
    </row>
    <row r="67" spans="1:29" s="493" customFormat="1" ht="13.5" hidden="1" customHeight="1">
      <c r="A67" s="3887"/>
      <c r="B67" s="1331" t="s">
        <v>21</v>
      </c>
      <c r="C67" s="1358"/>
      <c r="D67" s="1333">
        <f>+D68+D71</f>
        <v>0</v>
      </c>
      <c r="E67" s="1333">
        <f t="shared" ref="E67:M67" si="45">+E68+E71</f>
        <v>0</v>
      </c>
      <c r="F67" s="1333">
        <f t="shared" si="45"/>
        <v>0</v>
      </c>
      <c r="G67" s="1333">
        <f t="shared" si="45"/>
        <v>0</v>
      </c>
      <c r="H67" s="1333">
        <f t="shared" si="45"/>
        <v>0</v>
      </c>
      <c r="I67" s="1333">
        <f t="shared" si="45"/>
        <v>0</v>
      </c>
      <c r="J67" s="1333">
        <f t="shared" si="45"/>
        <v>0</v>
      </c>
      <c r="K67" s="1333">
        <f t="shared" si="45"/>
        <v>0</v>
      </c>
      <c r="L67" s="1333">
        <f t="shared" si="45"/>
        <v>0</v>
      </c>
      <c r="M67" s="1333">
        <f t="shared" si="45"/>
        <v>0</v>
      </c>
      <c r="N67" s="1333">
        <f t="shared" ref="N67:W67" si="46">+N68+N71</f>
        <v>9328248</v>
      </c>
      <c r="O67" s="1333">
        <f t="shared" si="46"/>
        <v>4007995</v>
      </c>
      <c r="P67" s="1333">
        <f t="shared" si="46"/>
        <v>0</v>
      </c>
      <c r="Q67" s="1372">
        <f t="shared" si="46"/>
        <v>0</v>
      </c>
      <c r="R67" s="1372">
        <f t="shared" si="46"/>
        <v>0</v>
      </c>
      <c r="S67" s="1372">
        <f t="shared" si="46"/>
        <v>0</v>
      </c>
      <c r="T67" s="1372">
        <f t="shared" si="46"/>
        <v>0</v>
      </c>
      <c r="U67" s="1372">
        <f t="shared" si="46"/>
        <v>0</v>
      </c>
      <c r="V67" s="1372">
        <f t="shared" si="46"/>
        <v>0</v>
      </c>
      <c r="W67" s="1373">
        <f t="shared" si="46"/>
        <v>0</v>
      </c>
      <c r="X67" s="1374">
        <f>+X68</f>
        <v>0</v>
      </c>
      <c r="Y67" s="3888"/>
      <c r="AA67" s="3882"/>
      <c r="AB67" s="3882"/>
      <c r="AC67" s="3882"/>
    </row>
    <row r="68" spans="1:29" s="493" customFormat="1" ht="13.5" hidden="1" customHeight="1">
      <c r="A68" s="3887"/>
      <c r="B68" s="1375" t="s">
        <v>35</v>
      </c>
      <c r="C68" s="3861" t="s">
        <v>150</v>
      </c>
      <c r="D68" s="1339">
        <f>+D69+D70</f>
        <v>0</v>
      </c>
      <c r="E68" s="1339">
        <f t="shared" ref="E68:M68" si="47">+E69+E70</f>
        <v>0</v>
      </c>
      <c r="F68" s="1339">
        <f t="shared" si="47"/>
        <v>0</v>
      </c>
      <c r="G68" s="1339">
        <f t="shared" si="47"/>
        <v>0</v>
      </c>
      <c r="H68" s="1339">
        <f t="shared" si="47"/>
        <v>0</v>
      </c>
      <c r="I68" s="1339">
        <f t="shared" si="47"/>
        <v>0</v>
      </c>
      <c r="J68" s="1339">
        <f t="shared" si="47"/>
        <v>0</v>
      </c>
      <c r="K68" s="1339">
        <f t="shared" si="47"/>
        <v>0</v>
      </c>
      <c r="L68" s="1339">
        <f t="shared" si="47"/>
        <v>0</v>
      </c>
      <c r="M68" s="1339">
        <f t="shared" si="47"/>
        <v>0</v>
      </c>
      <c r="N68" s="1339">
        <f t="shared" ref="N68:X68" si="48">+N69+N70</f>
        <v>5198640</v>
      </c>
      <c r="O68" s="1339">
        <f t="shared" si="48"/>
        <v>3201462</v>
      </c>
      <c r="P68" s="1339">
        <f t="shared" si="48"/>
        <v>0</v>
      </c>
      <c r="Q68" s="1376">
        <f t="shared" si="48"/>
        <v>0</v>
      </c>
      <c r="R68" s="1376">
        <f t="shared" si="48"/>
        <v>0</v>
      </c>
      <c r="S68" s="1376">
        <f t="shared" si="48"/>
        <v>0</v>
      </c>
      <c r="T68" s="1376">
        <f t="shared" si="48"/>
        <v>0</v>
      </c>
      <c r="U68" s="1376">
        <f t="shared" si="48"/>
        <v>0</v>
      </c>
      <c r="V68" s="1376">
        <f t="shared" si="48"/>
        <v>0</v>
      </c>
      <c r="W68" s="1377">
        <f t="shared" si="48"/>
        <v>0</v>
      </c>
      <c r="X68" s="1378">
        <f t="shared" si="48"/>
        <v>0</v>
      </c>
      <c r="Y68" s="3888"/>
      <c r="AA68" s="3882"/>
      <c r="AB68" s="3882"/>
      <c r="AC68" s="3882"/>
    </row>
    <row r="69" spans="1:29" s="493" customFormat="1" ht="13.5" hidden="1" customHeight="1">
      <c r="A69" s="3887"/>
      <c r="B69" s="1379" t="s">
        <v>152</v>
      </c>
      <c r="C69" s="3890"/>
      <c r="D69" s="325">
        <f t="shared" ref="D69:D70" si="49">M69+P69+Q69+R69+S69+T69+U69+V69+W69</f>
        <v>0</v>
      </c>
      <c r="E69" s="1380"/>
      <c r="F69" s="1380"/>
      <c r="G69" s="1380"/>
      <c r="H69" s="1380"/>
      <c r="I69" s="1380"/>
      <c r="J69" s="1380"/>
      <c r="K69" s="1380"/>
      <c r="L69" s="1380"/>
      <c r="M69" s="2200"/>
      <c r="N69" s="1380">
        <f>2054207</f>
        <v>2054207</v>
      </c>
      <c r="O69" s="1380">
        <v>1409752</v>
      </c>
      <c r="P69" s="1380">
        <v>0</v>
      </c>
      <c r="Q69" s="1381">
        <v>0</v>
      </c>
      <c r="R69" s="1381">
        <v>0</v>
      </c>
      <c r="S69" s="1381">
        <v>0</v>
      </c>
      <c r="T69" s="1381">
        <v>0</v>
      </c>
      <c r="U69" s="1381">
        <v>0</v>
      </c>
      <c r="V69" s="1381">
        <v>0</v>
      </c>
      <c r="W69" s="1382">
        <v>0</v>
      </c>
      <c r="X69" s="1383">
        <f>SUM(Q69:W69)</f>
        <v>0</v>
      </c>
      <c r="Y69" s="3888"/>
      <c r="AA69" s="3882"/>
      <c r="AB69" s="3882"/>
      <c r="AC69" s="3882"/>
    </row>
    <row r="70" spans="1:29" s="493" customFormat="1" ht="13.5" hidden="1" customHeight="1">
      <c r="A70" s="3887"/>
      <c r="B70" s="1384" t="s">
        <v>24</v>
      </c>
      <c r="C70" s="3891"/>
      <c r="D70" s="2192">
        <f t="shared" si="49"/>
        <v>0</v>
      </c>
      <c r="E70" s="1385"/>
      <c r="F70" s="1385"/>
      <c r="G70" s="1385"/>
      <c r="H70" s="1385"/>
      <c r="I70" s="1385"/>
      <c r="J70" s="1385"/>
      <c r="K70" s="1385"/>
      <c r="L70" s="1385"/>
      <c r="M70" s="2200"/>
      <c r="N70" s="1385">
        <f>4717663-1573230</f>
        <v>3144433</v>
      </c>
      <c r="O70" s="1385">
        <f>478276+1573230-259796</f>
        <v>1791710</v>
      </c>
      <c r="P70" s="1385"/>
      <c r="Q70" s="1386">
        <v>0</v>
      </c>
      <c r="R70" s="1386">
        <v>0</v>
      </c>
      <c r="S70" s="1386">
        <v>0</v>
      </c>
      <c r="T70" s="1386">
        <v>0</v>
      </c>
      <c r="U70" s="1386">
        <v>0</v>
      </c>
      <c r="V70" s="1386">
        <v>0</v>
      </c>
      <c r="W70" s="1387">
        <v>0</v>
      </c>
      <c r="X70" s="1383">
        <f>SUM(Q70:W70)</f>
        <v>0</v>
      </c>
      <c r="Y70" s="3888"/>
      <c r="AA70" s="3882"/>
      <c r="AB70" s="3882"/>
      <c r="AC70" s="3882"/>
    </row>
    <row r="71" spans="1:29" s="493" customFormat="1" ht="13.5" hidden="1" customHeight="1">
      <c r="A71" s="3887"/>
      <c r="B71" s="1388" t="s">
        <v>29</v>
      </c>
      <c r="C71" s="3892" t="s">
        <v>34</v>
      </c>
      <c r="D71" s="1389">
        <f>+D72</f>
        <v>0</v>
      </c>
      <c r="E71" s="1389">
        <f t="shared" ref="E71:M71" si="50">+E72</f>
        <v>0</v>
      </c>
      <c r="F71" s="1389">
        <f t="shared" si="50"/>
        <v>0</v>
      </c>
      <c r="G71" s="1389">
        <f t="shared" si="50"/>
        <v>0</v>
      </c>
      <c r="H71" s="1389">
        <f t="shared" si="50"/>
        <v>0</v>
      </c>
      <c r="I71" s="1389">
        <f t="shared" si="50"/>
        <v>0</v>
      </c>
      <c r="J71" s="1389">
        <f t="shared" si="50"/>
        <v>0</v>
      </c>
      <c r="K71" s="1389">
        <f t="shared" si="50"/>
        <v>0</v>
      </c>
      <c r="L71" s="1389">
        <f t="shared" si="50"/>
        <v>0</v>
      </c>
      <c r="M71" s="1389">
        <f t="shared" si="50"/>
        <v>0</v>
      </c>
      <c r="N71" s="1389">
        <f>+N72</f>
        <v>4129608</v>
      </c>
      <c r="O71" s="1389">
        <f>+O72</f>
        <v>806533</v>
      </c>
      <c r="P71" s="1389">
        <f t="shared" ref="P71:W71" si="51">+P72</f>
        <v>0</v>
      </c>
      <c r="Q71" s="1390">
        <f t="shared" si="51"/>
        <v>0</v>
      </c>
      <c r="R71" s="1390">
        <f t="shared" si="51"/>
        <v>0</v>
      </c>
      <c r="S71" s="1390">
        <f t="shared" si="51"/>
        <v>0</v>
      </c>
      <c r="T71" s="1390">
        <f t="shared" si="51"/>
        <v>0</v>
      </c>
      <c r="U71" s="1390">
        <f t="shared" si="51"/>
        <v>0</v>
      </c>
      <c r="V71" s="1391">
        <f t="shared" si="51"/>
        <v>0</v>
      </c>
      <c r="W71" s="1390">
        <f t="shared" si="51"/>
        <v>0</v>
      </c>
      <c r="X71" s="1318" t="s">
        <v>75</v>
      </c>
      <c r="Y71" s="3888"/>
      <c r="AA71" s="3882"/>
      <c r="AB71" s="3882"/>
      <c r="AC71" s="3882"/>
    </row>
    <row r="72" spans="1:29" s="493" customFormat="1" ht="13.5" hidden="1" customHeight="1">
      <c r="A72" s="3887"/>
      <c r="B72" s="1392" t="s">
        <v>46</v>
      </c>
      <c r="C72" s="3883"/>
      <c r="D72" s="325"/>
      <c r="E72" s="1393"/>
      <c r="F72" s="1394"/>
      <c r="G72" s="1394"/>
      <c r="H72" s="1394"/>
      <c r="I72" s="1394"/>
      <c r="J72" s="1394"/>
      <c r="K72" s="1394"/>
      <c r="L72" s="1394"/>
      <c r="M72" s="2200"/>
      <c r="N72" s="1385">
        <f>4717663-588055</f>
        <v>4129608</v>
      </c>
      <c r="O72" s="1385">
        <f>478276+588055-259798</f>
        <v>806533</v>
      </c>
      <c r="P72" s="1385"/>
      <c r="Q72" s="1395">
        <v>0</v>
      </c>
      <c r="R72" s="1395">
        <v>0</v>
      </c>
      <c r="S72" s="1395">
        <v>0</v>
      </c>
      <c r="T72" s="1395">
        <v>0</v>
      </c>
      <c r="U72" s="1395">
        <v>0</v>
      </c>
      <c r="V72" s="1395">
        <v>0</v>
      </c>
      <c r="W72" s="1396">
        <v>0</v>
      </c>
      <c r="X72" s="1397" t="s">
        <v>75</v>
      </c>
      <c r="Y72" s="3888"/>
      <c r="AA72" s="3882"/>
      <c r="AB72" s="3882"/>
      <c r="AC72" s="3882"/>
    </row>
    <row r="73" spans="1:29" s="493" customFormat="1" ht="13.5" hidden="1" customHeight="1">
      <c r="A73" s="3887"/>
      <c r="B73" s="1331" t="s">
        <v>33</v>
      </c>
      <c r="C73" s="1398"/>
      <c r="D73" s="1333">
        <f>+D74+D76</f>
        <v>0</v>
      </c>
      <c r="E73" s="1333">
        <f t="shared" ref="E73:L73" si="52">E75+E77</f>
        <v>0</v>
      </c>
      <c r="F73" s="1333">
        <f t="shared" si="52"/>
        <v>0</v>
      </c>
      <c r="G73" s="1333">
        <f t="shared" si="52"/>
        <v>0</v>
      </c>
      <c r="H73" s="1333">
        <f t="shared" si="52"/>
        <v>0</v>
      </c>
      <c r="I73" s="1333">
        <f t="shared" si="52"/>
        <v>0</v>
      </c>
      <c r="J73" s="1333">
        <f t="shared" si="52"/>
        <v>0</v>
      </c>
      <c r="K73" s="1333">
        <f t="shared" si="52"/>
        <v>0</v>
      </c>
      <c r="L73" s="1333">
        <f t="shared" si="52"/>
        <v>0</v>
      </c>
      <c r="M73" s="1333">
        <f>+M74+M76</f>
        <v>0</v>
      </c>
      <c r="N73" s="1333">
        <f>N75+N77</f>
        <v>7274041</v>
      </c>
      <c r="O73" s="1333">
        <f>+O74+O76</f>
        <v>2598243</v>
      </c>
      <c r="P73" s="1333">
        <f>+P74+P76</f>
        <v>0</v>
      </c>
      <c r="Q73" s="1372">
        <f t="shared" ref="Q73:W73" si="53">Q75+Q77</f>
        <v>0</v>
      </c>
      <c r="R73" s="1372">
        <f t="shared" si="53"/>
        <v>0</v>
      </c>
      <c r="S73" s="1372">
        <f t="shared" si="53"/>
        <v>0</v>
      </c>
      <c r="T73" s="1372">
        <f t="shared" si="53"/>
        <v>0</v>
      </c>
      <c r="U73" s="1372">
        <f t="shared" si="53"/>
        <v>0</v>
      </c>
      <c r="V73" s="1372">
        <f t="shared" si="53"/>
        <v>0</v>
      </c>
      <c r="W73" s="1373">
        <f t="shared" si="53"/>
        <v>0</v>
      </c>
      <c r="X73" s="3873" t="s">
        <v>75</v>
      </c>
      <c r="Y73" s="3888"/>
      <c r="AA73" s="3882"/>
      <c r="AB73" s="3882"/>
      <c r="AC73" s="3882"/>
    </row>
    <row r="74" spans="1:29" s="493" customFormat="1" ht="13.5" hidden="1" customHeight="1">
      <c r="A74" s="3887"/>
      <c r="B74" s="1375" t="s">
        <v>35</v>
      </c>
      <c r="C74" s="3884" t="s">
        <v>99</v>
      </c>
      <c r="D74" s="1339">
        <f>+D75</f>
        <v>0</v>
      </c>
      <c r="E74" s="1339">
        <f t="shared" ref="E74:L74" si="54">+E75+E77</f>
        <v>0</v>
      </c>
      <c r="F74" s="1339">
        <f t="shared" si="54"/>
        <v>0</v>
      </c>
      <c r="G74" s="1339">
        <f t="shared" si="54"/>
        <v>0</v>
      </c>
      <c r="H74" s="1339">
        <f t="shared" si="54"/>
        <v>0</v>
      </c>
      <c r="I74" s="1339">
        <f t="shared" si="54"/>
        <v>0</v>
      </c>
      <c r="J74" s="1339">
        <f t="shared" si="54"/>
        <v>0</v>
      </c>
      <c r="K74" s="1339">
        <f t="shared" si="54"/>
        <v>0</v>
      </c>
      <c r="L74" s="1339">
        <f t="shared" si="54"/>
        <v>0</v>
      </c>
      <c r="M74" s="1339">
        <f>+M75</f>
        <v>0</v>
      </c>
      <c r="N74" s="1339">
        <f>+N75</f>
        <v>3144433</v>
      </c>
      <c r="O74" s="1339">
        <f>+O75</f>
        <v>1791710</v>
      </c>
      <c r="P74" s="1339">
        <f>+P75</f>
        <v>0</v>
      </c>
      <c r="Q74" s="1376">
        <f t="shared" ref="Q74:W74" si="55">+Q75+Q77</f>
        <v>0</v>
      </c>
      <c r="R74" s="1376">
        <f t="shared" si="55"/>
        <v>0</v>
      </c>
      <c r="S74" s="1376">
        <f t="shared" si="55"/>
        <v>0</v>
      </c>
      <c r="T74" s="1376">
        <f t="shared" si="55"/>
        <v>0</v>
      </c>
      <c r="U74" s="1376">
        <f t="shared" si="55"/>
        <v>0</v>
      </c>
      <c r="V74" s="1376">
        <f t="shared" si="55"/>
        <v>0</v>
      </c>
      <c r="W74" s="1377">
        <f t="shared" si="55"/>
        <v>0</v>
      </c>
      <c r="X74" s="3873"/>
      <c r="Y74" s="3888"/>
      <c r="AA74" s="3882"/>
      <c r="AB74" s="3882"/>
      <c r="AC74" s="3882"/>
    </row>
    <row r="75" spans="1:29" s="493" customFormat="1" ht="13.5" hidden="1" customHeight="1">
      <c r="A75" s="3887"/>
      <c r="B75" s="1379" t="s">
        <v>24</v>
      </c>
      <c r="C75" s="3893"/>
      <c r="D75" s="325">
        <f>M75+P75+Q75+R75+S75+T75+U75+V75+W75</f>
        <v>0</v>
      </c>
      <c r="E75" s="1380"/>
      <c r="F75" s="1380"/>
      <c r="G75" s="1380"/>
      <c r="H75" s="1380"/>
      <c r="I75" s="1380"/>
      <c r="J75" s="1380"/>
      <c r="K75" s="1380"/>
      <c r="L75" s="1380"/>
      <c r="M75" s="2200"/>
      <c r="N75" s="1380">
        <f>4717663-1573230</f>
        <v>3144433</v>
      </c>
      <c r="O75" s="1380">
        <f>478276+1573230-259796</f>
        <v>1791710</v>
      </c>
      <c r="P75" s="1380"/>
      <c r="Q75" s="1381">
        <v>0</v>
      </c>
      <c r="R75" s="1381">
        <v>0</v>
      </c>
      <c r="S75" s="1381">
        <v>0</v>
      </c>
      <c r="T75" s="1381">
        <v>0</v>
      </c>
      <c r="U75" s="1399">
        <v>0</v>
      </c>
      <c r="V75" s="1381">
        <v>0</v>
      </c>
      <c r="W75" s="1382">
        <v>0</v>
      </c>
      <c r="X75" s="3873"/>
      <c r="Y75" s="3888"/>
    </row>
    <row r="76" spans="1:29" s="493" customFormat="1" ht="13.5" hidden="1" customHeight="1">
      <c r="A76" s="3478"/>
      <c r="B76" s="1388" t="s">
        <v>29</v>
      </c>
      <c r="C76" s="1400"/>
      <c r="D76" s="1401">
        <f>+D77</f>
        <v>0</v>
      </c>
      <c r="E76" s="1401">
        <f t="shared" ref="E76:M76" si="56">+E77</f>
        <v>0</v>
      </c>
      <c r="F76" s="1401">
        <f t="shared" si="56"/>
        <v>0</v>
      </c>
      <c r="G76" s="1401">
        <f t="shared" si="56"/>
        <v>0</v>
      </c>
      <c r="H76" s="1401">
        <f t="shared" si="56"/>
        <v>0</v>
      </c>
      <c r="I76" s="1401">
        <f t="shared" si="56"/>
        <v>0</v>
      </c>
      <c r="J76" s="1401">
        <f t="shared" si="56"/>
        <v>0</v>
      </c>
      <c r="K76" s="1401">
        <f t="shared" si="56"/>
        <v>0</v>
      </c>
      <c r="L76" s="1401">
        <f t="shared" si="56"/>
        <v>0</v>
      </c>
      <c r="M76" s="1401">
        <f t="shared" si="56"/>
        <v>0</v>
      </c>
      <c r="N76" s="1401">
        <f>+N77</f>
        <v>4129608</v>
      </c>
      <c r="O76" s="1401">
        <f>+O77</f>
        <v>806533</v>
      </c>
      <c r="P76" s="1401">
        <f t="shared" ref="P76:W76" si="57">+P77</f>
        <v>0</v>
      </c>
      <c r="Q76" s="1402">
        <f t="shared" si="57"/>
        <v>0</v>
      </c>
      <c r="R76" s="1402">
        <f t="shared" si="57"/>
        <v>0</v>
      </c>
      <c r="S76" s="1402">
        <f t="shared" si="57"/>
        <v>0</v>
      </c>
      <c r="T76" s="1402">
        <f t="shared" si="57"/>
        <v>0</v>
      </c>
      <c r="U76" s="1402">
        <f t="shared" si="57"/>
        <v>0</v>
      </c>
      <c r="V76" s="1402">
        <f t="shared" si="57"/>
        <v>0</v>
      </c>
      <c r="W76" s="1403">
        <f t="shared" si="57"/>
        <v>0</v>
      </c>
      <c r="X76" s="3873"/>
      <c r="Y76" s="3888"/>
    </row>
    <row r="77" spans="1:29" s="493" customFormat="1" ht="13.5" hidden="1" customHeight="1" thickBot="1">
      <c r="A77" s="1290"/>
      <c r="B77" s="1379" t="s">
        <v>46</v>
      </c>
      <c r="C77" s="3477" t="s">
        <v>34</v>
      </c>
      <c r="D77" s="325"/>
      <c r="E77" s="1140"/>
      <c r="F77" s="1140"/>
      <c r="G77" s="1140"/>
      <c r="H77" s="1140"/>
      <c r="I77" s="1140"/>
      <c r="J77" s="1140"/>
      <c r="K77" s="1140"/>
      <c r="L77" s="1140"/>
      <c r="M77" s="2200"/>
      <c r="N77" s="1140">
        <f>4717663-588055</f>
        <v>4129608</v>
      </c>
      <c r="O77" s="1140">
        <f>478276+588055-259798</f>
        <v>806533</v>
      </c>
      <c r="P77" s="1140"/>
      <c r="Q77" s="1261">
        <v>0</v>
      </c>
      <c r="R77" s="1261">
        <v>0</v>
      </c>
      <c r="S77" s="1261">
        <v>0</v>
      </c>
      <c r="T77" s="1261">
        <v>0</v>
      </c>
      <c r="U77" s="1261">
        <v>0</v>
      </c>
      <c r="V77" s="1261">
        <v>0</v>
      </c>
      <c r="W77" s="1404">
        <v>0</v>
      </c>
      <c r="X77" s="3874"/>
      <c r="Y77" s="3889"/>
    </row>
    <row r="78" spans="1:29" s="493" customFormat="1" ht="30" customHeight="1">
      <c r="A78" s="3857" t="s">
        <v>78</v>
      </c>
      <c r="B78" s="1405" t="s">
        <v>591</v>
      </c>
      <c r="C78" s="1325" t="s">
        <v>125</v>
      </c>
      <c r="D78" s="3486"/>
      <c r="E78" s="3487"/>
      <c r="F78" s="3487"/>
      <c r="G78" s="3487"/>
      <c r="H78" s="3487"/>
      <c r="I78" s="3487"/>
      <c r="J78" s="3488"/>
      <c r="K78" s="3488"/>
      <c r="L78" s="3488"/>
      <c r="M78" s="3488"/>
      <c r="N78" s="3488"/>
      <c r="O78" s="3488"/>
      <c r="P78" s="3488"/>
      <c r="Q78" s="3488"/>
      <c r="R78" s="3488"/>
      <c r="S78" s="3488"/>
      <c r="T78" s="3488"/>
      <c r="U78" s="3488"/>
      <c r="V78" s="3488"/>
      <c r="W78" s="3486"/>
      <c r="X78" s="3489"/>
      <c r="Y78" s="3879" t="s">
        <v>426</v>
      </c>
    </row>
    <row r="79" spans="1:29" s="493" customFormat="1" ht="15.75" customHeight="1">
      <c r="A79" s="3858"/>
      <c r="B79" s="1049" t="s">
        <v>21</v>
      </c>
      <c r="C79" s="3490"/>
      <c r="D79" s="1485">
        <f>+D80</f>
        <v>5000000</v>
      </c>
      <c r="E79" s="1485">
        <f>+E80</f>
        <v>0</v>
      </c>
      <c r="F79" s="1485">
        <f t="shared" ref="F79:W79" si="58">+F80</f>
        <v>0</v>
      </c>
      <c r="G79" s="1485">
        <f t="shared" si="58"/>
        <v>0</v>
      </c>
      <c r="H79" s="1485">
        <f t="shared" si="58"/>
        <v>0</v>
      </c>
      <c r="I79" s="1485">
        <f t="shared" si="58"/>
        <v>0</v>
      </c>
      <c r="J79" s="1485">
        <f t="shared" si="58"/>
        <v>0</v>
      </c>
      <c r="K79" s="1485">
        <f t="shared" si="58"/>
        <v>0</v>
      </c>
      <c r="L79" s="1485">
        <f t="shared" si="58"/>
        <v>0</v>
      </c>
      <c r="M79" s="1722">
        <f t="shared" si="58"/>
        <v>0</v>
      </c>
      <c r="N79" s="1485">
        <f t="shared" si="58"/>
        <v>0</v>
      </c>
      <c r="O79" s="1485">
        <f t="shared" si="58"/>
        <v>0</v>
      </c>
      <c r="P79" s="1485">
        <f t="shared" si="58"/>
        <v>1819380</v>
      </c>
      <c r="Q79" s="1485">
        <f t="shared" si="58"/>
        <v>1361176</v>
      </c>
      <c r="R79" s="1485">
        <f t="shared" si="58"/>
        <v>1819444</v>
      </c>
      <c r="S79" s="3491">
        <f t="shared" si="58"/>
        <v>0</v>
      </c>
      <c r="T79" s="3491">
        <f t="shared" si="58"/>
        <v>0</v>
      </c>
      <c r="U79" s="3491">
        <f t="shared" si="58"/>
        <v>0</v>
      </c>
      <c r="V79" s="3491">
        <f t="shared" si="58"/>
        <v>0</v>
      </c>
      <c r="W79" s="3492">
        <f t="shared" si="58"/>
        <v>0</v>
      </c>
      <c r="X79" s="3493">
        <f>+X80</f>
        <v>1361176</v>
      </c>
      <c r="Y79" s="3880"/>
    </row>
    <row r="80" spans="1:29" s="493" customFormat="1" ht="13.5" customHeight="1">
      <c r="A80" s="3858"/>
      <c r="B80" s="1409" t="s">
        <v>35</v>
      </c>
      <c r="C80" s="3854" t="s">
        <v>153</v>
      </c>
      <c r="D80" s="3494">
        <f>+D81+D82</f>
        <v>5000000</v>
      </c>
      <c r="E80" s="3494">
        <f>+E81+E82</f>
        <v>0</v>
      </c>
      <c r="F80" s="3494"/>
      <c r="G80" s="3494"/>
      <c r="H80" s="3494"/>
      <c r="I80" s="3494">
        <f>+I81+I82</f>
        <v>0</v>
      </c>
      <c r="J80" s="3494">
        <f t="shared" ref="J80:T80" si="59">+J81+J82</f>
        <v>0</v>
      </c>
      <c r="K80" s="3494">
        <f t="shared" si="59"/>
        <v>0</v>
      </c>
      <c r="L80" s="3494">
        <f t="shared" si="59"/>
        <v>0</v>
      </c>
      <c r="M80" s="3495">
        <f>+M81+M82</f>
        <v>0</v>
      </c>
      <c r="N80" s="3494">
        <f t="shared" si="59"/>
        <v>0</v>
      </c>
      <c r="O80" s="3494">
        <f t="shared" si="59"/>
        <v>0</v>
      </c>
      <c r="P80" s="3494">
        <f t="shared" si="59"/>
        <v>1819380</v>
      </c>
      <c r="Q80" s="3494">
        <f t="shared" si="59"/>
        <v>1361176</v>
      </c>
      <c r="R80" s="3494">
        <f t="shared" si="59"/>
        <v>1819444</v>
      </c>
      <c r="S80" s="3495">
        <f t="shared" si="59"/>
        <v>0</v>
      </c>
      <c r="T80" s="3495">
        <f t="shared" si="59"/>
        <v>0</v>
      </c>
      <c r="U80" s="3495">
        <f>+U81+U82</f>
        <v>0</v>
      </c>
      <c r="V80" s="3495">
        <f>+V81+V82</f>
        <v>0</v>
      </c>
      <c r="W80" s="3496">
        <f>+W81+W82</f>
        <v>0</v>
      </c>
      <c r="X80" s="3497">
        <f>+X81+X82</f>
        <v>1361176</v>
      </c>
      <c r="Y80" s="3880"/>
    </row>
    <row r="81" spans="1:28" s="493" customFormat="1" ht="13.5" customHeight="1">
      <c r="A81" s="3858"/>
      <c r="B81" s="1411" t="s">
        <v>151</v>
      </c>
      <c r="C81" s="3855"/>
      <c r="D81" s="1700">
        <f>M81+O81+P81+Q81+R81+S81+T81+U81+V81+W81</f>
        <v>3638824</v>
      </c>
      <c r="E81" s="3498">
        <v>0</v>
      </c>
      <c r="F81" s="3498">
        <v>0</v>
      </c>
      <c r="G81" s="3498">
        <v>0</v>
      </c>
      <c r="H81" s="1700">
        <v>0</v>
      </c>
      <c r="I81" s="3498">
        <v>0</v>
      </c>
      <c r="J81" s="3498">
        <v>0</v>
      </c>
      <c r="K81" s="3498">
        <v>0</v>
      </c>
      <c r="L81" s="3498">
        <v>0</v>
      </c>
      <c r="M81" s="1727">
        <f>+L81+K81+J81+I81+E81+N81</f>
        <v>0</v>
      </c>
      <c r="N81" s="3498">
        <v>0</v>
      </c>
      <c r="O81" s="3498">
        <v>0</v>
      </c>
      <c r="P81" s="1700">
        <v>1819380</v>
      </c>
      <c r="Q81" s="3498">
        <v>0</v>
      </c>
      <c r="R81" s="3499">
        <v>1819444</v>
      </c>
      <c r="S81" s="3500">
        <v>0</v>
      </c>
      <c r="T81" s="3500">
        <v>0</v>
      </c>
      <c r="U81" s="3500">
        <v>0</v>
      </c>
      <c r="V81" s="3500">
        <v>0</v>
      </c>
      <c r="W81" s="3501">
        <v>0</v>
      </c>
      <c r="X81" s="3502">
        <v>0</v>
      </c>
      <c r="Y81" s="3880"/>
    </row>
    <row r="82" spans="1:28" s="493" customFormat="1" ht="13.5" customHeight="1" thickBot="1">
      <c r="A82" s="3859"/>
      <c r="B82" s="3103" t="s">
        <v>154</v>
      </c>
      <c r="C82" s="3855"/>
      <c r="D82" s="2082">
        <f>M82+P82+Q82+R82+S82+T82+U82+V82+W82</f>
        <v>1361176</v>
      </c>
      <c r="E82" s="1715">
        <v>0</v>
      </c>
      <c r="F82" s="1715">
        <v>0</v>
      </c>
      <c r="G82" s="1715"/>
      <c r="H82" s="3104"/>
      <c r="I82" s="1715">
        <v>0</v>
      </c>
      <c r="J82" s="1715">
        <v>0</v>
      </c>
      <c r="K82" s="1715">
        <v>0</v>
      </c>
      <c r="L82" s="1715">
        <v>0</v>
      </c>
      <c r="M82" s="3503">
        <f>+E82+I82+J82+K82+L82+N82+O82</f>
        <v>0</v>
      </c>
      <c r="N82" s="1715">
        <v>0</v>
      </c>
      <c r="O82" s="1715">
        <v>0</v>
      </c>
      <c r="P82" s="3160">
        <v>0</v>
      </c>
      <c r="Q82" s="1715">
        <v>1361176</v>
      </c>
      <c r="R82" s="3160">
        <v>0</v>
      </c>
      <c r="S82" s="3105">
        <v>0</v>
      </c>
      <c r="T82" s="3105">
        <v>0</v>
      </c>
      <c r="U82" s="3105">
        <v>0</v>
      </c>
      <c r="V82" s="3105">
        <v>0</v>
      </c>
      <c r="W82" s="3106">
        <v>0</v>
      </c>
      <c r="X82" s="3504">
        <f>SUM(Q82:W82)</f>
        <v>1361176</v>
      </c>
      <c r="Y82" s="3881"/>
    </row>
    <row r="83" spans="1:28" s="493" customFormat="1" ht="27" customHeight="1">
      <c r="A83" s="3857" t="s">
        <v>137</v>
      </c>
      <c r="B83" s="1414" t="s">
        <v>507</v>
      </c>
      <c r="C83" s="1325" t="s">
        <v>125</v>
      </c>
      <c r="D83" s="1406"/>
      <c r="E83" s="1050"/>
      <c r="F83" s="1050">
        <v>0</v>
      </c>
      <c r="G83" s="1050"/>
      <c r="H83" s="1050"/>
      <c r="I83" s="1050"/>
      <c r="J83" s="3479"/>
      <c r="K83" s="3479"/>
      <c r="L83" s="3479"/>
      <c r="M83" s="3479"/>
      <c r="N83" s="3479"/>
      <c r="O83" s="3479"/>
      <c r="P83" s="3479"/>
      <c r="Q83" s="3479"/>
      <c r="R83" s="3479"/>
      <c r="S83" s="3479"/>
      <c r="T83" s="3479"/>
      <c r="U83" s="3479"/>
      <c r="V83" s="1415"/>
      <c r="W83" s="1406"/>
      <c r="X83" s="1407"/>
      <c r="Y83" s="3879" t="s">
        <v>427</v>
      </c>
    </row>
    <row r="84" spans="1:28" s="493" customFormat="1" ht="13.5" customHeight="1">
      <c r="A84" s="3858"/>
      <c r="B84" s="1049" t="s">
        <v>21</v>
      </c>
      <c r="C84" s="1358"/>
      <c r="D84" s="1333">
        <f>+D85</f>
        <v>2900000</v>
      </c>
      <c r="E84" s="1333">
        <f>+E85</f>
        <v>637500</v>
      </c>
      <c r="F84" s="1333">
        <f t="shared" ref="F84:X84" si="60">+F85</f>
        <v>0</v>
      </c>
      <c r="G84" s="1333">
        <f t="shared" si="60"/>
        <v>0</v>
      </c>
      <c r="H84" s="1333">
        <f t="shared" si="60"/>
        <v>0</v>
      </c>
      <c r="I84" s="1333">
        <f t="shared" si="60"/>
        <v>306000</v>
      </c>
      <c r="J84" s="1333">
        <f t="shared" si="60"/>
        <v>306000</v>
      </c>
      <c r="K84" s="1333">
        <f t="shared" si="60"/>
        <v>306000</v>
      </c>
      <c r="L84" s="1333">
        <f t="shared" si="60"/>
        <v>306000</v>
      </c>
      <c r="M84" s="1333">
        <f t="shared" si="60"/>
        <v>2473500</v>
      </c>
      <c r="N84" s="1333">
        <f t="shared" si="60"/>
        <v>306000</v>
      </c>
      <c r="O84" s="1333">
        <f t="shared" si="60"/>
        <v>306000</v>
      </c>
      <c r="P84" s="1333">
        <f t="shared" si="60"/>
        <v>306000</v>
      </c>
      <c r="Q84" s="1333">
        <f t="shared" si="60"/>
        <v>120500</v>
      </c>
      <c r="R84" s="1372">
        <v>0</v>
      </c>
      <c r="S84" s="1372">
        <v>0</v>
      </c>
      <c r="T84" s="1372">
        <v>0</v>
      </c>
      <c r="U84" s="1372">
        <v>0</v>
      </c>
      <c r="V84" s="1373">
        <v>0</v>
      </c>
      <c r="W84" s="1373">
        <v>0</v>
      </c>
      <c r="X84" s="1374">
        <f t="shared" si="60"/>
        <v>120500</v>
      </c>
      <c r="Y84" s="3880"/>
      <c r="AA84" s="500"/>
    </row>
    <row r="85" spans="1:28" s="493" customFormat="1" ht="13.5" customHeight="1">
      <c r="A85" s="3858"/>
      <c r="B85" s="1409" t="s">
        <v>35</v>
      </c>
      <c r="C85" s="3854" t="s">
        <v>153</v>
      </c>
      <c r="D85" s="1339">
        <f>+D86+D87</f>
        <v>2900000</v>
      </c>
      <c r="E85" s="1339">
        <f>+E86</f>
        <v>637500</v>
      </c>
      <c r="F85" s="1339">
        <f>+F87</f>
        <v>0</v>
      </c>
      <c r="G85" s="1339">
        <f>+G87</f>
        <v>0</v>
      </c>
      <c r="H85" s="1339">
        <f>+H87</f>
        <v>0</v>
      </c>
      <c r="I85" s="1339">
        <f>+I86+I87</f>
        <v>306000</v>
      </c>
      <c r="J85" s="1339">
        <f>+J86+J87</f>
        <v>306000</v>
      </c>
      <c r="K85" s="1339">
        <f>+K86+K87</f>
        <v>306000</v>
      </c>
      <c r="L85" s="1339">
        <f>+L86</f>
        <v>306000</v>
      </c>
      <c r="M85" s="1339">
        <f>+M86</f>
        <v>2473500</v>
      </c>
      <c r="N85" s="1339">
        <f>+N86+N87</f>
        <v>306000</v>
      </c>
      <c r="O85" s="1339">
        <f>+O86+O87</f>
        <v>306000</v>
      </c>
      <c r="P85" s="1339">
        <f>+P86</f>
        <v>306000</v>
      </c>
      <c r="Q85" s="1339">
        <f>+Q87</f>
        <v>120500</v>
      </c>
      <c r="R85" s="1376">
        <v>0</v>
      </c>
      <c r="S85" s="1376">
        <v>0</v>
      </c>
      <c r="T85" s="1376">
        <v>0</v>
      </c>
      <c r="U85" s="1376">
        <v>0</v>
      </c>
      <c r="V85" s="1376">
        <v>0</v>
      </c>
      <c r="W85" s="1377">
        <v>0</v>
      </c>
      <c r="X85" s="1410">
        <f>+X87</f>
        <v>120500</v>
      </c>
      <c r="Y85" s="3880"/>
    </row>
    <row r="86" spans="1:28" s="493" customFormat="1" ht="13.5" customHeight="1">
      <c r="A86" s="3858"/>
      <c r="B86" s="1411" t="s">
        <v>151</v>
      </c>
      <c r="C86" s="3855"/>
      <c r="D86" s="2234">
        <f t="shared" ref="D86:D87" si="61">M86+P86+Q86+R86+S86+T86+U86+V86+W86</f>
        <v>2779500</v>
      </c>
      <c r="E86" s="1380">
        <v>637500</v>
      </c>
      <c r="F86" s="1380"/>
      <c r="G86" s="1380"/>
      <c r="H86" s="1380"/>
      <c r="I86" s="1380">
        <v>306000</v>
      </c>
      <c r="J86" s="1380">
        <v>306000</v>
      </c>
      <c r="K86" s="1380">
        <v>306000</v>
      </c>
      <c r="L86" s="1380">
        <v>306000</v>
      </c>
      <c r="M86" s="2254">
        <f>+E86+I86+J86+K86+L86+N86+O86</f>
        <v>2473500</v>
      </c>
      <c r="N86" s="1380">
        <v>306000</v>
      </c>
      <c r="O86" s="1385">
        <v>306000</v>
      </c>
      <c r="P86" s="1385">
        <v>306000</v>
      </c>
      <c r="Q86" s="1380">
        <v>0</v>
      </c>
      <c r="R86" s="1381">
        <v>0</v>
      </c>
      <c r="S86" s="1381">
        <v>0</v>
      </c>
      <c r="T86" s="1381">
        <v>0</v>
      </c>
      <c r="U86" s="1381">
        <v>0</v>
      </c>
      <c r="V86" s="1381">
        <v>0</v>
      </c>
      <c r="W86" s="1382">
        <v>0</v>
      </c>
      <c r="X86" s="3107">
        <v>0</v>
      </c>
      <c r="Y86" s="3880"/>
    </row>
    <row r="87" spans="1:28" s="493" customFormat="1" ht="13.5" customHeight="1" thickBot="1">
      <c r="A87" s="3859"/>
      <c r="B87" s="3103" t="s">
        <v>154</v>
      </c>
      <c r="C87" s="3856"/>
      <c r="D87" s="2215">
        <f t="shared" si="61"/>
        <v>120500</v>
      </c>
      <c r="E87" s="1140">
        <v>0</v>
      </c>
      <c r="F87" s="1140">
        <v>0</v>
      </c>
      <c r="G87" s="1140">
        <v>0</v>
      </c>
      <c r="H87" s="1140"/>
      <c r="I87" s="1140">
        <v>0</v>
      </c>
      <c r="J87" s="1140">
        <v>0</v>
      </c>
      <c r="K87" s="1140">
        <v>0</v>
      </c>
      <c r="L87" s="1140">
        <v>0</v>
      </c>
      <c r="M87" s="3469">
        <f>+E87+I87+J87+K87+L87+N87+O87</f>
        <v>0</v>
      </c>
      <c r="N87" s="1261">
        <v>0</v>
      </c>
      <c r="O87" s="3470">
        <v>0</v>
      </c>
      <c r="P87" s="3470">
        <v>0</v>
      </c>
      <c r="Q87" s="1140">
        <v>120500</v>
      </c>
      <c r="R87" s="1261">
        <v>0</v>
      </c>
      <c r="S87" s="1261">
        <v>0</v>
      </c>
      <c r="T87" s="1261">
        <v>0</v>
      </c>
      <c r="U87" s="1261">
        <v>0</v>
      </c>
      <c r="V87" s="1261">
        <v>0</v>
      </c>
      <c r="W87" s="1404">
        <v>0</v>
      </c>
      <c r="X87" s="3108">
        <f>SUM(Q87:W87)</f>
        <v>120500</v>
      </c>
      <c r="Y87" s="3899"/>
      <c r="AB87" s="500"/>
    </row>
    <row r="88" spans="1:28" s="493" customFormat="1" ht="29.25" customHeight="1">
      <c r="A88" s="3857" t="s">
        <v>80</v>
      </c>
      <c r="B88" s="1405" t="s">
        <v>332</v>
      </c>
      <c r="C88" s="1325" t="s">
        <v>125</v>
      </c>
      <c r="D88" s="1406"/>
      <c r="E88" s="1050"/>
      <c r="F88" s="1050"/>
      <c r="G88" s="1050"/>
      <c r="H88" s="1050"/>
      <c r="I88" s="1050"/>
      <c r="J88" s="3479"/>
      <c r="K88" s="3479"/>
      <c r="L88" s="3479"/>
      <c r="M88" s="3479"/>
      <c r="N88" s="3479"/>
      <c r="O88" s="3479"/>
      <c r="P88" s="3479"/>
      <c r="Q88" s="3479"/>
      <c r="R88" s="3479"/>
      <c r="S88" s="3479"/>
      <c r="T88" s="3479"/>
      <c r="U88" s="3479"/>
      <c r="V88" s="3479"/>
      <c r="W88" s="1406"/>
      <c r="X88" s="1407"/>
      <c r="Y88" s="3879" t="s">
        <v>426</v>
      </c>
    </row>
    <row r="89" spans="1:28" s="493" customFormat="1" ht="13.5" customHeight="1">
      <c r="A89" s="3858"/>
      <c r="B89" s="1049" t="s">
        <v>21</v>
      </c>
      <c r="C89" s="1358"/>
      <c r="D89" s="1333">
        <f>+D90</f>
        <v>8000000</v>
      </c>
      <c r="E89" s="1333">
        <f>+E90</f>
        <v>0</v>
      </c>
      <c r="F89" s="1333">
        <f t="shared" ref="F89:X89" si="62">+F90</f>
        <v>0</v>
      </c>
      <c r="G89" s="1333">
        <f t="shared" si="62"/>
        <v>0</v>
      </c>
      <c r="H89" s="1333">
        <f t="shared" si="62"/>
        <v>0</v>
      </c>
      <c r="I89" s="1333">
        <f t="shared" si="62"/>
        <v>0</v>
      </c>
      <c r="J89" s="1333">
        <f t="shared" si="62"/>
        <v>0</v>
      </c>
      <c r="K89" s="1333">
        <f t="shared" si="62"/>
        <v>0</v>
      </c>
      <c r="L89" s="1333">
        <f t="shared" si="62"/>
        <v>0</v>
      </c>
      <c r="M89" s="1333">
        <f t="shared" si="62"/>
        <v>580000</v>
      </c>
      <c r="N89" s="1333">
        <f t="shared" si="62"/>
        <v>480000</v>
      </c>
      <c r="O89" s="1333">
        <f t="shared" si="62"/>
        <v>100000</v>
      </c>
      <c r="P89" s="1333">
        <f t="shared" si="62"/>
        <v>1080000</v>
      </c>
      <c r="Q89" s="1333">
        <f t="shared" si="62"/>
        <v>1080000</v>
      </c>
      <c r="R89" s="1333">
        <f t="shared" si="62"/>
        <v>1080000</v>
      </c>
      <c r="S89" s="1333">
        <f t="shared" si="62"/>
        <v>1080000</v>
      </c>
      <c r="T89" s="1333">
        <f t="shared" si="62"/>
        <v>1080000</v>
      </c>
      <c r="U89" s="1333">
        <f t="shared" si="62"/>
        <v>1080000</v>
      </c>
      <c r="V89" s="1333">
        <f t="shared" si="62"/>
        <v>940000</v>
      </c>
      <c r="W89" s="3505">
        <f t="shared" si="62"/>
        <v>0</v>
      </c>
      <c r="X89" s="1374">
        <f t="shared" si="62"/>
        <v>1080000</v>
      </c>
      <c r="Y89" s="3880"/>
    </row>
    <row r="90" spans="1:28" s="477" customFormat="1" ht="13.5" customHeight="1">
      <c r="A90" s="3858"/>
      <c r="B90" s="1338" t="s">
        <v>35</v>
      </c>
      <c r="C90" s="3854" t="s">
        <v>153</v>
      </c>
      <c r="D90" s="1417">
        <f>+D91+D92</f>
        <v>8000000</v>
      </c>
      <c r="E90" s="1417">
        <f t="shared" ref="E90:L90" si="63">+E92</f>
        <v>0</v>
      </c>
      <c r="F90" s="1417">
        <f t="shared" si="63"/>
        <v>0</v>
      </c>
      <c r="G90" s="1417">
        <f t="shared" si="63"/>
        <v>0</v>
      </c>
      <c r="H90" s="1417">
        <f t="shared" si="63"/>
        <v>0</v>
      </c>
      <c r="I90" s="1417">
        <f t="shared" si="63"/>
        <v>0</v>
      </c>
      <c r="J90" s="1417">
        <f t="shared" si="63"/>
        <v>0</v>
      </c>
      <c r="K90" s="1417">
        <f t="shared" si="63"/>
        <v>0</v>
      </c>
      <c r="L90" s="1417">
        <f t="shared" si="63"/>
        <v>0</v>
      </c>
      <c r="M90" s="1339">
        <f t="shared" ref="M90:W90" si="64">+M91+M92</f>
        <v>580000</v>
      </c>
      <c r="N90" s="1417">
        <f t="shared" si="64"/>
        <v>480000</v>
      </c>
      <c r="O90" s="1417">
        <f t="shared" si="64"/>
        <v>100000</v>
      </c>
      <c r="P90" s="1417">
        <f t="shared" si="64"/>
        <v>1080000</v>
      </c>
      <c r="Q90" s="1417">
        <f t="shared" si="64"/>
        <v>1080000</v>
      </c>
      <c r="R90" s="1417">
        <f t="shared" si="64"/>
        <v>1080000</v>
      </c>
      <c r="S90" s="1417">
        <f t="shared" si="64"/>
        <v>1080000</v>
      </c>
      <c r="T90" s="1417">
        <f t="shared" si="64"/>
        <v>1080000</v>
      </c>
      <c r="U90" s="1417">
        <f t="shared" si="64"/>
        <v>1080000</v>
      </c>
      <c r="V90" s="1417">
        <f t="shared" si="64"/>
        <v>940000</v>
      </c>
      <c r="W90" s="3506">
        <f t="shared" si="64"/>
        <v>0</v>
      </c>
      <c r="X90" s="1410">
        <f>+X92</f>
        <v>1080000</v>
      </c>
      <c r="Y90" s="3880"/>
    </row>
    <row r="91" spans="1:28" s="477" customFormat="1" ht="13.5" customHeight="1">
      <c r="A91" s="3858"/>
      <c r="B91" s="1411" t="s">
        <v>151</v>
      </c>
      <c r="C91" s="3855"/>
      <c r="D91" s="2234">
        <f>+M91+P91+Q91+R91+S91+T91+U91+V91+W91</f>
        <v>6920000</v>
      </c>
      <c r="E91" s="1418"/>
      <c r="F91" s="379"/>
      <c r="G91" s="1419"/>
      <c r="H91" s="1419"/>
      <c r="I91" s="1385"/>
      <c r="J91" s="1385"/>
      <c r="K91" s="1385"/>
      <c r="L91" s="1420"/>
      <c r="M91" s="2254">
        <v>580000</v>
      </c>
      <c r="N91" s="1385">
        <v>480000</v>
      </c>
      <c r="O91" s="1385">
        <v>100000</v>
      </c>
      <c r="P91" s="1385">
        <v>1080000</v>
      </c>
      <c r="Q91" s="1385">
        <v>0</v>
      </c>
      <c r="R91" s="3507">
        <v>1080000</v>
      </c>
      <c r="S91" s="3507">
        <v>1080000</v>
      </c>
      <c r="T91" s="3507">
        <v>1080000</v>
      </c>
      <c r="U91" s="3507">
        <v>1080000</v>
      </c>
      <c r="V91" s="3507">
        <v>940000</v>
      </c>
      <c r="W91" s="3508">
        <v>0</v>
      </c>
      <c r="X91" s="3107">
        <v>0</v>
      </c>
      <c r="Y91" s="3880"/>
    </row>
    <row r="92" spans="1:28" s="477" customFormat="1" ht="13.5" customHeight="1" thickBot="1">
      <c r="A92" s="3859"/>
      <c r="B92" s="3109" t="s">
        <v>154</v>
      </c>
      <c r="C92" s="3856"/>
      <c r="D92" s="2215">
        <f t="shared" ref="D92" si="65">M92+P92+Q92+R92+S92+T92+U92+V92+W92</f>
        <v>1080000</v>
      </c>
      <c r="E92" s="1421">
        <v>0</v>
      </c>
      <c r="F92" s="298"/>
      <c r="G92" s="1422"/>
      <c r="H92" s="1422"/>
      <c r="I92" s="1416">
        <v>0</v>
      </c>
      <c r="J92" s="1140">
        <v>0</v>
      </c>
      <c r="K92" s="1140">
        <v>0</v>
      </c>
      <c r="L92" s="1421">
        <v>0</v>
      </c>
      <c r="M92" s="3469">
        <f>+E92+I92+J92+K92+L92+N92+O92</f>
        <v>0</v>
      </c>
      <c r="N92" s="1261">
        <v>0</v>
      </c>
      <c r="O92" s="1261">
        <v>0</v>
      </c>
      <c r="P92" s="3470">
        <v>0</v>
      </c>
      <c r="Q92" s="1140">
        <v>1080000</v>
      </c>
      <c r="R92" s="3470">
        <v>0</v>
      </c>
      <c r="S92" s="3470">
        <v>0</v>
      </c>
      <c r="T92" s="3470">
        <v>0</v>
      </c>
      <c r="U92" s="3470">
        <v>0</v>
      </c>
      <c r="V92" s="3470">
        <v>0</v>
      </c>
      <c r="W92" s="3509">
        <v>0</v>
      </c>
      <c r="X92" s="3108">
        <f>SUM(Q92:W92)</f>
        <v>1080000</v>
      </c>
      <c r="Y92" s="3903"/>
    </row>
    <row r="93" spans="1:28" s="1330" customFormat="1" ht="38.25" hidden="1" customHeight="1">
      <c r="A93" s="3849" t="s">
        <v>102</v>
      </c>
      <c r="B93" s="1405"/>
      <c r="C93" s="1325" t="s">
        <v>95</v>
      </c>
      <c r="D93" s="1326"/>
      <c r="E93" s="1327"/>
      <c r="F93" s="1327"/>
      <c r="G93" s="1327"/>
      <c r="H93" s="1327"/>
      <c r="I93" s="1327"/>
      <c r="J93" s="1327"/>
      <c r="K93" s="1327"/>
      <c r="L93" s="1327"/>
      <c r="M93" s="1327"/>
      <c r="N93" s="1327"/>
      <c r="O93" s="1327"/>
      <c r="P93" s="1327"/>
      <c r="Q93" s="1327"/>
      <c r="R93" s="1327"/>
      <c r="S93" s="1327"/>
      <c r="T93" s="1327"/>
      <c r="U93" s="1327"/>
      <c r="V93" s="1327"/>
      <c r="W93" s="1326"/>
      <c r="X93" s="1329"/>
      <c r="Y93" s="3863" t="s">
        <v>428</v>
      </c>
    </row>
    <row r="94" spans="1:28" s="493" customFormat="1" ht="13.5" hidden="1" customHeight="1">
      <c r="A94" s="3850"/>
      <c r="B94" s="1331" t="s">
        <v>21</v>
      </c>
      <c r="C94" s="1332"/>
      <c r="D94" s="1333">
        <f>+D95+D98</f>
        <v>0</v>
      </c>
      <c r="E94" s="1333">
        <f t="shared" ref="E94:K94" si="66">+E95+E98</f>
        <v>0</v>
      </c>
      <c r="F94" s="1333">
        <f t="shared" si="66"/>
        <v>0</v>
      </c>
      <c r="G94" s="1333">
        <f t="shared" si="66"/>
        <v>12200</v>
      </c>
      <c r="H94" s="1333">
        <f t="shared" si="66"/>
        <v>1690859.03</v>
      </c>
      <c r="I94" s="1333">
        <f t="shared" si="66"/>
        <v>0</v>
      </c>
      <c r="J94" s="1333">
        <f t="shared" si="66"/>
        <v>0</v>
      </c>
      <c r="K94" s="1333">
        <f t="shared" si="66"/>
        <v>0</v>
      </c>
      <c r="L94" s="1333">
        <f t="shared" ref="L94:W94" si="67">+L95+L98</f>
        <v>548968</v>
      </c>
      <c r="M94" s="1333">
        <f t="shared" si="67"/>
        <v>0</v>
      </c>
      <c r="N94" s="1333">
        <f t="shared" si="67"/>
        <v>4196897</v>
      </c>
      <c r="O94" s="1333">
        <f t="shared" si="67"/>
        <v>9280994</v>
      </c>
      <c r="P94" s="1333">
        <f t="shared" si="67"/>
        <v>0</v>
      </c>
      <c r="Q94" s="1372">
        <f t="shared" si="67"/>
        <v>0</v>
      </c>
      <c r="R94" s="1372">
        <f t="shared" si="67"/>
        <v>0</v>
      </c>
      <c r="S94" s="1372">
        <f t="shared" si="67"/>
        <v>0</v>
      </c>
      <c r="T94" s="1372">
        <f t="shared" si="67"/>
        <v>0</v>
      </c>
      <c r="U94" s="1372">
        <f t="shared" si="67"/>
        <v>0</v>
      </c>
      <c r="V94" s="1372">
        <f t="shared" si="67"/>
        <v>0</v>
      </c>
      <c r="W94" s="1373">
        <f t="shared" si="67"/>
        <v>0</v>
      </c>
      <c r="X94" s="1374">
        <f>+X95</f>
        <v>0</v>
      </c>
      <c r="Y94" s="3864"/>
    </row>
    <row r="95" spans="1:28" s="493" customFormat="1" ht="12.75" hidden="1" customHeight="1">
      <c r="A95" s="3850"/>
      <c r="B95" s="1338" t="s">
        <v>35</v>
      </c>
      <c r="C95" s="3861" t="s">
        <v>150</v>
      </c>
      <c r="D95" s="1339">
        <f>+D96+D97</f>
        <v>0</v>
      </c>
      <c r="E95" s="1339">
        <f>+E96+E97</f>
        <v>0</v>
      </c>
      <c r="F95" s="1339">
        <f>+F96+F97</f>
        <v>0</v>
      </c>
      <c r="G95" s="1339">
        <f>+G96+G97</f>
        <v>12200</v>
      </c>
      <c r="H95" s="1339">
        <f>+H96+H97</f>
        <v>1690859.03</v>
      </c>
      <c r="I95" s="1339">
        <f t="shared" ref="I95:T95" si="68">+I96+I97</f>
        <v>0</v>
      </c>
      <c r="J95" s="1339">
        <f t="shared" si="68"/>
        <v>0</v>
      </c>
      <c r="K95" s="1339">
        <f t="shared" si="68"/>
        <v>0</v>
      </c>
      <c r="L95" s="1339">
        <f t="shared" si="68"/>
        <v>148492</v>
      </c>
      <c r="M95" s="1339">
        <f t="shared" si="68"/>
        <v>0</v>
      </c>
      <c r="N95" s="1339">
        <f t="shared" si="68"/>
        <v>1573238</v>
      </c>
      <c r="O95" s="1339">
        <f t="shared" si="68"/>
        <v>1730400</v>
      </c>
      <c r="P95" s="1339">
        <f t="shared" si="68"/>
        <v>0</v>
      </c>
      <c r="Q95" s="1376">
        <f t="shared" si="68"/>
        <v>0</v>
      </c>
      <c r="R95" s="1376">
        <f t="shared" si="68"/>
        <v>0</v>
      </c>
      <c r="S95" s="1376">
        <f t="shared" si="68"/>
        <v>0</v>
      </c>
      <c r="T95" s="1376">
        <f t="shared" si="68"/>
        <v>0</v>
      </c>
      <c r="U95" s="1376">
        <f>+U96+U97</f>
        <v>0</v>
      </c>
      <c r="V95" s="1376">
        <f>+V96+V97</f>
        <v>0</v>
      </c>
      <c r="W95" s="1377">
        <f>+W96+W97</f>
        <v>0</v>
      </c>
      <c r="X95" s="1423">
        <f>+X97</f>
        <v>0</v>
      </c>
      <c r="Y95" s="3865"/>
    </row>
    <row r="96" spans="1:28" s="493" customFormat="1" ht="12" hidden="1">
      <c r="A96" s="3850"/>
      <c r="B96" s="295" t="s">
        <v>151</v>
      </c>
      <c r="C96" s="3890"/>
      <c r="D96" s="325">
        <v>0</v>
      </c>
      <c r="E96" s="1344">
        <v>0</v>
      </c>
      <c r="F96" s="1344">
        <v>0</v>
      </c>
      <c r="G96" s="1344">
        <v>12200</v>
      </c>
      <c r="H96" s="1344">
        <v>1015859</v>
      </c>
      <c r="I96" s="1344">
        <v>0</v>
      </c>
      <c r="J96" s="1344">
        <v>0</v>
      </c>
      <c r="K96" s="1344">
        <v>0</v>
      </c>
      <c r="L96" s="1344">
        <v>148492</v>
      </c>
      <c r="M96" s="2200">
        <v>0</v>
      </c>
      <c r="N96" s="1344">
        <f>737277-164039</f>
        <v>573238</v>
      </c>
      <c r="O96" s="1344">
        <f>1394867+335533</f>
        <v>1730400</v>
      </c>
      <c r="P96" s="1344">
        <v>0</v>
      </c>
      <c r="Q96" s="1424">
        <v>0</v>
      </c>
      <c r="R96" s="1424">
        <v>0</v>
      </c>
      <c r="S96" s="1424">
        <v>0</v>
      </c>
      <c r="T96" s="1424">
        <v>0</v>
      </c>
      <c r="U96" s="1424">
        <v>0</v>
      </c>
      <c r="V96" s="1424">
        <v>0</v>
      </c>
      <c r="W96" s="1425">
        <v>0</v>
      </c>
      <c r="X96" s="1318" t="s">
        <v>75</v>
      </c>
      <c r="Y96" s="3865"/>
      <c r="AB96" s="500"/>
    </row>
    <row r="97" spans="1:28" s="493" customFormat="1" ht="13.5" hidden="1" customHeight="1">
      <c r="A97" s="3850"/>
      <c r="B97" s="1348" t="s">
        <v>147</v>
      </c>
      <c r="C97" s="3891"/>
      <c r="D97" s="325">
        <v>0</v>
      </c>
      <c r="E97" s="1344">
        <v>0</v>
      </c>
      <c r="F97" s="1344">
        <v>0</v>
      </c>
      <c r="G97" s="1344">
        <v>0</v>
      </c>
      <c r="H97" s="1344">
        <v>675000.03</v>
      </c>
      <c r="I97" s="1344">
        <v>0</v>
      </c>
      <c r="J97" s="1344">
        <v>0</v>
      </c>
      <c r="K97" s="1344">
        <v>0</v>
      </c>
      <c r="L97" s="1344">
        <v>0</v>
      </c>
      <c r="M97" s="2200">
        <v>0</v>
      </c>
      <c r="N97" s="1344">
        <v>1000000</v>
      </c>
      <c r="O97" s="1344">
        <v>0</v>
      </c>
      <c r="P97" s="1344">
        <v>0</v>
      </c>
      <c r="Q97" s="1424">
        <v>0</v>
      </c>
      <c r="R97" s="1424">
        <v>0</v>
      </c>
      <c r="S97" s="1424">
        <v>0</v>
      </c>
      <c r="T97" s="1424">
        <v>0</v>
      </c>
      <c r="U97" s="1424">
        <v>0</v>
      </c>
      <c r="V97" s="1424">
        <v>0</v>
      </c>
      <c r="W97" s="1425">
        <v>0</v>
      </c>
      <c r="X97" s="1383">
        <f>SUM(Q97:W97)</f>
        <v>0</v>
      </c>
      <c r="Y97" s="3865"/>
    </row>
    <row r="98" spans="1:28" s="493" customFormat="1" ht="13.5" hidden="1" customHeight="1">
      <c r="A98" s="3850"/>
      <c r="B98" s="1350" t="s">
        <v>29</v>
      </c>
      <c r="C98" s="3892" t="s">
        <v>34</v>
      </c>
      <c r="D98" s="1351">
        <f>+D99</f>
        <v>0</v>
      </c>
      <c r="E98" s="1351">
        <f t="shared" ref="E98:X98" si="69">+E99</f>
        <v>0</v>
      </c>
      <c r="F98" s="1351">
        <f t="shared" si="69"/>
        <v>0</v>
      </c>
      <c r="G98" s="1351">
        <f t="shared" si="69"/>
        <v>0</v>
      </c>
      <c r="H98" s="1351">
        <f t="shared" si="69"/>
        <v>0</v>
      </c>
      <c r="I98" s="1351">
        <f t="shared" si="69"/>
        <v>0</v>
      </c>
      <c r="J98" s="1351">
        <f t="shared" si="69"/>
        <v>0</v>
      </c>
      <c r="K98" s="1351">
        <f t="shared" si="69"/>
        <v>0</v>
      </c>
      <c r="L98" s="1351">
        <f t="shared" si="69"/>
        <v>400476</v>
      </c>
      <c r="M98" s="1351">
        <f t="shared" si="69"/>
        <v>0</v>
      </c>
      <c r="N98" s="1351">
        <f t="shared" si="69"/>
        <v>2623659</v>
      </c>
      <c r="O98" s="1351">
        <f t="shared" si="69"/>
        <v>7550594</v>
      </c>
      <c r="P98" s="1351">
        <f t="shared" si="69"/>
        <v>0</v>
      </c>
      <c r="Q98" s="1426">
        <f t="shared" si="69"/>
        <v>0</v>
      </c>
      <c r="R98" s="1426">
        <f t="shared" si="69"/>
        <v>0</v>
      </c>
      <c r="S98" s="1426">
        <f t="shared" si="69"/>
        <v>0</v>
      </c>
      <c r="T98" s="1426">
        <f t="shared" si="69"/>
        <v>0</v>
      </c>
      <c r="U98" s="1426">
        <f t="shared" si="69"/>
        <v>0</v>
      </c>
      <c r="V98" s="1426">
        <f t="shared" si="69"/>
        <v>0</v>
      </c>
      <c r="W98" s="1427">
        <f t="shared" si="69"/>
        <v>0</v>
      </c>
      <c r="X98" s="1397" t="str">
        <f t="shared" si="69"/>
        <v>x</v>
      </c>
      <c r="Y98" s="3865"/>
    </row>
    <row r="99" spans="1:28" s="493" customFormat="1" ht="11.25" hidden="1" customHeight="1">
      <c r="A99" s="3850"/>
      <c r="B99" s="1356" t="s">
        <v>46</v>
      </c>
      <c r="C99" s="3883"/>
      <c r="D99" s="325">
        <v>0</v>
      </c>
      <c r="E99" s="1357">
        <f>+F99+G99+H99</f>
        <v>0</v>
      </c>
      <c r="F99" s="1357">
        <v>0</v>
      </c>
      <c r="G99" s="1357">
        <v>0</v>
      </c>
      <c r="H99" s="1357">
        <v>0</v>
      </c>
      <c r="I99" s="1357">
        <v>0</v>
      </c>
      <c r="J99" s="1357">
        <v>0</v>
      </c>
      <c r="K99" s="1357">
        <v>0</v>
      </c>
      <c r="L99" s="1357">
        <v>400476</v>
      </c>
      <c r="M99" s="2200">
        <v>0</v>
      </c>
      <c r="N99" s="1357">
        <f>4506398-1882739</f>
        <v>2623659</v>
      </c>
      <c r="O99" s="1357">
        <f>4184600+982505+2383489</f>
        <v>7550594</v>
      </c>
      <c r="P99" s="1357">
        <v>0</v>
      </c>
      <c r="Q99" s="1428">
        <v>0</v>
      </c>
      <c r="R99" s="1428">
        <v>0</v>
      </c>
      <c r="S99" s="1428">
        <v>0</v>
      </c>
      <c r="T99" s="1428">
        <v>0</v>
      </c>
      <c r="U99" s="1428">
        <v>0</v>
      </c>
      <c r="V99" s="1428">
        <v>0</v>
      </c>
      <c r="W99" s="1429">
        <v>0</v>
      </c>
      <c r="X99" s="1430" t="s">
        <v>75</v>
      </c>
      <c r="Y99" s="3865"/>
    </row>
    <row r="100" spans="1:28" s="493" customFormat="1" ht="13.5" hidden="1" customHeight="1">
      <c r="A100" s="3850"/>
      <c r="B100" s="1049" t="s">
        <v>33</v>
      </c>
      <c r="C100" s="1431"/>
      <c r="D100" s="1333">
        <f>D102</f>
        <v>0</v>
      </c>
      <c r="E100" s="1333">
        <f>E102</f>
        <v>0</v>
      </c>
      <c r="F100" s="1333">
        <f>F102</f>
        <v>0</v>
      </c>
      <c r="G100" s="1333">
        <f>G102</f>
        <v>0</v>
      </c>
      <c r="H100" s="1333">
        <f>H102</f>
        <v>0</v>
      </c>
      <c r="I100" s="1333">
        <f>+I101</f>
        <v>0</v>
      </c>
      <c r="J100" s="1333">
        <f t="shared" ref="J100:W101" si="70">+J101</f>
        <v>0</v>
      </c>
      <c r="K100" s="1333">
        <f t="shared" si="70"/>
        <v>0</v>
      </c>
      <c r="L100" s="1333">
        <f t="shared" si="70"/>
        <v>400476</v>
      </c>
      <c r="M100" s="1333">
        <f t="shared" si="70"/>
        <v>0</v>
      </c>
      <c r="N100" s="1333">
        <f t="shared" si="70"/>
        <v>2623659</v>
      </c>
      <c r="O100" s="1333">
        <f t="shared" si="70"/>
        <v>7550594</v>
      </c>
      <c r="P100" s="1333">
        <f t="shared" si="70"/>
        <v>0</v>
      </c>
      <c r="Q100" s="1372">
        <f t="shared" si="70"/>
        <v>0</v>
      </c>
      <c r="R100" s="1372">
        <f t="shared" si="70"/>
        <v>0</v>
      </c>
      <c r="S100" s="1372">
        <f t="shared" si="70"/>
        <v>0</v>
      </c>
      <c r="T100" s="1372">
        <f t="shared" si="70"/>
        <v>0</v>
      </c>
      <c r="U100" s="1372">
        <f t="shared" si="70"/>
        <v>0</v>
      </c>
      <c r="V100" s="1372">
        <f t="shared" si="70"/>
        <v>0</v>
      </c>
      <c r="W100" s="1373">
        <f t="shared" si="70"/>
        <v>0</v>
      </c>
      <c r="X100" s="3872" t="s">
        <v>75</v>
      </c>
      <c r="Y100" s="3865"/>
    </row>
    <row r="101" spans="1:28" s="493" customFormat="1" ht="13.5" hidden="1" customHeight="1">
      <c r="A101" s="3850"/>
      <c r="B101" s="1350" t="s">
        <v>29</v>
      </c>
      <c r="C101" s="3892" t="s">
        <v>34</v>
      </c>
      <c r="D101" s="1360">
        <f>+D102</f>
        <v>0</v>
      </c>
      <c r="E101" s="1360">
        <f t="shared" ref="E101:L101" si="71">+E102</f>
        <v>0</v>
      </c>
      <c r="F101" s="1360">
        <f t="shared" si="71"/>
        <v>0</v>
      </c>
      <c r="G101" s="1360">
        <f t="shared" si="71"/>
        <v>0</v>
      </c>
      <c r="H101" s="1360">
        <f t="shared" si="71"/>
        <v>0</v>
      </c>
      <c r="I101" s="1360">
        <f t="shared" si="71"/>
        <v>0</v>
      </c>
      <c r="J101" s="1360">
        <f t="shared" si="71"/>
        <v>0</v>
      </c>
      <c r="K101" s="1360">
        <f t="shared" si="71"/>
        <v>0</v>
      </c>
      <c r="L101" s="1360">
        <f t="shared" si="71"/>
        <v>400476</v>
      </c>
      <c r="M101" s="1360">
        <f>+M102</f>
        <v>0</v>
      </c>
      <c r="N101" s="1360">
        <f t="shared" si="70"/>
        <v>2623659</v>
      </c>
      <c r="O101" s="1360">
        <f t="shared" si="70"/>
        <v>7550594</v>
      </c>
      <c r="P101" s="1360">
        <f t="shared" si="70"/>
        <v>0</v>
      </c>
      <c r="Q101" s="1432">
        <f t="shared" si="70"/>
        <v>0</v>
      </c>
      <c r="R101" s="1432">
        <f t="shared" si="70"/>
        <v>0</v>
      </c>
      <c r="S101" s="1432">
        <f t="shared" si="70"/>
        <v>0</v>
      </c>
      <c r="T101" s="1432">
        <f t="shared" si="70"/>
        <v>0</v>
      </c>
      <c r="U101" s="1433">
        <f t="shared" si="70"/>
        <v>0</v>
      </c>
      <c r="V101" s="1433">
        <f t="shared" si="70"/>
        <v>0</v>
      </c>
      <c r="W101" s="1434">
        <f t="shared" si="70"/>
        <v>0</v>
      </c>
      <c r="X101" s="3873"/>
      <c r="Y101" s="3865"/>
    </row>
    <row r="102" spans="1:28" s="493" customFormat="1" ht="14.25" hidden="1" customHeight="1" thickBot="1">
      <c r="A102" s="3851"/>
      <c r="B102" s="1435" t="s">
        <v>46</v>
      </c>
      <c r="C102" s="3905"/>
      <c r="D102" s="325">
        <v>0</v>
      </c>
      <c r="E102" s="644">
        <v>0</v>
      </c>
      <c r="F102" s="644">
        <v>0</v>
      </c>
      <c r="G102" s="644">
        <v>0</v>
      </c>
      <c r="H102" s="644">
        <v>0</v>
      </c>
      <c r="I102" s="644">
        <v>0</v>
      </c>
      <c r="J102" s="644">
        <v>0</v>
      </c>
      <c r="K102" s="644">
        <v>0</v>
      </c>
      <c r="L102" s="644">
        <v>400476</v>
      </c>
      <c r="M102" s="2200">
        <v>0</v>
      </c>
      <c r="N102" s="644">
        <f>4506398-1882739</f>
        <v>2623659</v>
      </c>
      <c r="O102" s="644">
        <f>4184600+982505+2383489</f>
        <v>7550594</v>
      </c>
      <c r="P102" s="644">
        <v>0</v>
      </c>
      <c r="Q102" s="1436">
        <v>0</v>
      </c>
      <c r="R102" s="1436">
        <v>0</v>
      </c>
      <c r="S102" s="1436">
        <v>0</v>
      </c>
      <c r="T102" s="1436">
        <v>0</v>
      </c>
      <c r="U102" s="1436">
        <v>0</v>
      </c>
      <c r="V102" s="1436">
        <v>0</v>
      </c>
      <c r="W102" s="1437">
        <v>0</v>
      </c>
      <c r="X102" s="3874"/>
      <c r="Y102" s="3866"/>
    </row>
    <row r="103" spans="1:28" s="3483" customFormat="1" ht="51.75" hidden="1" customHeight="1">
      <c r="A103" s="3849" t="s">
        <v>103</v>
      </c>
      <c r="B103" s="1405"/>
      <c r="C103" s="1325" t="s">
        <v>95</v>
      </c>
      <c r="D103" s="1326"/>
      <c r="E103" s="1327"/>
      <c r="F103" s="1327"/>
      <c r="G103" s="1327"/>
      <c r="H103" s="1327"/>
      <c r="I103" s="1327"/>
      <c r="J103" s="1327"/>
      <c r="K103" s="1327"/>
      <c r="L103" s="1327"/>
      <c r="M103" s="1327"/>
      <c r="N103" s="1327"/>
      <c r="O103" s="1327"/>
      <c r="P103" s="1327"/>
      <c r="Q103" s="1327"/>
      <c r="R103" s="1327"/>
      <c r="S103" s="1327"/>
      <c r="T103" s="1327"/>
      <c r="U103" s="1327"/>
      <c r="V103" s="1327"/>
      <c r="W103" s="1326"/>
      <c r="X103" s="1329"/>
      <c r="Y103" s="3906" t="s">
        <v>429</v>
      </c>
      <c r="Z103" s="3904"/>
      <c r="AA103" s="3904"/>
      <c r="AB103" s="3904"/>
    </row>
    <row r="104" spans="1:28" s="3483" customFormat="1" ht="15" hidden="1" customHeight="1">
      <c r="A104" s="3897"/>
      <c r="B104" s="1049" t="s">
        <v>21</v>
      </c>
      <c r="C104" s="1332"/>
      <c r="D104" s="1333">
        <f>+D105+D109</f>
        <v>0</v>
      </c>
      <c r="E104" s="1333">
        <f t="shared" ref="E104:K104" si="72">+E105+E109</f>
        <v>0</v>
      </c>
      <c r="F104" s="1333">
        <f t="shared" si="72"/>
        <v>0</v>
      </c>
      <c r="G104" s="1333">
        <f t="shared" si="72"/>
        <v>12200</v>
      </c>
      <c r="H104" s="1333">
        <f t="shared" si="72"/>
        <v>1690859.03</v>
      </c>
      <c r="I104" s="1333">
        <f t="shared" si="72"/>
        <v>0</v>
      </c>
      <c r="J104" s="1333">
        <f t="shared" si="72"/>
        <v>0</v>
      </c>
      <c r="K104" s="1333">
        <f t="shared" si="72"/>
        <v>0</v>
      </c>
      <c r="L104" s="1333">
        <f t="shared" ref="L104:W104" si="73">+L105+L109</f>
        <v>0</v>
      </c>
      <c r="M104" s="1333">
        <f t="shared" si="73"/>
        <v>0</v>
      </c>
      <c r="N104" s="1333">
        <f t="shared" si="73"/>
        <v>117351</v>
      </c>
      <c r="O104" s="1333">
        <f t="shared" si="73"/>
        <v>22222069</v>
      </c>
      <c r="P104" s="1333">
        <f t="shared" si="73"/>
        <v>0</v>
      </c>
      <c r="Q104" s="1372">
        <f t="shared" si="73"/>
        <v>0</v>
      </c>
      <c r="R104" s="1372">
        <f t="shared" si="73"/>
        <v>0</v>
      </c>
      <c r="S104" s="1372">
        <f t="shared" si="73"/>
        <v>0</v>
      </c>
      <c r="T104" s="1372">
        <f t="shared" si="73"/>
        <v>0</v>
      </c>
      <c r="U104" s="1372">
        <f t="shared" si="73"/>
        <v>0</v>
      </c>
      <c r="V104" s="1372">
        <f t="shared" si="73"/>
        <v>0</v>
      </c>
      <c r="W104" s="1373">
        <f t="shared" si="73"/>
        <v>0</v>
      </c>
      <c r="X104" s="1374">
        <f>+X105</f>
        <v>0</v>
      </c>
      <c r="Y104" s="3907"/>
    </row>
    <row r="105" spans="1:28" s="3483" customFormat="1" ht="15" hidden="1" customHeight="1">
      <c r="A105" s="3897"/>
      <c r="B105" s="1338" t="s">
        <v>35</v>
      </c>
      <c r="C105" s="3861" t="s">
        <v>150</v>
      </c>
      <c r="D105" s="1339">
        <f>+D106+D107+D108</f>
        <v>0</v>
      </c>
      <c r="E105" s="1339">
        <f>+E106+E107</f>
        <v>0</v>
      </c>
      <c r="F105" s="1339">
        <f>+F106+F107</f>
        <v>0</v>
      </c>
      <c r="G105" s="1339">
        <f>+G106+G107</f>
        <v>12200</v>
      </c>
      <c r="H105" s="1339">
        <f>+H106+H107</f>
        <v>1690859.03</v>
      </c>
      <c r="I105" s="1339">
        <f t="shared" ref="I105:T105" si="74">+I106+I107</f>
        <v>0</v>
      </c>
      <c r="J105" s="1339">
        <f t="shared" si="74"/>
        <v>0</v>
      </c>
      <c r="K105" s="1339">
        <f t="shared" si="74"/>
        <v>0</v>
      </c>
      <c r="L105" s="1339">
        <f t="shared" si="74"/>
        <v>0</v>
      </c>
      <c r="M105" s="1339">
        <f>+M106+M107</f>
        <v>0</v>
      </c>
      <c r="N105" s="1339">
        <f t="shared" si="74"/>
        <v>117351</v>
      </c>
      <c r="O105" s="1339">
        <f>+O106+O107+O108</f>
        <v>7837124</v>
      </c>
      <c r="P105" s="1339">
        <f>+P106+P107+P108</f>
        <v>0</v>
      </c>
      <c r="Q105" s="1376">
        <f t="shared" si="74"/>
        <v>0</v>
      </c>
      <c r="R105" s="1376">
        <f t="shared" si="74"/>
        <v>0</v>
      </c>
      <c r="S105" s="1376">
        <f t="shared" si="74"/>
        <v>0</v>
      </c>
      <c r="T105" s="1376">
        <f t="shared" si="74"/>
        <v>0</v>
      </c>
      <c r="U105" s="1376">
        <f>+U106+U107</f>
        <v>0</v>
      </c>
      <c r="V105" s="1376">
        <f>+V106+V107</f>
        <v>0</v>
      </c>
      <c r="W105" s="1377">
        <f>+W106+W107</f>
        <v>0</v>
      </c>
      <c r="X105" s="1423">
        <f>+X107+X108</f>
        <v>0</v>
      </c>
      <c r="Y105" s="3908"/>
    </row>
    <row r="106" spans="1:28" s="3483" customFormat="1" hidden="1">
      <c r="A106" s="3897"/>
      <c r="B106" s="295" t="s">
        <v>151</v>
      </c>
      <c r="C106" s="3890"/>
      <c r="D106" s="325">
        <v>0</v>
      </c>
      <c r="E106" s="1344">
        <v>0</v>
      </c>
      <c r="F106" s="1344">
        <v>0</v>
      </c>
      <c r="G106" s="1344">
        <v>12200</v>
      </c>
      <c r="H106" s="1344">
        <v>1015859</v>
      </c>
      <c r="I106" s="1344">
        <v>0</v>
      </c>
      <c r="J106" s="1344">
        <v>0</v>
      </c>
      <c r="K106" s="1344">
        <v>0</v>
      </c>
      <c r="L106" s="1344">
        <v>0</v>
      </c>
      <c r="M106" s="2200">
        <v>0</v>
      </c>
      <c r="N106" s="1344">
        <f>1226982-1109631</f>
        <v>117351</v>
      </c>
      <c r="O106" s="1344">
        <f>7341386+209397-1550799-1301809</f>
        <v>4698175</v>
      </c>
      <c r="P106" s="1438">
        <v>0</v>
      </c>
      <c r="Q106" s="1424">
        <v>0</v>
      </c>
      <c r="R106" s="1424">
        <v>0</v>
      </c>
      <c r="S106" s="1424">
        <v>0</v>
      </c>
      <c r="T106" s="1424">
        <v>0</v>
      </c>
      <c r="U106" s="1424">
        <v>0</v>
      </c>
      <c r="V106" s="1424">
        <v>0</v>
      </c>
      <c r="W106" s="1425">
        <v>0</v>
      </c>
      <c r="X106" s="1318" t="s">
        <v>75</v>
      </c>
      <c r="Y106" s="3908"/>
    </row>
    <row r="107" spans="1:28" s="3483" customFormat="1" ht="13.5" hidden="1" customHeight="1">
      <c r="A107" s="3897"/>
      <c r="B107" s="1348" t="s">
        <v>147</v>
      </c>
      <c r="C107" s="3891"/>
      <c r="D107" s="325">
        <v>0</v>
      </c>
      <c r="E107" s="1344">
        <v>0</v>
      </c>
      <c r="F107" s="1344">
        <v>0</v>
      </c>
      <c r="G107" s="1344">
        <v>0</v>
      </c>
      <c r="H107" s="1344">
        <v>675000.03</v>
      </c>
      <c r="I107" s="1344">
        <v>0</v>
      </c>
      <c r="J107" s="1344">
        <v>0</v>
      </c>
      <c r="K107" s="1344">
        <v>0</v>
      </c>
      <c r="L107" s="1344">
        <v>0</v>
      </c>
      <c r="M107" s="2200">
        <v>0</v>
      </c>
      <c r="N107" s="1344">
        <v>0</v>
      </c>
      <c r="O107" s="1344">
        <v>1000000</v>
      </c>
      <c r="P107" s="1438">
        <v>0</v>
      </c>
      <c r="Q107" s="1424">
        <v>0</v>
      </c>
      <c r="R107" s="1424">
        <v>0</v>
      </c>
      <c r="S107" s="1424">
        <v>0</v>
      </c>
      <c r="T107" s="1424">
        <v>0</v>
      </c>
      <c r="U107" s="1424">
        <v>0</v>
      </c>
      <c r="V107" s="1424">
        <v>0</v>
      </c>
      <c r="W107" s="1424">
        <v>0</v>
      </c>
      <c r="X107" s="1383">
        <f>SUM(Q107:W107)</f>
        <v>0</v>
      </c>
      <c r="Y107" s="3908"/>
    </row>
    <row r="108" spans="1:28" s="3483" customFormat="1" ht="13.5" hidden="1" customHeight="1">
      <c r="A108" s="3897"/>
      <c r="B108" s="295" t="s">
        <v>24</v>
      </c>
      <c r="C108" s="3473"/>
      <c r="D108" s="325">
        <v>0</v>
      </c>
      <c r="E108" s="1344"/>
      <c r="F108" s="1344"/>
      <c r="G108" s="1344"/>
      <c r="H108" s="1344"/>
      <c r="I108" s="1344"/>
      <c r="J108" s="1344"/>
      <c r="K108" s="1344"/>
      <c r="L108" s="1344"/>
      <c r="M108" s="2200">
        <v>0</v>
      </c>
      <c r="N108" s="1344">
        <v>0</v>
      </c>
      <c r="O108" s="1344">
        <f>3056332-917383</f>
        <v>2138949</v>
      </c>
      <c r="P108" s="1344">
        <v>0</v>
      </c>
      <c r="Q108" s="1424">
        <v>0</v>
      </c>
      <c r="R108" s="1424">
        <v>0</v>
      </c>
      <c r="S108" s="1424">
        <v>0</v>
      </c>
      <c r="T108" s="1424">
        <v>0</v>
      </c>
      <c r="U108" s="1424">
        <v>0</v>
      </c>
      <c r="V108" s="1424">
        <v>0</v>
      </c>
      <c r="W108" s="1424">
        <v>0</v>
      </c>
      <c r="X108" s="1383">
        <f>SUM(Q108:W108)</f>
        <v>0</v>
      </c>
      <c r="Y108" s="3908"/>
    </row>
    <row r="109" spans="1:28" s="3483" customFormat="1" ht="13.5" hidden="1" customHeight="1">
      <c r="A109" s="3897"/>
      <c r="B109" s="1350" t="s">
        <v>29</v>
      </c>
      <c r="C109" s="3892" t="s">
        <v>34</v>
      </c>
      <c r="D109" s="1351">
        <f>+D110</f>
        <v>0</v>
      </c>
      <c r="E109" s="1351">
        <f t="shared" ref="E109:X109" si="75">+E110</f>
        <v>0</v>
      </c>
      <c r="F109" s="1351">
        <f t="shared" si="75"/>
        <v>0</v>
      </c>
      <c r="G109" s="1351">
        <f t="shared" si="75"/>
        <v>0</v>
      </c>
      <c r="H109" s="1351">
        <f t="shared" si="75"/>
        <v>0</v>
      </c>
      <c r="I109" s="1351">
        <f t="shared" si="75"/>
        <v>0</v>
      </c>
      <c r="J109" s="1351">
        <f t="shared" si="75"/>
        <v>0</v>
      </c>
      <c r="K109" s="1351">
        <f t="shared" si="75"/>
        <v>0</v>
      </c>
      <c r="L109" s="1351">
        <f t="shared" si="75"/>
        <v>0</v>
      </c>
      <c r="M109" s="1351">
        <f t="shared" si="75"/>
        <v>0</v>
      </c>
      <c r="N109" s="1351">
        <f t="shared" si="75"/>
        <v>0</v>
      </c>
      <c r="O109" s="1351">
        <f t="shared" si="75"/>
        <v>14384945</v>
      </c>
      <c r="P109" s="1351">
        <f>+P110</f>
        <v>0</v>
      </c>
      <c r="Q109" s="1426">
        <f t="shared" si="75"/>
        <v>0</v>
      </c>
      <c r="R109" s="1426">
        <f t="shared" si="75"/>
        <v>0</v>
      </c>
      <c r="S109" s="1426">
        <f t="shared" si="75"/>
        <v>0</v>
      </c>
      <c r="T109" s="1426">
        <f t="shared" si="75"/>
        <v>0</v>
      </c>
      <c r="U109" s="1426">
        <f t="shared" si="75"/>
        <v>0</v>
      </c>
      <c r="V109" s="1426">
        <f t="shared" si="75"/>
        <v>0</v>
      </c>
      <c r="W109" s="1426">
        <f t="shared" si="75"/>
        <v>0</v>
      </c>
      <c r="X109" s="1397" t="str">
        <f t="shared" si="75"/>
        <v>x</v>
      </c>
      <c r="Y109" s="3908"/>
    </row>
    <row r="110" spans="1:28" s="3483" customFormat="1" ht="11.25" hidden="1" customHeight="1">
      <c r="A110" s="3897"/>
      <c r="B110" s="1356" t="s">
        <v>46</v>
      </c>
      <c r="C110" s="3883"/>
      <c r="D110" s="325">
        <v>0</v>
      </c>
      <c r="E110" s="1357">
        <f>+F110+G110+H110</f>
        <v>0</v>
      </c>
      <c r="F110" s="1357">
        <v>0</v>
      </c>
      <c r="G110" s="1357">
        <v>0</v>
      </c>
      <c r="H110" s="1357">
        <v>0</v>
      </c>
      <c r="I110" s="1357">
        <v>0</v>
      </c>
      <c r="J110" s="1357">
        <v>0</v>
      </c>
      <c r="K110" s="1357">
        <v>0</v>
      </c>
      <c r="L110" s="1357">
        <v>0</v>
      </c>
      <c r="M110" s="2200">
        <v>0</v>
      </c>
      <c r="N110" s="1357">
        <f>1599973-1599973</f>
        <v>0</v>
      </c>
      <c r="O110" s="1357">
        <f>10836665+2500207+1053375-678564+673262</f>
        <v>14384945</v>
      </c>
      <c r="P110" s="1357">
        <v>0</v>
      </c>
      <c r="Q110" s="1428">
        <v>0</v>
      </c>
      <c r="R110" s="1428">
        <v>0</v>
      </c>
      <c r="S110" s="1428">
        <v>0</v>
      </c>
      <c r="T110" s="1428">
        <v>0</v>
      </c>
      <c r="U110" s="1428">
        <v>0</v>
      </c>
      <c r="V110" s="1428">
        <v>0</v>
      </c>
      <c r="W110" s="1428">
        <v>0</v>
      </c>
      <c r="X110" s="1430" t="s">
        <v>75</v>
      </c>
      <c r="Y110" s="3908"/>
    </row>
    <row r="111" spans="1:28" s="3483" customFormat="1" ht="13.5" hidden="1" customHeight="1">
      <c r="A111" s="3897"/>
      <c r="B111" s="1049" t="s">
        <v>33</v>
      </c>
      <c r="C111" s="1358"/>
      <c r="D111" s="1333">
        <f>+D112+D114</f>
        <v>0</v>
      </c>
      <c r="E111" s="1333">
        <f>E115</f>
        <v>0</v>
      </c>
      <c r="F111" s="1333">
        <f>F115</f>
        <v>0</v>
      </c>
      <c r="G111" s="1333">
        <f>G115</f>
        <v>0</v>
      </c>
      <c r="H111" s="1333">
        <f>H115</f>
        <v>0</v>
      </c>
      <c r="I111" s="1333">
        <f t="shared" ref="I111:N111" si="76">+I114</f>
        <v>0</v>
      </c>
      <c r="J111" s="1333">
        <f t="shared" si="76"/>
        <v>0</v>
      </c>
      <c r="K111" s="1333">
        <f t="shared" si="76"/>
        <v>0</v>
      </c>
      <c r="L111" s="1333">
        <f t="shared" si="76"/>
        <v>0</v>
      </c>
      <c r="M111" s="1333">
        <f t="shared" si="76"/>
        <v>0</v>
      </c>
      <c r="N111" s="1333">
        <f t="shared" si="76"/>
        <v>0</v>
      </c>
      <c r="O111" s="1333">
        <f>+O112+O114</f>
        <v>16523894</v>
      </c>
      <c r="P111" s="1333">
        <f>+P114+P112</f>
        <v>0</v>
      </c>
      <c r="Q111" s="1372">
        <f t="shared" ref="Q111:W111" si="77">+Q114</f>
        <v>0</v>
      </c>
      <c r="R111" s="1372">
        <f t="shared" si="77"/>
        <v>0</v>
      </c>
      <c r="S111" s="1372">
        <f t="shared" si="77"/>
        <v>0</v>
      </c>
      <c r="T111" s="1372">
        <f t="shared" si="77"/>
        <v>0</v>
      </c>
      <c r="U111" s="1372">
        <f t="shared" si="77"/>
        <v>0</v>
      </c>
      <c r="V111" s="1372">
        <f t="shared" si="77"/>
        <v>0</v>
      </c>
      <c r="W111" s="1372">
        <f t="shared" si="77"/>
        <v>0</v>
      </c>
      <c r="X111" s="3872" t="s">
        <v>75</v>
      </c>
      <c r="Y111" s="3908"/>
    </row>
    <row r="112" spans="1:28" s="3483" customFormat="1" ht="13.5" hidden="1" customHeight="1">
      <c r="A112" s="3897"/>
      <c r="B112" s="1338" t="s">
        <v>35</v>
      </c>
      <c r="C112" s="3892">
        <v>75861</v>
      </c>
      <c r="D112" s="1439">
        <f>+D113</f>
        <v>0</v>
      </c>
      <c r="E112" s="1439"/>
      <c r="F112" s="1439"/>
      <c r="G112" s="1439"/>
      <c r="H112" s="1439"/>
      <c r="I112" s="1439"/>
      <c r="J112" s="1439"/>
      <c r="K112" s="1439"/>
      <c r="L112" s="1439"/>
      <c r="M112" s="1439"/>
      <c r="N112" s="1439"/>
      <c r="O112" s="1439">
        <f>+O113</f>
        <v>2138949</v>
      </c>
      <c r="P112" s="1439">
        <f>+P113</f>
        <v>0</v>
      </c>
      <c r="Q112" s="1432"/>
      <c r="R112" s="1432"/>
      <c r="S112" s="1432"/>
      <c r="T112" s="1432"/>
      <c r="U112" s="1432"/>
      <c r="V112" s="1432"/>
      <c r="W112" s="1432"/>
      <c r="X112" s="3873"/>
      <c r="Y112" s="3908"/>
    </row>
    <row r="113" spans="1:27" s="3483" customFormat="1" ht="13.5" hidden="1" customHeight="1">
      <c r="A113" s="3897"/>
      <c r="B113" s="295" t="s">
        <v>24</v>
      </c>
      <c r="C113" s="3883"/>
      <c r="D113" s="325">
        <f>M113+P113+Q113+R113+S113+T113+U113+V113+W113</f>
        <v>0</v>
      </c>
      <c r="E113" s="1344"/>
      <c r="F113" s="1344"/>
      <c r="G113" s="1344"/>
      <c r="H113" s="1344"/>
      <c r="I113" s="1344"/>
      <c r="J113" s="1344"/>
      <c r="K113" s="1344"/>
      <c r="L113" s="1344"/>
      <c r="M113" s="2200">
        <v>0</v>
      </c>
      <c r="N113" s="1344">
        <v>0</v>
      </c>
      <c r="O113" s="1344">
        <f>3056332-917383</f>
        <v>2138949</v>
      </c>
      <c r="P113" s="1344">
        <v>0</v>
      </c>
      <c r="Q113" s="1424">
        <v>0</v>
      </c>
      <c r="R113" s="1424">
        <v>0</v>
      </c>
      <c r="S113" s="1424">
        <v>0</v>
      </c>
      <c r="T113" s="1424">
        <v>0</v>
      </c>
      <c r="U113" s="1424">
        <v>0</v>
      </c>
      <c r="V113" s="1424">
        <v>0</v>
      </c>
      <c r="W113" s="1424">
        <v>0</v>
      </c>
      <c r="X113" s="3873"/>
      <c r="Y113" s="3908"/>
    </row>
    <row r="114" spans="1:27" s="3483" customFormat="1" ht="13.5" hidden="1" customHeight="1">
      <c r="A114" s="3897"/>
      <c r="B114" s="1350" t="s">
        <v>29</v>
      </c>
      <c r="C114" s="3862" t="s">
        <v>34</v>
      </c>
      <c r="D114" s="1439">
        <f>+D115</f>
        <v>0</v>
      </c>
      <c r="E114" s="1360">
        <f t="shared" ref="E114:M114" si="78">+E115</f>
        <v>0</v>
      </c>
      <c r="F114" s="1360">
        <f t="shared" si="78"/>
        <v>0</v>
      </c>
      <c r="G114" s="1360">
        <f t="shared" si="78"/>
        <v>0</v>
      </c>
      <c r="H114" s="1360">
        <f t="shared" si="78"/>
        <v>0</v>
      </c>
      <c r="I114" s="1360">
        <f t="shared" si="78"/>
        <v>0</v>
      </c>
      <c r="J114" s="1360">
        <f t="shared" si="78"/>
        <v>0</v>
      </c>
      <c r="K114" s="1360">
        <f t="shared" si="78"/>
        <v>0</v>
      </c>
      <c r="L114" s="1360">
        <f t="shared" si="78"/>
        <v>0</v>
      </c>
      <c r="M114" s="1360">
        <f t="shared" si="78"/>
        <v>0</v>
      </c>
      <c r="N114" s="1360">
        <f t="shared" ref="N114:W114" si="79">+N115</f>
        <v>0</v>
      </c>
      <c r="O114" s="1439">
        <f t="shared" si="79"/>
        <v>14384945</v>
      </c>
      <c r="P114" s="1439">
        <f t="shared" si="79"/>
        <v>0</v>
      </c>
      <c r="Q114" s="1432">
        <f t="shared" si="79"/>
        <v>0</v>
      </c>
      <c r="R114" s="1432">
        <f t="shared" si="79"/>
        <v>0</v>
      </c>
      <c r="S114" s="1432">
        <f t="shared" si="79"/>
        <v>0</v>
      </c>
      <c r="T114" s="1433">
        <f t="shared" si="79"/>
        <v>0</v>
      </c>
      <c r="U114" s="1432">
        <f t="shared" si="79"/>
        <v>0</v>
      </c>
      <c r="V114" s="1432">
        <f t="shared" si="79"/>
        <v>0</v>
      </c>
      <c r="W114" s="1433">
        <f t="shared" si="79"/>
        <v>0</v>
      </c>
      <c r="X114" s="3873"/>
      <c r="Y114" s="3908"/>
    </row>
    <row r="115" spans="1:27" s="3483" customFormat="1" ht="14.25" hidden="1" customHeight="1" thickBot="1">
      <c r="A115" s="3898"/>
      <c r="B115" s="1435" t="s">
        <v>46</v>
      </c>
      <c r="C115" s="3905"/>
      <c r="D115" s="325">
        <v>0</v>
      </c>
      <c r="E115" s="644">
        <v>0</v>
      </c>
      <c r="F115" s="644"/>
      <c r="G115" s="644"/>
      <c r="H115" s="644"/>
      <c r="I115" s="644">
        <v>0</v>
      </c>
      <c r="J115" s="644">
        <v>0</v>
      </c>
      <c r="K115" s="644">
        <v>0</v>
      </c>
      <c r="L115" s="644">
        <v>0</v>
      </c>
      <c r="M115" s="2200">
        <v>0</v>
      </c>
      <c r="N115" s="644">
        <f>1599973-1599973</f>
        <v>0</v>
      </c>
      <c r="O115" s="644">
        <f>10836665+2500207+1053375-678564+673262</f>
        <v>14384945</v>
      </c>
      <c r="P115" s="1440">
        <v>0</v>
      </c>
      <c r="Q115" s="1436">
        <v>0</v>
      </c>
      <c r="R115" s="1436">
        <v>0</v>
      </c>
      <c r="S115" s="1436">
        <v>0</v>
      </c>
      <c r="T115" s="1436">
        <v>0</v>
      </c>
      <c r="U115" s="1412">
        <v>0</v>
      </c>
      <c r="V115" s="1413">
        <v>0</v>
      </c>
      <c r="W115" s="1437">
        <v>0</v>
      </c>
      <c r="X115" s="3874"/>
      <c r="Y115" s="3909"/>
    </row>
    <row r="116" spans="1:27" s="493" customFormat="1" ht="37.5" customHeight="1">
      <c r="A116" s="3857" t="s">
        <v>81</v>
      </c>
      <c r="B116" s="1405" t="s">
        <v>590</v>
      </c>
      <c r="C116" s="1325" t="s">
        <v>125</v>
      </c>
      <c r="D116" s="1406"/>
      <c r="E116" s="1050"/>
      <c r="F116" s="1050"/>
      <c r="G116" s="1050"/>
      <c r="H116" s="1050"/>
      <c r="I116" s="1050"/>
      <c r="J116" s="3479"/>
      <c r="K116" s="3479"/>
      <c r="L116" s="3479"/>
      <c r="M116" s="3479"/>
      <c r="N116" s="3479"/>
      <c r="O116" s="3479"/>
      <c r="P116" s="3479"/>
      <c r="Q116" s="3479"/>
      <c r="R116" s="3479"/>
      <c r="S116" s="3479"/>
      <c r="T116" s="3479"/>
      <c r="U116" s="3479"/>
      <c r="V116" s="1415"/>
      <c r="W116" s="1406"/>
      <c r="X116" s="1407"/>
      <c r="Y116" s="3900" t="s">
        <v>589</v>
      </c>
    </row>
    <row r="117" spans="1:27" s="493" customFormat="1" ht="14.25" customHeight="1">
      <c r="A117" s="3858"/>
      <c r="B117" s="1049" t="s">
        <v>21</v>
      </c>
      <c r="C117" s="3490"/>
      <c r="D117" s="1408">
        <f>+D118</f>
        <v>8000000</v>
      </c>
      <c r="E117" s="1408">
        <f>+E118</f>
        <v>0</v>
      </c>
      <c r="F117" s="1408">
        <f t="shared" ref="F117:X117" si="80">+F118</f>
        <v>0</v>
      </c>
      <c r="G117" s="1408">
        <f t="shared" si="80"/>
        <v>0</v>
      </c>
      <c r="H117" s="1408">
        <f t="shared" si="80"/>
        <v>0</v>
      </c>
      <c r="I117" s="1408">
        <f t="shared" si="80"/>
        <v>0</v>
      </c>
      <c r="J117" s="1408">
        <f t="shared" si="80"/>
        <v>0</v>
      </c>
      <c r="K117" s="1408">
        <f t="shared" si="80"/>
        <v>0</v>
      </c>
      <c r="L117" s="1408">
        <f t="shared" si="80"/>
        <v>0</v>
      </c>
      <c r="M117" s="1745">
        <f t="shared" si="80"/>
        <v>0</v>
      </c>
      <c r="N117" s="1408">
        <f t="shared" si="80"/>
        <v>0</v>
      </c>
      <c r="O117" s="1408">
        <f t="shared" si="80"/>
        <v>0</v>
      </c>
      <c r="P117" s="1408">
        <f t="shared" si="80"/>
        <v>685714</v>
      </c>
      <c r="Q117" s="1408">
        <f t="shared" si="80"/>
        <v>685714</v>
      </c>
      <c r="R117" s="1408">
        <f t="shared" si="80"/>
        <v>685714</v>
      </c>
      <c r="S117" s="1408">
        <f t="shared" si="80"/>
        <v>685714</v>
      </c>
      <c r="T117" s="1408">
        <f t="shared" si="80"/>
        <v>685714</v>
      </c>
      <c r="U117" s="1408">
        <f t="shared" si="80"/>
        <v>685714</v>
      </c>
      <c r="V117" s="3510">
        <f t="shared" si="80"/>
        <v>685714</v>
      </c>
      <c r="W117" s="3510">
        <f t="shared" si="80"/>
        <v>685714</v>
      </c>
      <c r="X117" s="3511">
        <f t="shared" si="80"/>
        <v>685714</v>
      </c>
      <c r="Y117" s="3901"/>
    </row>
    <row r="118" spans="1:27" s="477" customFormat="1" ht="15.75" customHeight="1">
      <c r="A118" s="3858"/>
      <c r="B118" s="1338" t="s">
        <v>35</v>
      </c>
      <c r="C118" s="3854" t="s">
        <v>153</v>
      </c>
      <c r="D118" s="1417">
        <f>+D119+D120</f>
        <v>8000000</v>
      </c>
      <c r="E118" s="1417">
        <f t="shared" ref="E118:L118" si="81">+E121</f>
        <v>0</v>
      </c>
      <c r="F118" s="1417">
        <f t="shared" si="81"/>
        <v>0</v>
      </c>
      <c r="G118" s="1417">
        <f t="shared" si="81"/>
        <v>0</v>
      </c>
      <c r="H118" s="1417">
        <f t="shared" si="81"/>
        <v>0</v>
      </c>
      <c r="I118" s="1417">
        <f t="shared" si="81"/>
        <v>0</v>
      </c>
      <c r="J118" s="1417">
        <f t="shared" si="81"/>
        <v>0</v>
      </c>
      <c r="K118" s="1417">
        <f t="shared" si="81"/>
        <v>0</v>
      </c>
      <c r="L118" s="1417">
        <f t="shared" si="81"/>
        <v>0</v>
      </c>
      <c r="M118" s="1376">
        <f>+M119+M121</f>
        <v>0</v>
      </c>
      <c r="N118" s="1417">
        <f>+N119+N121</f>
        <v>0</v>
      </c>
      <c r="O118" s="1417">
        <f t="shared" ref="O118:X118" si="82">+O119+O120</f>
        <v>0</v>
      </c>
      <c r="P118" s="1417">
        <f t="shared" si="82"/>
        <v>685714</v>
      </c>
      <c r="Q118" s="1417">
        <f t="shared" si="82"/>
        <v>685714</v>
      </c>
      <c r="R118" s="1417">
        <f t="shared" si="82"/>
        <v>685714</v>
      </c>
      <c r="S118" s="1417">
        <f t="shared" si="82"/>
        <v>685714</v>
      </c>
      <c r="T118" s="1417">
        <f t="shared" si="82"/>
        <v>685714</v>
      </c>
      <c r="U118" s="1417">
        <f t="shared" si="82"/>
        <v>685714</v>
      </c>
      <c r="V118" s="2373">
        <f t="shared" si="82"/>
        <v>685714</v>
      </c>
      <c r="W118" s="2373">
        <f t="shared" si="82"/>
        <v>685714</v>
      </c>
      <c r="X118" s="1410">
        <f t="shared" si="82"/>
        <v>685714</v>
      </c>
      <c r="Y118" s="3901"/>
    </row>
    <row r="119" spans="1:27" s="477" customFormat="1" ht="13.5" customHeight="1">
      <c r="A119" s="3858"/>
      <c r="B119" s="3512" t="s">
        <v>151</v>
      </c>
      <c r="C119" s="3855"/>
      <c r="D119" s="1418">
        <f>+M119+P119+Q119+R119+S119+T119+U119+V119+W119+685714+685714+685714+457146</f>
        <v>7314286</v>
      </c>
      <c r="E119" s="1418"/>
      <c r="F119" s="379"/>
      <c r="G119" s="3513"/>
      <c r="H119" s="3513"/>
      <c r="I119" s="3514"/>
      <c r="J119" s="3514"/>
      <c r="K119" s="3514"/>
      <c r="L119" s="1418"/>
      <c r="M119" s="1381">
        <v>0</v>
      </c>
      <c r="N119" s="3514">
        <v>0</v>
      </c>
      <c r="O119" s="3514">
        <v>0</v>
      </c>
      <c r="P119" s="3514">
        <f t="shared" ref="P119:W120" si="83">1000000-314286</f>
        <v>685714</v>
      </c>
      <c r="Q119" s="3514">
        <v>0</v>
      </c>
      <c r="R119" s="3514">
        <f t="shared" si="83"/>
        <v>685714</v>
      </c>
      <c r="S119" s="3514">
        <f t="shared" si="83"/>
        <v>685714</v>
      </c>
      <c r="T119" s="3514">
        <f t="shared" si="83"/>
        <v>685714</v>
      </c>
      <c r="U119" s="3514">
        <f t="shared" si="83"/>
        <v>685714</v>
      </c>
      <c r="V119" s="3514">
        <f t="shared" si="83"/>
        <v>685714</v>
      </c>
      <c r="W119" s="3514">
        <f t="shared" si="83"/>
        <v>685714</v>
      </c>
      <c r="X119" s="3107">
        <v>0</v>
      </c>
      <c r="Y119" s="3901"/>
    </row>
    <row r="120" spans="1:27" s="477" customFormat="1" ht="15" customHeight="1" thickBot="1">
      <c r="A120" s="3476"/>
      <c r="B120" s="3109" t="s">
        <v>154</v>
      </c>
      <c r="C120" s="3856"/>
      <c r="D120" s="325">
        <f>X120+P120</f>
        <v>685714</v>
      </c>
      <c r="E120" s="1421">
        <v>0</v>
      </c>
      <c r="F120" s="298"/>
      <c r="G120" s="1422"/>
      <c r="H120" s="1422"/>
      <c r="I120" s="1416">
        <v>0</v>
      </c>
      <c r="J120" s="1140">
        <v>0</v>
      </c>
      <c r="K120" s="1140">
        <v>0</v>
      </c>
      <c r="L120" s="1421">
        <v>0</v>
      </c>
      <c r="M120" s="3472">
        <f>+E120+I120+J120+K120+L120+N120+O120</f>
        <v>0</v>
      </c>
      <c r="N120" s="1140">
        <v>0</v>
      </c>
      <c r="O120" s="3514">
        <v>0</v>
      </c>
      <c r="P120" s="3515">
        <v>0</v>
      </c>
      <c r="Q120" s="3514">
        <f t="shared" si="83"/>
        <v>685714</v>
      </c>
      <c r="R120" s="3515">
        <v>0</v>
      </c>
      <c r="S120" s="3515">
        <v>0</v>
      </c>
      <c r="T120" s="3515">
        <v>0</v>
      </c>
      <c r="U120" s="3515">
        <v>0</v>
      </c>
      <c r="V120" s="3515">
        <v>0</v>
      </c>
      <c r="W120" s="3515">
        <v>0</v>
      </c>
      <c r="X120" s="3516">
        <f>+Q120</f>
        <v>685714</v>
      </c>
      <c r="Y120" s="3902"/>
      <c r="Z120" s="3110"/>
    </row>
    <row r="121" spans="1:27" s="493" customFormat="1" ht="26.25" customHeight="1">
      <c r="A121" s="3857" t="s">
        <v>133</v>
      </c>
      <c r="B121" s="1414" t="s">
        <v>279</v>
      </c>
      <c r="C121" s="1325" t="s">
        <v>125</v>
      </c>
      <c r="D121" s="1406"/>
      <c r="E121" s="1050"/>
      <c r="F121" s="1050"/>
      <c r="G121" s="1050"/>
      <c r="H121" s="1050"/>
      <c r="I121" s="1050"/>
      <c r="J121" s="3479"/>
      <c r="K121" s="3479"/>
      <c r="L121" s="3479"/>
      <c r="M121" s="3479"/>
      <c r="N121" s="3479"/>
      <c r="O121" s="3479"/>
      <c r="P121" s="3479"/>
      <c r="Q121" s="3479"/>
      <c r="R121" s="3479"/>
      <c r="S121" s="3479"/>
      <c r="T121" s="3479"/>
      <c r="U121" s="3479"/>
      <c r="V121" s="1415"/>
      <c r="W121" s="1406"/>
      <c r="X121" s="1407"/>
      <c r="Y121" s="3900" t="s">
        <v>426</v>
      </c>
    </row>
    <row r="122" spans="1:27" s="493" customFormat="1" ht="13.5" customHeight="1">
      <c r="A122" s="3858"/>
      <c r="B122" s="1049" t="s">
        <v>21</v>
      </c>
      <c r="C122" s="1358"/>
      <c r="D122" s="1333">
        <f>+D123</f>
        <v>6000000</v>
      </c>
      <c r="E122" s="1333">
        <f>+E123</f>
        <v>0</v>
      </c>
      <c r="F122" s="1333">
        <f t="shared" ref="F122:W122" si="84">+F123</f>
        <v>0</v>
      </c>
      <c r="G122" s="1333">
        <f t="shared" si="84"/>
        <v>0</v>
      </c>
      <c r="H122" s="1333">
        <f t="shared" si="84"/>
        <v>0</v>
      </c>
      <c r="I122" s="1333">
        <f t="shared" si="84"/>
        <v>0</v>
      </c>
      <c r="J122" s="1333">
        <f t="shared" si="84"/>
        <v>0</v>
      </c>
      <c r="K122" s="1333">
        <f t="shared" si="84"/>
        <v>0</v>
      </c>
      <c r="L122" s="1333">
        <f t="shared" si="84"/>
        <v>0</v>
      </c>
      <c r="M122" s="1333">
        <f t="shared" si="84"/>
        <v>1027241</v>
      </c>
      <c r="N122" s="1333">
        <f t="shared" si="84"/>
        <v>0</v>
      </c>
      <c r="O122" s="1333">
        <f t="shared" si="84"/>
        <v>1027241</v>
      </c>
      <c r="P122" s="1333">
        <f t="shared" si="84"/>
        <v>1629446</v>
      </c>
      <c r="Q122" s="1333">
        <f t="shared" si="84"/>
        <v>1570232</v>
      </c>
      <c r="R122" s="1333">
        <f t="shared" si="84"/>
        <v>1511018</v>
      </c>
      <c r="S122" s="1333">
        <f t="shared" si="84"/>
        <v>262063</v>
      </c>
      <c r="T122" s="1372">
        <f t="shared" si="84"/>
        <v>0</v>
      </c>
      <c r="U122" s="1372">
        <f t="shared" si="84"/>
        <v>0</v>
      </c>
      <c r="V122" s="1373">
        <f t="shared" si="84"/>
        <v>0</v>
      </c>
      <c r="W122" s="1373">
        <f t="shared" si="84"/>
        <v>0</v>
      </c>
      <c r="X122" s="1374">
        <f>+X123</f>
        <v>1570232</v>
      </c>
      <c r="Y122" s="3901"/>
    </row>
    <row r="123" spans="1:27" s="477" customFormat="1" ht="13.5" customHeight="1">
      <c r="A123" s="3858"/>
      <c r="B123" s="1338" t="s">
        <v>35</v>
      </c>
      <c r="C123" s="3854" t="s">
        <v>153</v>
      </c>
      <c r="D123" s="1417">
        <f>+D124+D125</f>
        <v>6000000</v>
      </c>
      <c r="E123" s="1417">
        <f t="shared" ref="E123:L123" si="85">+E125</f>
        <v>0</v>
      </c>
      <c r="F123" s="1417">
        <f t="shared" si="85"/>
        <v>0</v>
      </c>
      <c r="G123" s="1417">
        <f t="shared" si="85"/>
        <v>0</v>
      </c>
      <c r="H123" s="1417">
        <f t="shared" si="85"/>
        <v>0</v>
      </c>
      <c r="I123" s="1417">
        <f t="shared" si="85"/>
        <v>0</v>
      </c>
      <c r="J123" s="1417">
        <f t="shared" si="85"/>
        <v>0</v>
      </c>
      <c r="K123" s="1417">
        <f t="shared" si="85"/>
        <v>0</v>
      </c>
      <c r="L123" s="1417">
        <f t="shared" si="85"/>
        <v>0</v>
      </c>
      <c r="M123" s="1339">
        <f t="shared" ref="M123:W123" si="86">+M124+M125</f>
        <v>1027241</v>
      </c>
      <c r="N123" s="1417">
        <f t="shared" si="86"/>
        <v>0</v>
      </c>
      <c r="O123" s="1417">
        <f t="shared" si="86"/>
        <v>1027241</v>
      </c>
      <c r="P123" s="1417">
        <f t="shared" si="86"/>
        <v>1629446</v>
      </c>
      <c r="Q123" s="1417">
        <f t="shared" si="86"/>
        <v>1570232</v>
      </c>
      <c r="R123" s="1417">
        <f t="shared" si="86"/>
        <v>1511018</v>
      </c>
      <c r="S123" s="1417">
        <f t="shared" si="86"/>
        <v>262063</v>
      </c>
      <c r="T123" s="3471">
        <f t="shared" si="86"/>
        <v>0</v>
      </c>
      <c r="U123" s="3471">
        <f t="shared" si="86"/>
        <v>0</v>
      </c>
      <c r="V123" s="1441">
        <f t="shared" si="86"/>
        <v>0</v>
      </c>
      <c r="W123" s="1441">
        <f t="shared" si="86"/>
        <v>0</v>
      </c>
      <c r="X123" s="1410">
        <f>+X125</f>
        <v>1570232</v>
      </c>
      <c r="Y123" s="3901"/>
      <c r="AA123" s="1442"/>
    </row>
    <row r="124" spans="1:27" s="477" customFormat="1" ht="13.5" customHeight="1">
      <c r="A124" s="3858"/>
      <c r="B124" s="1411" t="s">
        <v>151</v>
      </c>
      <c r="C124" s="3855"/>
      <c r="D124" s="325">
        <f t="shared" ref="D124:D125" si="87">M124+P124+Q124+R124+S124+T124+U124+V124+W124</f>
        <v>4429768</v>
      </c>
      <c r="E124" s="1418"/>
      <c r="F124" s="379"/>
      <c r="G124" s="1419"/>
      <c r="H124" s="1419"/>
      <c r="I124" s="1385"/>
      <c r="J124" s="1385"/>
      <c r="K124" s="1385"/>
      <c r="L124" s="1420"/>
      <c r="M124" s="2200">
        <f>+E124+I124+J124+K124+L124+N124+O124</f>
        <v>1027241</v>
      </c>
      <c r="N124" s="1385">
        <v>0</v>
      </c>
      <c r="O124" s="1385">
        <v>1027241</v>
      </c>
      <c r="P124" s="1385">
        <v>1629446</v>
      </c>
      <c r="Q124" s="1385">
        <v>0</v>
      </c>
      <c r="R124" s="3507">
        <v>1511018</v>
      </c>
      <c r="S124" s="3507">
        <v>262063</v>
      </c>
      <c r="T124" s="1386">
        <v>0</v>
      </c>
      <c r="U124" s="1386">
        <v>0</v>
      </c>
      <c r="V124" s="1387">
        <v>0</v>
      </c>
      <c r="W124" s="1387">
        <v>0</v>
      </c>
      <c r="X124" s="3517" t="s">
        <v>75</v>
      </c>
      <c r="Y124" s="3901"/>
    </row>
    <row r="125" spans="1:27" s="477" customFormat="1" ht="13.5" customHeight="1" thickBot="1">
      <c r="A125" s="3859"/>
      <c r="B125" s="3109" t="s">
        <v>154</v>
      </c>
      <c r="C125" s="3856"/>
      <c r="D125" s="325">
        <f t="shared" si="87"/>
        <v>1570232</v>
      </c>
      <c r="E125" s="1421">
        <v>0</v>
      </c>
      <c r="F125" s="298"/>
      <c r="G125" s="1422"/>
      <c r="H125" s="1422"/>
      <c r="I125" s="1416">
        <v>0</v>
      </c>
      <c r="J125" s="1140">
        <v>0</v>
      </c>
      <c r="K125" s="1140">
        <v>0</v>
      </c>
      <c r="L125" s="1421">
        <v>0</v>
      </c>
      <c r="M125" s="3472">
        <f>+E125+I125+J125+K125+L125+N125+O125</f>
        <v>0</v>
      </c>
      <c r="N125" s="1261">
        <v>0</v>
      </c>
      <c r="O125" s="3470">
        <v>0</v>
      </c>
      <c r="P125" s="3470">
        <v>0</v>
      </c>
      <c r="Q125" s="1140">
        <v>1570232</v>
      </c>
      <c r="R125" s="3470">
        <v>0</v>
      </c>
      <c r="S125" s="3470">
        <v>0</v>
      </c>
      <c r="T125" s="1261">
        <v>0</v>
      </c>
      <c r="U125" s="1261">
        <v>0</v>
      </c>
      <c r="V125" s="1404">
        <v>0</v>
      </c>
      <c r="W125" s="1404">
        <v>0</v>
      </c>
      <c r="X125" s="3111">
        <f>SUM(Q125:W125)</f>
        <v>1570232</v>
      </c>
      <c r="Y125" s="3902"/>
    </row>
    <row r="126" spans="1:27" s="477" customFormat="1" ht="48.75" customHeight="1">
      <c r="A126" s="3857" t="s">
        <v>102</v>
      </c>
      <c r="B126" s="1414" t="s">
        <v>592</v>
      </c>
      <c r="C126" s="1325" t="s">
        <v>125</v>
      </c>
      <c r="D126" s="1406"/>
      <c r="E126" s="1050"/>
      <c r="F126" s="1050"/>
      <c r="G126" s="1050"/>
      <c r="H126" s="1050"/>
      <c r="I126" s="1050"/>
      <c r="J126" s="3479"/>
      <c r="K126" s="3479"/>
      <c r="L126" s="3479"/>
      <c r="M126" s="3479"/>
      <c r="N126" s="3479"/>
      <c r="O126" s="3479"/>
      <c r="P126" s="3479"/>
      <c r="Q126" s="3479"/>
      <c r="R126" s="3479"/>
      <c r="S126" s="3479"/>
      <c r="T126" s="3479"/>
      <c r="U126" s="1050"/>
      <c r="V126" s="1050"/>
      <c r="W126" s="3112"/>
      <c r="X126" s="3113"/>
      <c r="Y126" s="3879" t="s">
        <v>430</v>
      </c>
    </row>
    <row r="127" spans="1:27" s="477" customFormat="1" ht="13.5" customHeight="1">
      <c r="A127" s="3858"/>
      <c r="B127" s="1049" t="s">
        <v>21</v>
      </c>
      <c r="C127" s="1358"/>
      <c r="D127" s="1333">
        <f>+D128</f>
        <v>2799999.64</v>
      </c>
      <c r="E127" s="1333">
        <f t="shared" ref="E127:M127" si="88">+E130</f>
        <v>0</v>
      </c>
      <c r="F127" s="1333">
        <f t="shared" si="88"/>
        <v>0</v>
      </c>
      <c r="G127" s="1333">
        <f t="shared" si="88"/>
        <v>0</v>
      </c>
      <c r="H127" s="1333">
        <f t="shared" si="88"/>
        <v>0</v>
      </c>
      <c r="I127" s="1333">
        <f t="shared" si="88"/>
        <v>0</v>
      </c>
      <c r="J127" s="1333">
        <f t="shared" si="88"/>
        <v>0</v>
      </c>
      <c r="K127" s="1333">
        <f t="shared" si="88"/>
        <v>0</v>
      </c>
      <c r="L127" s="1333">
        <f t="shared" si="88"/>
        <v>0</v>
      </c>
      <c r="M127" s="1372">
        <f t="shared" si="88"/>
        <v>0</v>
      </c>
      <c r="N127" s="1333"/>
      <c r="O127" s="1333"/>
      <c r="P127" s="1333">
        <f t="shared" ref="P127:W127" si="89">+P128</f>
        <v>116666.64</v>
      </c>
      <c r="Q127" s="1333">
        <f t="shared" si="89"/>
        <v>233333</v>
      </c>
      <c r="R127" s="1333">
        <f t="shared" si="89"/>
        <v>233333</v>
      </c>
      <c r="S127" s="1333">
        <f t="shared" si="89"/>
        <v>233333</v>
      </c>
      <c r="T127" s="1333">
        <f t="shared" si="89"/>
        <v>233333</v>
      </c>
      <c r="U127" s="1333">
        <f t="shared" si="89"/>
        <v>233333</v>
      </c>
      <c r="V127" s="1333">
        <f t="shared" si="89"/>
        <v>233333</v>
      </c>
      <c r="W127" s="1333">
        <f t="shared" si="89"/>
        <v>233333</v>
      </c>
      <c r="X127" s="3114">
        <f>+X128</f>
        <v>2683333</v>
      </c>
      <c r="Y127" s="3880"/>
    </row>
    <row r="128" spans="1:27" s="477" customFormat="1" ht="13.5" customHeight="1">
      <c r="A128" s="3858"/>
      <c r="B128" s="1338" t="s">
        <v>35</v>
      </c>
      <c r="C128" s="3854" t="s">
        <v>153</v>
      </c>
      <c r="D128" s="1417">
        <f>+D130+D129</f>
        <v>2799999.64</v>
      </c>
      <c r="E128" s="1417">
        <f t="shared" ref="E128:M128" si="90">+E130</f>
        <v>0</v>
      </c>
      <c r="F128" s="1417">
        <f t="shared" si="90"/>
        <v>0</v>
      </c>
      <c r="G128" s="1417">
        <f t="shared" si="90"/>
        <v>0</v>
      </c>
      <c r="H128" s="1417">
        <f t="shared" si="90"/>
        <v>0</v>
      </c>
      <c r="I128" s="1417">
        <f t="shared" si="90"/>
        <v>0</v>
      </c>
      <c r="J128" s="1417">
        <f t="shared" si="90"/>
        <v>0</v>
      </c>
      <c r="K128" s="1417">
        <f t="shared" si="90"/>
        <v>0</v>
      </c>
      <c r="L128" s="1417">
        <f t="shared" si="90"/>
        <v>0</v>
      </c>
      <c r="M128" s="3471">
        <f t="shared" si="90"/>
        <v>0</v>
      </c>
      <c r="N128" s="1417"/>
      <c r="O128" s="1417"/>
      <c r="P128" s="1417">
        <f t="shared" ref="P128:W128" si="91">+P129+P130</f>
        <v>116666.64</v>
      </c>
      <c r="Q128" s="1417">
        <f t="shared" si="91"/>
        <v>233333</v>
      </c>
      <c r="R128" s="1417">
        <f t="shared" si="91"/>
        <v>233333</v>
      </c>
      <c r="S128" s="1417">
        <f t="shared" si="91"/>
        <v>233333</v>
      </c>
      <c r="T128" s="1417">
        <f t="shared" si="91"/>
        <v>233333</v>
      </c>
      <c r="U128" s="1417">
        <f t="shared" si="91"/>
        <v>233333</v>
      </c>
      <c r="V128" s="1417">
        <f t="shared" si="91"/>
        <v>233333</v>
      </c>
      <c r="W128" s="1417">
        <f t="shared" si="91"/>
        <v>233333</v>
      </c>
      <c r="X128" s="1410">
        <f>+X130</f>
        <v>2683333</v>
      </c>
      <c r="Y128" s="3880"/>
    </row>
    <row r="129" spans="1:32" s="477" customFormat="1" ht="12.75" hidden="1" customHeight="1">
      <c r="A129" s="3858"/>
      <c r="B129" s="1411" t="s">
        <v>151</v>
      </c>
      <c r="C129" s="3855"/>
      <c r="D129" s="1344">
        <f>+M129+P129+Q129+R129+S129+T129+U129+V129+W129</f>
        <v>116666.64</v>
      </c>
      <c r="E129" s="1418"/>
      <c r="F129" s="379"/>
      <c r="G129" s="1419"/>
      <c r="H129" s="1419"/>
      <c r="I129" s="1385"/>
      <c r="J129" s="1385"/>
      <c r="K129" s="1385"/>
      <c r="L129" s="1420"/>
      <c r="M129" s="3472">
        <f>+E129+I129+J129+K129+L129+N129+O129</f>
        <v>0</v>
      </c>
      <c r="N129" s="1385"/>
      <c r="O129" s="1385"/>
      <c r="P129" s="1385">
        <v>116666.64</v>
      </c>
      <c r="Q129" s="1385">
        <v>0</v>
      </c>
      <c r="R129" s="1385">
        <v>0</v>
      </c>
      <c r="S129" s="1385">
        <v>0</v>
      </c>
      <c r="T129" s="1385">
        <v>0</v>
      </c>
      <c r="U129" s="1385"/>
      <c r="V129" s="1385"/>
      <c r="W129" s="1385"/>
      <c r="X129" s="1318"/>
      <c r="Y129" s="3880"/>
    </row>
    <row r="130" spans="1:32" s="477" customFormat="1" ht="13.5" customHeight="1" thickBot="1">
      <c r="A130" s="3859"/>
      <c r="B130" s="3109" t="s">
        <v>154</v>
      </c>
      <c r="C130" s="3856"/>
      <c r="D130" s="325">
        <f>X130+P130</f>
        <v>2683333</v>
      </c>
      <c r="E130" s="1421"/>
      <c r="F130" s="298"/>
      <c r="G130" s="1422"/>
      <c r="H130" s="1422"/>
      <c r="I130" s="1416"/>
      <c r="J130" s="1140"/>
      <c r="K130" s="1140"/>
      <c r="L130" s="1421"/>
      <c r="M130" s="3472">
        <f>+E130+I130+J130+K130+L130+N130+O130</f>
        <v>0</v>
      </c>
      <c r="N130" s="1140"/>
      <c r="O130" s="1416"/>
      <c r="P130" s="3470">
        <v>0</v>
      </c>
      <c r="Q130" s="1140">
        <v>233333</v>
      </c>
      <c r="R130" s="1140">
        <v>233333</v>
      </c>
      <c r="S130" s="1140">
        <v>233333</v>
      </c>
      <c r="T130" s="1140">
        <v>233333</v>
      </c>
      <c r="U130" s="1140">
        <v>233333</v>
      </c>
      <c r="V130" s="1140">
        <v>233333</v>
      </c>
      <c r="W130" s="1140">
        <v>233333</v>
      </c>
      <c r="X130" s="3111">
        <f>+W130+V130+U130+T130+S130+R130+Q130+1050002</f>
        <v>2683333</v>
      </c>
      <c r="Y130" s="3903"/>
      <c r="Z130" s="3110">
        <v>1050002</v>
      </c>
    </row>
    <row r="131" spans="1:32" s="493" customFormat="1" ht="42" customHeight="1">
      <c r="A131" s="3857" t="s">
        <v>103</v>
      </c>
      <c r="B131" s="1414" t="s">
        <v>593</v>
      </c>
      <c r="C131" s="1325" t="s">
        <v>125</v>
      </c>
      <c r="D131" s="1406"/>
      <c r="E131" s="1050"/>
      <c r="F131" s="1050"/>
      <c r="G131" s="1050"/>
      <c r="H131" s="1050"/>
      <c r="I131" s="1050"/>
      <c r="J131" s="3479"/>
      <c r="K131" s="3479"/>
      <c r="L131" s="3479"/>
      <c r="M131" s="3479"/>
      <c r="N131" s="3479"/>
      <c r="O131" s="3479"/>
      <c r="P131" s="3479"/>
      <c r="Q131" s="3479"/>
      <c r="R131" s="3479"/>
      <c r="S131" s="3479"/>
      <c r="T131" s="3479"/>
      <c r="U131" s="3479"/>
      <c r="V131" s="1415"/>
      <c r="W131" s="1406"/>
      <c r="X131" s="1407"/>
      <c r="Y131" s="3900" t="s">
        <v>589</v>
      </c>
    </row>
    <row r="132" spans="1:32" s="493" customFormat="1" ht="13.5" customHeight="1">
      <c r="A132" s="3858"/>
      <c r="B132" s="1049" t="s">
        <v>21</v>
      </c>
      <c r="C132" s="1358"/>
      <c r="D132" s="1333">
        <f>+D133</f>
        <v>55755125</v>
      </c>
      <c r="E132" s="1333">
        <f>+E133</f>
        <v>0</v>
      </c>
      <c r="F132" s="1333">
        <f t="shared" ref="F132:W132" si="92">+F133</f>
        <v>0</v>
      </c>
      <c r="G132" s="1333">
        <f t="shared" si="92"/>
        <v>0</v>
      </c>
      <c r="H132" s="1333">
        <f t="shared" si="92"/>
        <v>0</v>
      </c>
      <c r="I132" s="1333">
        <f t="shared" si="92"/>
        <v>0</v>
      </c>
      <c r="J132" s="1333">
        <f t="shared" si="92"/>
        <v>0</v>
      </c>
      <c r="K132" s="1333">
        <f t="shared" si="92"/>
        <v>0</v>
      </c>
      <c r="L132" s="1333">
        <f t="shared" si="92"/>
        <v>0</v>
      </c>
      <c r="M132" s="1372">
        <f t="shared" si="92"/>
        <v>0</v>
      </c>
      <c r="N132" s="1333">
        <f t="shared" si="92"/>
        <v>0</v>
      </c>
      <c r="O132" s="1333">
        <f t="shared" si="92"/>
        <v>0</v>
      </c>
      <c r="P132" s="1372">
        <f t="shared" si="92"/>
        <v>0</v>
      </c>
      <c r="Q132" s="1372">
        <f t="shared" si="92"/>
        <v>0</v>
      </c>
      <c r="R132" s="1333">
        <f t="shared" si="92"/>
        <v>2934480</v>
      </c>
      <c r="S132" s="1333">
        <f t="shared" si="92"/>
        <v>3912640</v>
      </c>
      <c r="T132" s="1333">
        <f t="shared" si="92"/>
        <v>3912640</v>
      </c>
      <c r="U132" s="1333">
        <f t="shared" si="92"/>
        <v>3912640</v>
      </c>
      <c r="V132" s="1333">
        <f t="shared" si="92"/>
        <v>3912640</v>
      </c>
      <c r="W132" s="1333">
        <f t="shared" si="92"/>
        <v>3912640</v>
      </c>
      <c r="X132" s="1374">
        <f>+X133</f>
        <v>55755125</v>
      </c>
      <c r="Y132" s="3901"/>
    </row>
    <row r="133" spans="1:32" s="477" customFormat="1" ht="13.5" customHeight="1">
      <c r="A133" s="3858"/>
      <c r="B133" s="1338" t="s">
        <v>35</v>
      </c>
      <c r="C133" s="3854" t="s">
        <v>153</v>
      </c>
      <c r="D133" s="1417">
        <f>+D134+D135</f>
        <v>55755125</v>
      </c>
      <c r="E133" s="1417">
        <f t="shared" ref="E133:L133" si="93">+E135</f>
        <v>0</v>
      </c>
      <c r="F133" s="1417">
        <f t="shared" si="93"/>
        <v>0</v>
      </c>
      <c r="G133" s="1417">
        <f t="shared" si="93"/>
        <v>0</v>
      </c>
      <c r="H133" s="1417">
        <f t="shared" si="93"/>
        <v>0</v>
      </c>
      <c r="I133" s="1417">
        <f t="shared" si="93"/>
        <v>0</v>
      </c>
      <c r="J133" s="1417">
        <f t="shared" si="93"/>
        <v>0</v>
      </c>
      <c r="K133" s="1417">
        <f t="shared" si="93"/>
        <v>0</v>
      </c>
      <c r="L133" s="1417">
        <f t="shared" si="93"/>
        <v>0</v>
      </c>
      <c r="M133" s="3471">
        <f t="shared" ref="M133" si="94">+M134+M135</f>
        <v>0</v>
      </c>
      <c r="N133" s="1417">
        <f t="shared" ref="N133:W133" si="95">+N134+N135</f>
        <v>0</v>
      </c>
      <c r="O133" s="1417">
        <f t="shared" si="95"/>
        <v>0</v>
      </c>
      <c r="P133" s="3471">
        <f t="shared" ref="P133" si="96">+P134+P135</f>
        <v>0</v>
      </c>
      <c r="Q133" s="3471">
        <f t="shared" si="95"/>
        <v>0</v>
      </c>
      <c r="R133" s="1417">
        <f t="shared" si="95"/>
        <v>2934480</v>
      </c>
      <c r="S133" s="1417">
        <f t="shared" si="95"/>
        <v>3912640</v>
      </c>
      <c r="T133" s="1417">
        <f t="shared" si="95"/>
        <v>3912640</v>
      </c>
      <c r="U133" s="1417">
        <f t="shared" si="95"/>
        <v>3912640</v>
      </c>
      <c r="V133" s="1417">
        <f t="shared" si="95"/>
        <v>3912640</v>
      </c>
      <c r="W133" s="1417">
        <f t="shared" si="95"/>
        <v>3912640</v>
      </c>
      <c r="X133" s="1410">
        <f>+X134+X135</f>
        <v>55755125</v>
      </c>
      <c r="Y133" s="3901"/>
      <c r="AA133" s="1442"/>
    </row>
    <row r="134" spans="1:32" s="477" customFormat="1" ht="13.5" hidden="1" customHeight="1">
      <c r="A134" s="3858"/>
      <c r="B134" s="1411" t="s">
        <v>151</v>
      </c>
      <c r="C134" s="3855"/>
      <c r="D134" s="3518">
        <f>M134+O134+P134+Q134+R134+S134+T134+U134+V134+W134</f>
        <v>0</v>
      </c>
      <c r="E134" s="3519"/>
      <c r="F134" s="3520"/>
      <c r="G134" s="3521"/>
      <c r="H134" s="3521"/>
      <c r="I134" s="3507"/>
      <c r="J134" s="3507"/>
      <c r="K134" s="3507"/>
      <c r="L134" s="3522"/>
      <c r="M134" s="1386">
        <v>0</v>
      </c>
      <c r="N134" s="1385">
        <v>0</v>
      </c>
      <c r="O134" s="1385">
        <v>0</v>
      </c>
      <c r="P134" s="1386">
        <v>0</v>
      </c>
      <c r="Q134" s="1386">
        <v>0</v>
      </c>
      <c r="R134" s="1386">
        <v>0</v>
      </c>
      <c r="S134" s="1386">
        <v>0</v>
      </c>
      <c r="T134" s="1386">
        <v>0</v>
      </c>
      <c r="U134" s="1386">
        <v>0</v>
      </c>
      <c r="V134" s="1387">
        <v>0</v>
      </c>
      <c r="W134" s="1387">
        <v>0</v>
      </c>
      <c r="X134" s="1317">
        <f>+S134+R134+Q134+P134</f>
        <v>0</v>
      </c>
      <c r="Y134" s="3901"/>
    </row>
    <row r="135" spans="1:32" s="477" customFormat="1" ht="13.5" customHeight="1" thickBot="1">
      <c r="A135" s="3859"/>
      <c r="B135" s="3109" t="s">
        <v>154</v>
      </c>
      <c r="C135" s="3856"/>
      <c r="D135" s="1126">
        <f>+X135</f>
        <v>55755125</v>
      </c>
      <c r="E135" s="1421">
        <v>0</v>
      </c>
      <c r="F135" s="298"/>
      <c r="G135" s="1422"/>
      <c r="H135" s="1422"/>
      <c r="I135" s="1416">
        <v>0</v>
      </c>
      <c r="J135" s="1140">
        <v>0</v>
      </c>
      <c r="K135" s="1140">
        <v>0</v>
      </c>
      <c r="L135" s="1421">
        <v>0</v>
      </c>
      <c r="M135" s="1261">
        <v>0</v>
      </c>
      <c r="N135" s="1140">
        <v>0</v>
      </c>
      <c r="O135" s="1416">
        <v>0</v>
      </c>
      <c r="P135" s="1261">
        <v>0</v>
      </c>
      <c r="Q135" s="1261">
        <v>0</v>
      </c>
      <c r="R135" s="1140">
        <v>2934480</v>
      </c>
      <c r="S135" s="1140">
        <v>3912640</v>
      </c>
      <c r="T135" s="1140">
        <v>3912640</v>
      </c>
      <c r="U135" s="1140">
        <v>3912640</v>
      </c>
      <c r="V135" s="1140">
        <v>3912640</v>
      </c>
      <c r="W135" s="1140">
        <v>3912640</v>
      </c>
      <c r="X135" s="3111">
        <f>+W135+V135+U135+T135+S135+R135+33257445</f>
        <v>55755125</v>
      </c>
      <c r="Y135" s="3902"/>
      <c r="Z135" s="3110">
        <v>33257445</v>
      </c>
    </row>
    <row r="136" spans="1:32" s="477" customFormat="1" ht="13.5" customHeight="1">
      <c r="A136" s="3523"/>
      <c r="B136" s="3524"/>
      <c r="C136" s="3525"/>
      <c r="D136" s="1346"/>
      <c r="E136" s="3526"/>
      <c r="F136" s="379"/>
      <c r="G136" s="379"/>
      <c r="H136" s="379"/>
      <c r="I136" s="3179"/>
      <c r="J136" s="3179"/>
      <c r="K136" s="3179"/>
      <c r="L136" s="3526"/>
      <c r="M136" s="1346"/>
      <c r="N136" s="3179"/>
      <c r="O136" s="3179"/>
      <c r="P136" s="3179"/>
      <c r="Q136" s="3527"/>
      <c r="R136" s="3179"/>
      <c r="S136" s="3179"/>
      <c r="T136" s="3179"/>
      <c r="U136" s="3179"/>
      <c r="V136" s="3179"/>
      <c r="W136" s="3179"/>
      <c r="X136" s="3179"/>
      <c r="Y136" s="3528"/>
      <c r="Z136" s="3179"/>
    </row>
    <row r="137" spans="1:32" s="461" customFormat="1" ht="12.75" customHeight="1">
      <c r="A137" s="3846" t="s">
        <v>594</v>
      </c>
      <c r="B137" s="3846"/>
      <c r="C137" s="3846"/>
      <c r="D137" s="3846"/>
      <c r="E137" s="3846"/>
      <c r="F137" s="3846"/>
      <c r="G137" s="3846"/>
      <c r="H137" s="3846"/>
      <c r="I137" s="3846"/>
      <c r="J137" s="3846"/>
      <c r="K137" s="3846"/>
      <c r="L137" s="3846"/>
      <c r="M137" s="3846"/>
      <c r="N137" s="3846"/>
      <c r="O137" s="3846"/>
      <c r="P137" s="3846"/>
      <c r="Q137" s="3846"/>
      <c r="R137" s="3846"/>
      <c r="S137" s="3846"/>
      <c r="T137" s="3846"/>
      <c r="U137" s="3846"/>
      <c r="V137" s="3846"/>
      <c r="W137" s="3846"/>
    </row>
    <row r="138" spans="1:32" s="461" customFormat="1" ht="12.75" customHeight="1">
      <c r="A138" s="3846" t="s">
        <v>595</v>
      </c>
      <c r="B138" s="3846"/>
      <c r="C138" s="3846"/>
      <c r="D138" s="3846"/>
      <c r="E138" s="3846"/>
      <c r="F138" s="3846"/>
      <c r="G138" s="3846"/>
      <c r="H138" s="3846"/>
      <c r="I138" s="3846"/>
      <c r="J138" s="3846"/>
      <c r="K138" s="3846"/>
      <c r="L138" s="3846"/>
      <c r="M138" s="3846"/>
      <c r="N138" s="3846"/>
      <c r="O138" s="3846"/>
      <c r="P138" s="3846"/>
      <c r="Q138" s="3846"/>
      <c r="R138" s="3846"/>
      <c r="S138" s="3846"/>
      <c r="T138" s="3846"/>
      <c r="U138" s="3481"/>
      <c r="V138" s="3481"/>
      <c r="W138" s="3481"/>
    </row>
    <row r="139" spans="1:32" s="1444" customFormat="1" ht="13.5" hidden="1" customHeight="1">
      <c r="D139" s="1445"/>
      <c r="J139" s="448"/>
      <c r="K139" s="455"/>
      <c r="L139" s="448"/>
      <c r="M139" s="448"/>
      <c r="N139" s="448"/>
      <c r="O139" s="448"/>
      <c r="P139" s="455"/>
      <c r="Q139" s="455"/>
      <c r="R139" s="455"/>
      <c r="S139" s="455"/>
      <c r="T139" s="455"/>
      <c r="U139" s="455"/>
      <c r="V139" s="455"/>
      <c r="W139" s="455"/>
      <c r="X139" s="448"/>
      <c r="Y139" s="586"/>
    </row>
    <row r="140" spans="1:32" s="1446" customFormat="1" ht="12.75" hidden="1" customHeight="1">
      <c r="J140" s="1447"/>
      <c r="K140" s="1447"/>
      <c r="L140" s="1447"/>
      <c r="M140" s="1447"/>
      <c r="N140" s="1447"/>
      <c r="O140" s="448"/>
      <c r="P140" s="448"/>
      <c r="Q140" s="448"/>
      <c r="R140" s="448"/>
      <c r="S140" s="448"/>
      <c r="T140" s="448"/>
      <c r="U140" s="448"/>
      <c r="V140" s="448"/>
      <c r="W140" s="448"/>
      <c r="X140" s="448"/>
      <c r="Y140" s="586"/>
    </row>
    <row r="141" spans="1:32" s="493" customFormat="1" ht="10.5" hidden="1" customHeight="1">
      <c r="A141" s="447"/>
      <c r="B141" s="448"/>
      <c r="C141" s="455"/>
      <c r="D141" s="455"/>
      <c r="E141" s="448"/>
      <c r="F141" s="448"/>
      <c r="G141" s="448"/>
      <c r="H141" s="448"/>
      <c r="I141" s="448"/>
      <c r="J141" s="448"/>
      <c r="K141" s="448"/>
      <c r="L141" s="448"/>
      <c r="M141" s="448"/>
      <c r="N141" s="448"/>
      <c r="O141" s="448">
        <f>1000000+1000000+916667</f>
        <v>2916667</v>
      </c>
      <c r="P141" s="448"/>
      <c r="Q141" s="448"/>
      <c r="R141" s="448"/>
      <c r="S141" s="448"/>
      <c r="T141" s="448"/>
      <c r="U141" s="448"/>
      <c r="V141" s="448"/>
      <c r="W141" s="448"/>
      <c r="X141" s="448"/>
      <c r="Y141" s="586"/>
    </row>
    <row r="142" spans="1:32" s="1444" customFormat="1" ht="15.75" hidden="1" customHeight="1">
      <c r="B142" s="448"/>
      <c r="C142" s="448"/>
      <c r="D142" s="448"/>
      <c r="E142" s="448"/>
      <c r="F142" s="448"/>
      <c r="G142" s="448"/>
      <c r="H142" s="448"/>
      <c r="I142" s="448"/>
      <c r="J142" s="448"/>
      <c r="K142" s="448"/>
      <c r="L142" s="448"/>
      <c r="M142" s="448"/>
      <c r="N142" s="448"/>
      <c r="O142" s="448"/>
      <c r="P142" s="1448">
        <v>2016</v>
      </c>
      <c r="Q142" s="1448">
        <v>2017</v>
      </c>
      <c r="R142" s="1448">
        <v>2018</v>
      </c>
      <c r="S142" s="1448">
        <v>2019</v>
      </c>
      <c r="T142" s="1448">
        <v>2020</v>
      </c>
      <c r="U142" s="1448">
        <v>2021</v>
      </c>
      <c r="V142" s="1448">
        <v>2022</v>
      </c>
      <c r="W142" s="1448">
        <v>2023</v>
      </c>
      <c r="X142" s="1448">
        <v>2024</v>
      </c>
      <c r="Y142" s="1448">
        <v>2025</v>
      </c>
      <c r="Z142" s="1448">
        <v>2026</v>
      </c>
      <c r="AA142" s="1448">
        <v>2027</v>
      </c>
      <c r="AB142" s="1448">
        <v>2028</v>
      </c>
      <c r="AC142" s="1448">
        <v>2029</v>
      </c>
      <c r="AD142" s="1448">
        <v>2030</v>
      </c>
      <c r="AE142" s="1448">
        <v>2031</v>
      </c>
      <c r="AF142" s="1448">
        <v>2032</v>
      </c>
    </row>
    <row r="143" spans="1:32" s="1444" customFormat="1" ht="15.75" hidden="1" customHeight="1">
      <c r="A143" s="447"/>
      <c r="B143" s="1449" t="s">
        <v>306</v>
      </c>
      <c r="C143" s="1449"/>
      <c r="D143" s="1450"/>
      <c r="E143" s="1450"/>
      <c r="F143" s="1450"/>
      <c r="G143" s="1450"/>
      <c r="H143" s="1450"/>
      <c r="I143" s="1449"/>
      <c r="J143" s="1449"/>
      <c r="K143" s="1449"/>
      <c r="L143" s="1449"/>
      <c r="M143" s="1449"/>
      <c r="N143" s="1449"/>
      <c r="O143" s="455">
        <f>+O125+O120+O92+O87+O82</f>
        <v>0</v>
      </c>
      <c r="P143" s="1451">
        <f t="shared" ref="P143" si="97">+P125+P120+P92+P87+P82+P130</f>
        <v>0</v>
      </c>
      <c r="Q143" s="1451">
        <f>+Q125+Q120+Q92+Q87+Q82+Q130+Q135</f>
        <v>5050955</v>
      </c>
      <c r="R143" s="1451">
        <f t="shared" ref="R143:W143" si="98">+R125+R120+R92+R87+R82+R130+R135</f>
        <v>3167813</v>
      </c>
      <c r="S143" s="1451">
        <f t="shared" si="98"/>
        <v>4145973</v>
      </c>
      <c r="T143" s="1451">
        <f t="shared" si="98"/>
        <v>4145973</v>
      </c>
      <c r="U143" s="1451">
        <f t="shared" si="98"/>
        <v>4145973</v>
      </c>
      <c r="V143" s="1451">
        <f t="shared" si="98"/>
        <v>4145973</v>
      </c>
      <c r="W143" s="1451">
        <f t="shared" si="98"/>
        <v>4145973</v>
      </c>
      <c r="X143" s="1451">
        <f>4145973</f>
        <v>4145973</v>
      </c>
      <c r="Y143" s="1451">
        <v>4145973</v>
      </c>
      <c r="Z143" s="1451">
        <v>4145973</v>
      </c>
      <c r="AA143" s="1451">
        <v>4145973</v>
      </c>
      <c r="AB143" s="1451">
        <v>4029310</v>
      </c>
      <c r="AC143" s="1451">
        <v>3912640</v>
      </c>
      <c r="AD143" s="1451">
        <v>3912640</v>
      </c>
      <c r="AE143" s="1451">
        <v>3912640</v>
      </c>
      <c r="AF143" s="1451">
        <v>1956325</v>
      </c>
    </row>
    <row r="144" spans="1:32" s="1444" customFormat="1" ht="15.75" hidden="1" customHeight="1">
      <c r="A144" s="447"/>
      <c r="B144" s="448"/>
      <c r="C144" s="448"/>
      <c r="D144" s="455"/>
      <c r="E144" s="448"/>
      <c r="F144" s="448"/>
      <c r="G144" s="448"/>
      <c r="H144" s="448"/>
      <c r="I144" s="448"/>
      <c r="J144" s="448"/>
      <c r="K144" s="448"/>
      <c r="L144" s="448"/>
      <c r="M144" s="448"/>
      <c r="N144" s="448"/>
      <c r="O144" s="448"/>
      <c r="P144" s="448"/>
      <c r="Q144" s="448"/>
      <c r="R144" s="448"/>
      <c r="S144" s="448"/>
      <c r="T144" s="448"/>
      <c r="U144" s="448"/>
      <c r="V144" s="448"/>
      <c r="W144" s="448"/>
      <c r="X144" s="448"/>
      <c r="Y144" s="586"/>
      <c r="AF144" s="1445">
        <f>SUM(R143:AF143)</f>
        <v>58205125</v>
      </c>
    </row>
    <row r="145" spans="1:32" s="1444" customFormat="1" ht="12" hidden="1" customHeight="1">
      <c r="A145" s="447"/>
      <c r="B145" s="448"/>
      <c r="C145" s="448"/>
      <c r="D145" s="455"/>
      <c r="E145" s="448"/>
      <c r="F145" s="448"/>
      <c r="G145" s="455">
        <f>+E143-G143-H143</f>
        <v>0</v>
      </c>
      <c r="H145" s="448"/>
      <c r="I145" s="448"/>
      <c r="J145" s="448"/>
      <c r="K145" s="448"/>
      <c r="L145" s="448"/>
      <c r="M145" s="448"/>
      <c r="N145" s="448"/>
      <c r="O145" s="448"/>
      <c r="P145" s="448"/>
      <c r="Q145" s="448"/>
      <c r="R145" s="448"/>
      <c r="S145" s="448"/>
      <c r="T145" s="448"/>
      <c r="U145" s="448"/>
      <c r="V145" s="448"/>
      <c r="W145" s="448"/>
      <c r="X145" s="448"/>
      <c r="Y145" s="586"/>
      <c r="AB145" s="1445"/>
      <c r="AF145" s="1445"/>
    </row>
    <row r="146" spans="1:32" s="1452" customFormat="1" ht="22.5" hidden="1" customHeight="1">
      <c r="A146" s="447"/>
      <c r="B146" s="448"/>
      <c r="C146" s="448"/>
      <c r="D146" s="448"/>
      <c r="E146" s="448"/>
      <c r="F146" s="448"/>
      <c r="G146" s="448"/>
      <c r="H146" s="448"/>
      <c r="I146" s="448"/>
      <c r="J146" s="448"/>
      <c r="K146" s="448"/>
      <c r="L146" s="448"/>
      <c r="M146" s="448"/>
      <c r="N146" s="448"/>
      <c r="O146" s="448" t="s">
        <v>156</v>
      </c>
      <c r="P146" s="448"/>
      <c r="Q146" s="448"/>
      <c r="R146" s="448"/>
      <c r="S146" s="448"/>
      <c r="T146" s="448"/>
      <c r="U146" s="448"/>
      <c r="V146" s="448"/>
      <c r="W146" s="448"/>
      <c r="X146" s="448"/>
      <c r="Y146" s="586"/>
    </row>
    <row r="147" spans="1:32" s="493" customFormat="1" ht="12.75" hidden="1" customHeight="1">
      <c r="A147" s="447"/>
      <c r="B147" s="448"/>
      <c r="C147" s="448"/>
      <c r="D147" s="448"/>
      <c r="E147" s="448"/>
      <c r="F147" s="448"/>
      <c r="G147" s="448"/>
      <c r="H147" s="448"/>
      <c r="I147" s="448"/>
      <c r="J147" s="448"/>
      <c r="K147" s="448"/>
      <c r="L147" s="448"/>
      <c r="M147" s="448"/>
      <c r="N147" s="448"/>
      <c r="O147" s="448"/>
      <c r="P147" s="448"/>
      <c r="Q147" s="448"/>
      <c r="R147" s="448"/>
      <c r="S147" s="448"/>
      <c r="T147" s="448"/>
      <c r="U147" s="448"/>
      <c r="V147" s="448"/>
      <c r="W147" s="448"/>
      <c r="X147" s="448"/>
      <c r="Y147" s="586"/>
    </row>
    <row r="148" spans="1:32" s="493" customFormat="1" ht="12.75" hidden="1" customHeight="1">
      <c r="A148" s="1453"/>
      <c r="B148" s="448"/>
      <c r="C148" s="448"/>
      <c r="D148" s="448"/>
      <c r="E148" s="448"/>
      <c r="F148" s="448"/>
      <c r="G148" s="448"/>
      <c r="H148" s="448"/>
      <c r="I148" s="448"/>
      <c r="J148" s="448"/>
      <c r="K148" s="448"/>
      <c r="L148" s="448"/>
      <c r="M148" s="448"/>
      <c r="N148" s="448"/>
      <c r="O148" s="448"/>
      <c r="P148" s="448"/>
      <c r="Q148" s="448"/>
      <c r="R148" s="448"/>
      <c r="S148" s="448"/>
      <c r="T148" s="448"/>
      <c r="U148" s="448"/>
      <c r="V148" s="448"/>
      <c r="W148" s="448"/>
      <c r="X148" s="448"/>
      <c r="Y148" s="586"/>
    </row>
    <row r="149" spans="1:32" s="493" customFormat="1" hidden="1">
      <c r="A149" s="447"/>
      <c r="B149" s="448"/>
      <c r="C149" s="448"/>
      <c r="D149" s="448"/>
      <c r="E149" s="448"/>
      <c r="F149" s="448"/>
      <c r="G149" s="448"/>
      <c r="H149" s="448"/>
      <c r="I149" s="448"/>
      <c r="J149" s="448"/>
      <c r="K149" s="448"/>
      <c r="L149" s="448"/>
      <c r="M149" s="448"/>
      <c r="N149" s="448"/>
      <c r="O149" s="448"/>
      <c r="P149" s="448"/>
      <c r="Q149" s="448"/>
      <c r="R149" s="448"/>
      <c r="S149" s="448"/>
      <c r="T149" s="448"/>
      <c r="U149" s="448"/>
      <c r="V149" s="448"/>
      <c r="W149" s="448"/>
      <c r="X149" s="448"/>
      <c r="Y149" s="586"/>
    </row>
    <row r="150" spans="1:32" s="1452" customFormat="1" ht="14.25" hidden="1" customHeight="1">
      <c r="A150" s="447"/>
      <c r="B150" s="448"/>
      <c r="C150" s="448"/>
      <c r="D150" s="448"/>
      <c r="E150" s="448"/>
      <c r="F150" s="448"/>
      <c r="G150" s="448"/>
      <c r="H150" s="448"/>
      <c r="I150" s="448"/>
      <c r="J150" s="448"/>
      <c r="K150" s="448"/>
      <c r="L150" s="448"/>
      <c r="M150" s="448"/>
      <c r="N150" s="448"/>
      <c r="O150" s="448"/>
      <c r="P150" s="448"/>
      <c r="Q150" s="448"/>
      <c r="R150" s="448"/>
      <c r="S150" s="448"/>
      <c r="T150" s="448"/>
      <c r="U150" s="448"/>
      <c r="V150" s="448"/>
      <c r="W150" s="448"/>
      <c r="X150" s="448"/>
      <c r="Y150" s="586"/>
    </row>
    <row r="151" spans="1:32" s="493" customFormat="1" ht="12.75" hidden="1" customHeight="1">
      <c r="A151" s="447"/>
      <c r="B151" s="448"/>
      <c r="C151" s="448"/>
      <c r="D151" s="448"/>
      <c r="E151" s="448"/>
      <c r="F151" s="448"/>
      <c r="G151" s="448"/>
      <c r="H151" s="448"/>
      <c r="I151" s="448"/>
      <c r="J151" s="448"/>
      <c r="K151" s="448"/>
      <c r="L151" s="448"/>
      <c r="M151" s="448"/>
      <c r="N151" s="448"/>
      <c r="O151" s="448"/>
      <c r="P151" s="448"/>
      <c r="Q151" s="448"/>
      <c r="R151" s="448"/>
      <c r="S151" s="448"/>
      <c r="T151" s="448"/>
      <c r="U151" s="448"/>
      <c r="V151" s="448"/>
      <c r="W151" s="448"/>
      <c r="X151" s="448"/>
      <c r="Y151" s="586"/>
    </row>
    <row r="152" spans="1:32" s="493" customFormat="1" ht="12.75" hidden="1" customHeight="1">
      <c r="A152" s="447"/>
      <c r="B152" s="448"/>
      <c r="C152" s="448"/>
      <c r="D152" s="448"/>
      <c r="E152" s="448"/>
      <c r="F152" s="448"/>
      <c r="G152" s="448"/>
      <c r="H152" s="448"/>
      <c r="I152" s="448"/>
      <c r="J152" s="448"/>
      <c r="K152" s="448"/>
      <c r="L152" s="448"/>
      <c r="M152" s="448"/>
      <c r="N152" s="448"/>
      <c r="O152" s="448"/>
      <c r="P152" s="448"/>
      <c r="Q152" s="448"/>
      <c r="R152" s="448"/>
      <c r="S152" s="448"/>
      <c r="T152" s="448"/>
      <c r="U152" s="448"/>
      <c r="V152" s="448"/>
      <c r="W152" s="448"/>
      <c r="X152" s="448"/>
      <c r="Y152" s="586"/>
    </row>
    <row r="153" spans="1:32" s="493" customFormat="1" hidden="1">
      <c r="A153" s="447"/>
      <c r="B153" s="448"/>
      <c r="C153" s="448"/>
      <c r="D153" s="448"/>
      <c r="E153" s="448"/>
      <c r="F153" s="448"/>
      <c r="G153" s="448"/>
      <c r="H153" s="448"/>
      <c r="I153" s="448"/>
      <c r="J153" s="448"/>
      <c r="K153" s="448"/>
      <c r="L153" s="448"/>
      <c r="M153" s="448"/>
      <c r="N153" s="448"/>
      <c r="O153" s="448"/>
      <c r="P153" s="448"/>
      <c r="Q153" s="448"/>
      <c r="R153" s="448"/>
      <c r="S153" s="448"/>
      <c r="T153" s="448"/>
      <c r="U153" s="448"/>
      <c r="V153" s="448"/>
      <c r="W153" s="448"/>
      <c r="X153" s="448"/>
      <c r="Y153" s="586"/>
    </row>
    <row r="154" spans="1:32" s="493" customFormat="1" hidden="1">
      <c r="A154" s="447"/>
      <c r="B154" s="448"/>
      <c r="C154" s="448"/>
      <c r="D154" s="448"/>
      <c r="E154" s="448"/>
      <c r="F154" s="448"/>
      <c r="G154" s="448"/>
      <c r="H154" s="448"/>
      <c r="I154" s="448"/>
      <c r="J154" s="448"/>
      <c r="K154" s="448"/>
      <c r="L154" s="448"/>
      <c r="M154" s="448"/>
      <c r="N154" s="448"/>
      <c r="O154" s="448"/>
      <c r="P154" s="448"/>
      <c r="Q154" s="448"/>
      <c r="R154" s="448"/>
      <c r="S154" s="448"/>
      <c r="T154" s="448"/>
      <c r="U154" s="448"/>
      <c r="V154" s="448"/>
      <c r="W154" s="448"/>
      <c r="X154" s="448"/>
      <c r="Y154" s="586"/>
    </row>
    <row r="155" spans="1:32" s="1452" customFormat="1" ht="33.75" hidden="1" customHeight="1">
      <c r="A155" s="447"/>
      <c r="B155" s="448"/>
      <c r="C155" s="448"/>
      <c r="D155" s="448"/>
      <c r="E155" s="448"/>
      <c r="F155" s="448"/>
      <c r="G155" s="448"/>
      <c r="H155" s="448"/>
      <c r="I155" s="448"/>
      <c r="J155" s="448"/>
      <c r="K155" s="448"/>
      <c r="L155" s="448"/>
      <c r="M155" s="448"/>
      <c r="N155" s="448"/>
      <c r="O155" s="448"/>
      <c r="P155" s="448"/>
      <c r="Q155" s="448"/>
      <c r="R155" s="448"/>
      <c r="S155" s="448"/>
      <c r="T155" s="448"/>
      <c r="U155" s="448"/>
      <c r="V155" s="448"/>
      <c r="W155" s="448"/>
      <c r="X155" s="448"/>
      <c r="Y155" s="586"/>
    </row>
    <row r="156" spans="1:32" s="493" customFormat="1" ht="12.75" hidden="1" customHeight="1">
      <c r="A156" s="447"/>
      <c r="B156" s="448"/>
      <c r="C156" s="448"/>
      <c r="D156" s="448"/>
      <c r="E156" s="448"/>
      <c r="F156" s="448"/>
      <c r="G156" s="448"/>
      <c r="H156" s="448"/>
      <c r="I156" s="448"/>
      <c r="J156" s="448"/>
      <c r="K156" s="448"/>
      <c r="L156" s="448"/>
      <c r="M156" s="448"/>
      <c r="N156" s="448"/>
      <c r="O156" s="448"/>
      <c r="P156" s="448"/>
      <c r="Q156" s="448"/>
      <c r="R156" s="448"/>
      <c r="S156" s="448"/>
      <c r="T156" s="448"/>
      <c r="U156" s="448"/>
      <c r="V156" s="448"/>
      <c r="W156" s="448"/>
      <c r="X156" s="448"/>
      <c r="Y156" s="586"/>
    </row>
    <row r="157" spans="1:32" s="493" customFormat="1" ht="12.75" hidden="1" customHeight="1">
      <c r="A157" s="447"/>
      <c r="B157" s="448"/>
      <c r="C157" s="448"/>
      <c r="D157" s="448"/>
      <c r="E157" s="448"/>
      <c r="F157" s="448"/>
      <c r="G157" s="448"/>
      <c r="H157" s="448"/>
      <c r="I157" s="448"/>
      <c r="J157" s="448"/>
      <c r="K157" s="448"/>
      <c r="L157" s="448"/>
      <c r="M157" s="448"/>
      <c r="N157" s="448"/>
      <c r="O157" s="448"/>
      <c r="P157" s="448"/>
      <c r="Q157" s="448"/>
      <c r="R157" s="448"/>
      <c r="S157" s="448"/>
      <c r="T157" s="448"/>
      <c r="U157" s="448"/>
      <c r="V157" s="448"/>
      <c r="W157" s="448"/>
      <c r="X157" s="448"/>
      <c r="Y157" s="586"/>
    </row>
    <row r="158" spans="1:32" s="493" customFormat="1" ht="12.75" hidden="1" customHeight="1">
      <c r="A158" s="447"/>
      <c r="B158" s="448"/>
      <c r="C158" s="448"/>
      <c r="D158" s="448"/>
      <c r="E158" s="448"/>
      <c r="F158" s="448"/>
      <c r="G158" s="448"/>
      <c r="H158" s="448"/>
      <c r="I158" s="448"/>
      <c r="J158" s="448"/>
      <c r="K158" s="448"/>
      <c r="L158" s="448"/>
      <c r="M158" s="448"/>
      <c r="N158" s="448"/>
      <c r="O158" s="448"/>
      <c r="P158" s="448"/>
      <c r="Q158" s="448"/>
      <c r="R158" s="448"/>
      <c r="S158" s="448"/>
      <c r="T158" s="448"/>
      <c r="U158" s="448"/>
      <c r="V158" s="448"/>
      <c r="W158" s="448"/>
      <c r="X158" s="448"/>
      <c r="Y158" s="586"/>
    </row>
    <row r="159" spans="1:32" s="493" customFormat="1" ht="12.75" customHeight="1">
      <c r="A159" s="447"/>
      <c r="B159" s="448"/>
      <c r="C159" s="448"/>
      <c r="D159" s="448"/>
      <c r="E159" s="448"/>
      <c r="F159" s="448"/>
      <c r="G159" s="448"/>
      <c r="H159" s="448"/>
      <c r="I159" s="448"/>
      <c r="J159" s="448"/>
      <c r="K159" s="448"/>
      <c r="L159" s="448"/>
      <c r="M159" s="448"/>
      <c r="N159" s="448"/>
      <c r="O159" s="448"/>
      <c r="P159" s="448"/>
      <c r="Q159" s="448"/>
      <c r="R159" s="448"/>
      <c r="S159" s="448"/>
      <c r="T159" s="448"/>
      <c r="U159" s="448"/>
      <c r="V159" s="448"/>
      <c r="W159" s="448"/>
      <c r="X159" s="448"/>
      <c r="Y159" s="586"/>
    </row>
    <row r="160" spans="1:32" s="493" customFormat="1">
      <c r="A160" s="447"/>
      <c r="B160" s="448"/>
      <c r="C160" s="448"/>
      <c r="D160" s="448"/>
      <c r="E160" s="448"/>
      <c r="F160" s="448"/>
      <c r="G160" s="448"/>
      <c r="H160" s="448"/>
      <c r="I160" s="448"/>
      <c r="J160" s="448"/>
      <c r="K160" s="448"/>
      <c r="L160" s="448"/>
      <c r="M160" s="448"/>
      <c r="N160" s="448"/>
      <c r="O160" s="448"/>
      <c r="P160" s="448"/>
      <c r="Q160" s="448"/>
      <c r="R160" s="448"/>
      <c r="S160" s="448"/>
      <c r="T160" s="448"/>
      <c r="U160" s="448"/>
      <c r="V160" s="448"/>
      <c r="W160" s="448"/>
      <c r="X160" s="448"/>
      <c r="Y160" s="586"/>
    </row>
    <row r="161" spans="1:25" s="1452" customFormat="1" ht="12" customHeight="1">
      <c r="A161" s="447"/>
      <c r="B161" s="448"/>
      <c r="C161" s="448"/>
      <c r="D161" s="448"/>
      <c r="E161" s="448"/>
      <c r="F161" s="448"/>
      <c r="G161" s="448"/>
      <c r="H161" s="448"/>
      <c r="I161" s="448"/>
      <c r="J161" s="448"/>
      <c r="K161" s="448"/>
      <c r="L161" s="448"/>
      <c r="M161" s="448"/>
      <c r="N161" s="448"/>
      <c r="O161" s="448"/>
      <c r="P161" s="448"/>
      <c r="Q161" s="448"/>
      <c r="R161" s="448"/>
      <c r="S161" s="448"/>
      <c r="T161" s="448"/>
      <c r="U161" s="448"/>
      <c r="V161" s="448"/>
      <c r="W161" s="448"/>
      <c r="X161" s="448"/>
      <c r="Y161" s="586"/>
    </row>
    <row r="162" spans="1:25" s="493" customFormat="1" ht="12.75" customHeight="1">
      <c r="A162" s="447"/>
      <c r="B162" s="448"/>
      <c r="C162" s="448"/>
      <c r="D162" s="448"/>
      <c r="E162" s="448"/>
      <c r="F162" s="448"/>
      <c r="G162" s="448"/>
      <c r="H162" s="448"/>
      <c r="I162" s="448"/>
      <c r="J162" s="448"/>
      <c r="K162" s="448"/>
      <c r="L162" s="448"/>
      <c r="M162" s="448"/>
      <c r="N162" s="448"/>
      <c r="O162" s="448"/>
      <c r="P162" s="448"/>
      <c r="Q162" s="448"/>
      <c r="R162" s="448"/>
      <c r="S162" s="448"/>
      <c r="T162" s="448"/>
      <c r="U162" s="448"/>
      <c r="V162" s="448"/>
      <c r="W162" s="448"/>
      <c r="X162" s="448"/>
      <c r="Y162" s="586"/>
    </row>
    <row r="163" spans="1:25" s="493" customFormat="1" ht="12.75" customHeight="1">
      <c r="A163" s="447"/>
      <c r="B163" s="448"/>
      <c r="C163" s="448"/>
      <c r="D163" s="448"/>
      <c r="E163" s="448"/>
      <c r="F163" s="448"/>
      <c r="G163" s="448"/>
      <c r="H163" s="448"/>
      <c r="I163" s="448"/>
      <c r="J163" s="448"/>
      <c r="K163" s="448"/>
      <c r="L163" s="448"/>
      <c r="M163" s="448"/>
      <c r="N163" s="448"/>
      <c r="O163" s="448"/>
      <c r="P163" s="448"/>
      <c r="Q163" s="448"/>
      <c r="R163" s="448"/>
      <c r="S163" s="448"/>
      <c r="T163" s="448"/>
      <c r="U163" s="448"/>
      <c r="V163" s="448"/>
      <c r="W163" s="448"/>
      <c r="X163" s="448"/>
      <c r="Y163" s="586"/>
    </row>
    <row r="164" spans="1:25" s="493" customFormat="1">
      <c r="A164" s="447"/>
      <c r="B164" s="448"/>
      <c r="C164" s="448"/>
      <c r="D164" s="448"/>
      <c r="E164" s="448"/>
      <c r="F164" s="448"/>
      <c r="G164" s="448"/>
      <c r="H164" s="448"/>
      <c r="I164" s="448"/>
      <c r="J164" s="448"/>
      <c r="K164" s="448"/>
      <c r="L164" s="448"/>
      <c r="M164" s="448"/>
      <c r="N164" s="448"/>
      <c r="O164" s="448"/>
      <c r="P164" s="448"/>
      <c r="Q164" s="448"/>
      <c r="R164" s="448"/>
      <c r="S164" s="448"/>
      <c r="T164" s="448"/>
      <c r="U164" s="448"/>
      <c r="V164" s="448"/>
      <c r="W164" s="448"/>
      <c r="X164" s="448"/>
      <c r="Y164" s="586"/>
    </row>
    <row r="165" spans="1:25" s="493" customFormat="1">
      <c r="A165" s="447"/>
      <c r="B165" s="448"/>
      <c r="C165" s="448"/>
      <c r="D165" s="448"/>
      <c r="E165" s="448"/>
      <c r="F165" s="448"/>
      <c r="G165" s="448"/>
      <c r="H165" s="448"/>
      <c r="I165" s="448"/>
      <c r="J165" s="448"/>
      <c r="K165" s="448"/>
      <c r="L165" s="448"/>
      <c r="M165" s="448"/>
      <c r="N165" s="448"/>
      <c r="O165" s="448"/>
      <c r="P165" s="448"/>
      <c r="Q165" s="448"/>
      <c r="R165" s="448"/>
      <c r="S165" s="448"/>
      <c r="T165" s="448"/>
      <c r="U165" s="448"/>
      <c r="V165" s="448"/>
      <c r="W165" s="448"/>
      <c r="X165" s="448"/>
      <c r="Y165" s="586"/>
    </row>
    <row r="166" spans="1:25" s="1452" customFormat="1" ht="22.5" customHeight="1">
      <c r="A166" s="447"/>
      <c r="B166" s="448"/>
      <c r="C166" s="448"/>
      <c r="D166" s="448"/>
      <c r="E166" s="448"/>
      <c r="F166" s="448"/>
      <c r="G166" s="448"/>
      <c r="H166" s="448"/>
      <c r="I166" s="448"/>
      <c r="J166" s="448"/>
      <c r="K166" s="448"/>
      <c r="L166" s="448"/>
      <c r="M166" s="448"/>
      <c r="N166" s="448"/>
      <c r="O166" s="448"/>
      <c r="P166" s="448"/>
      <c r="Q166" s="448"/>
      <c r="R166" s="448"/>
      <c r="S166" s="448"/>
      <c r="T166" s="448"/>
      <c r="U166" s="448"/>
      <c r="V166" s="448"/>
      <c r="W166" s="448"/>
      <c r="X166" s="448"/>
      <c r="Y166" s="586"/>
    </row>
    <row r="167" spans="1:25" s="493" customFormat="1" ht="12.75" customHeight="1">
      <c r="A167" s="447"/>
      <c r="B167" s="448"/>
      <c r="C167" s="448"/>
      <c r="D167" s="448"/>
      <c r="E167" s="448"/>
      <c r="F167" s="448"/>
      <c r="G167" s="448"/>
      <c r="H167" s="448"/>
      <c r="I167" s="448"/>
      <c r="J167" s="448"/>
      <c r="K167" s="448"/>
      <c r="L167" s="448"/>
      <c r="M167" s="448"/>
      <c r="N167" s="448"/>
      <c r="O167" s="448"/>
      <c r="P167" s="448"/>
      <c r="Q167" s="448"/>
      <c r="R167" s="448"/>
      <c r="S167" s="448"/>
      <c r="T167" s="448"/>
      <c r="U167" s="448"/>
      <c r="V167" s="448"/>
      <c r="W167" s="448"/>
      <c r="X167" s="448"/>
      <c r="Y167" s="586"/>
    </row>
    <row r="168" spans="1:25" s="493" customFormat="1" ht="12.75" customHeight="1">
      <c r="A168" s="447"/>
      <c r="B168" s="448"/>
      <c r="C168" s="448"/>
      <c r="D168" s="448"/>
      <c r="E168" s="448"/>
      <c r="F168" s="448"/>
      <c r="G168" s="448"/>
      <c r="H168" s="448"/>
      <c r="I168" s="448"/>
      <c r="J168" s="448"/>
      <c r="K168" s="448"/>
      <c r="L168" s="448"/>
      <c r="M168" s="448"/>
      <c r="N168" s="448"/>
      <c r="O168" s="448"/>
      <c r="P168" s="448"/>
      <c r="Q168" s="448"/>
      <c r="R168" s="448"/>
      <c r="S168" s="448"/>
      <c r="T168" s="448"/>
      <c r="U168" s="448"/>
      <c r="V168" s="448"/>
      <c r="W168" s="448"/>
      <c r="X168" s="448"/>
      <c r="Y168" s="586"/>
    </row>
    <row r="169" spans="1:25" s="493" customFormat="1">
      <c r="A169" s="447"/>
      <c r="B169" s="448"/>
      <c r="C169" s="448"/>
      <c r="D169" s="448"/>
      <c r="E169" s="448"/>
      <c r="F169" s="448"/>
      <c r="G169" s="448"/>
      <c r="H169" s="448"/>
      <c r="I169" s="448"/>
      <c r="J169" s="448"/>
      <c r="K169" s="448"/>
      <c r="L169" s="448"/>
      <c r="M169" s="448"/>
      <c r="N169" s="448"/>
      <c r="O169" s="448"/>
      <c r="P169" s="448"/>
      <c r="Q169" s="448"/>
      <c r="R169" s="448"/>
      <c r="S169" s="448"/>
      <c r="T169" s="448"/>
      <c r="U169" s="448"/>
      <c r="V169" s="448"/>
      <c r="W169" s="448"/>
      <c r="X169" s="448"/>
      <c r="Y169" s="586"/>
    </row>
    <row r="170" spans="1:25" s="493" customFormat="1">
      <c r="A170" s="447"/>
      <c r="B170" s="448"/>
      <c r="C170" s="448"/>
      <c r="D170" s="448"/>
      <c r="E170" s="448"/>
      <c r="F170" s="448"/>
      <c r="G170" s="448"/>
      <c r="H170" s="448"/>
      <c r="I170" s="448"/>
      <c r="J170" s="448"/>
      <c r="K170" s="448"/>
      <c r="L170" s="448"/>
      <c r="M170" s="448"/>
      <c r="N170" s="448"/>
      <c r="O170" s="448"/>
      <c r="P170" s="448"/>
      <c r="Q170" s="448"/>
      <c r="R170" s="448"/>
      <c r="S170" s="448"/>
      <c r="T170" s="448"/>
      <c r="U170" s="448"/>
      <c r="V170" s="448"/>
      <c r="W170" s="448"/>
      <c r="X170" s="448"/>
      <c r="Y170" s="586"/>
    </row>
    <row r="171" spans="1:25" s="1452" customFormat="1" ht="15" customHeight="1">
      <c r="A171" s="447"/>
      <c r="B171" s="448"/>
      <c r="C171" s="448"/>
      <c r="D171" s="448"/>
      <c r="E171" s="448"/>
      <c r="F171" s="448"/>
      <c r="G171" s="448"/>
      <c r="H171" s="448"/>
      <c r="I171" s="448"/>
      <c r="J171" s="448"/>
      <c r="K171" s="448"/>
      <c r="L171" s="448"/>
      <c r="M171" s="448"/>
      <c r="N171" s="448"/>
      <c r="O171" s="448"/>
      <c r="P171" s="448"/>
      <c r="Q171" s="448"/>
      <c r="R171" s="448"/>
      <c r="S171" s="448"/>
      <c r="T171" s="448"/>
      <c r="U171" s="448"/>
      <c r="V171" s="448"/>
      <c r="W171" s="448"/>
      <c r="X171" s="448"/>
      <c r="Y171" s="586"/>
    </row>
    <row r="172" spans="1:25" s="493" customFormat="1" ht="12.75" customHeight="1">
      <c r="A172" s="447"/>
      <c r="B172" s="448"/>
      <c r="C172" s="448"/>
      <c r="D172" s="448"/>
      <c r="E172" s="448"/>
      <c r="F172" s="448"/>
      <c r="G172" s="448"/>
      <c r="H172" s="448"/>
      <c r="I172" s="448"/>
      <c r="J172" s="448"/>
      <c r="K172" s="448"/>
      <c r="L172" s="448"/>
      <c r="M172" s="448"/>
      <c r="N172" s="448"/>
      <c r="O172" s="448"/>
      <c r="P172" s="448"/>
      <c r="Q172" s="448"/>
      <c r="R172" s="448"/>
      <c r="S172" s="448"/>
      <c r="T172" s="448"/>
      <c r="U172" s="448"/>
      <c r="V172" s="448"/>
      <c r="W172" s="448"/>
      <c r="X172" s="448"/>
      <c r="Y172" s="586"/>
    </row>
    <row r="173" spans="1:25" s="493" customFormat="1" ht="12.75" customHeight="1">
      <c r="A173" s="447"/>
      <c r="B173" s="448"/>
      <c r="C173" s="448"/>
      <c r="D173" s="448"/>
      <c r="E173" s="448"/>
      <c r="F173" s="448"/>
      <c r="G173" s="448"/>
      <c r="H173" s="448"/>
      <c r="I173" s="448"/>
      <c r="J173" s="448"/>
      <c r="K173" s="448"/>
      <c r="L173" s="448"/>
      <c r="M173" s="448"/>
      <c r="N173" s="448"/>
      <c r="O173" s="448"/>
      <c r="P173" s="448"/>
      <c r="Q173" s="448"/>
      <c r="R173" s="448"/>
      <c r="S173" s="448"/>
      <c r="T173" s="448"/>
      <c r="U173" s="448"/>
      <c r="V173" s="448"/>
      <c r="W173" s="448"/>
      <c r="X173" s="448"/>
      <c r="Y173" s="586"/>
    </row>
    <row r="174" spans="1:25" s="493" customFormat="1">
      <c r="A174" s="447"/>
      <c r="B174" s="448"/>
      <c r="C174" s="448"/>
      <c r="D174" s="448"/>
      <c r="E174" s="448"/>
      <c r="F174" s="448"/>
      <c r="G174" s="448"/>
      <c r="H174" s="448"/>
      <c r="I174" s="448"/>
      <c r="J174" s="448"/>
      <c r="K174" s="448"/>
      <c r="L174" s="448"/>
      <c r="M174" s="448"/>
      <c r="N174" s="448"/>
      <c r="O174" s="448"/>
      <c r="P174" s="448"/>
      <c r="Q174" s="448"/>
      <c r="R174" s="448"/>
      <c r="S174" s="448"/>
      <c r="T174" s="448"/>
      <c r="U174" s="448"/>
      <c r="V174" s="448"/>
      <c r="W174" s="448"/>
      <c r="X174" s="448"/>
      <c r="Y174" s="586"/>
    </row>
    <row r="175" spans="1:25" s="493" customFormat="1">
      <c r="A175" s="447"/>
      <c r="B175" s="448"/>
      <c r="C175" s="448"/>
      <c r="D175" s="448"/>
      <c r="E175" s="448"/>
      <c r="F175" s="448"/>
      <c r="G175" s="448"/>
      <c r="H175" s="448"/>
      <c r="I175" s="448"/>
      <c r="J175" s="448"/>
      <c r="K175" s="448"/>
      <c r="L175" s="448"/>
      <c r="M175" s="448"/>
      <c r="N175" s="448"/>
      <c r="O175" s="448"/>
      <c r="P175" s="448"/>
      <c r="Q175" s="448"/>
      <c r="R175" s="448"/>
      <c r="S175" s="448"/>
      <c r="T175" s="448"/>
      <c r="U175" s="448"/>
      <c r="V175" s="448"/>
      <c r="W175" s="448"/>
      <c r="X175" s="448"/>
      <c r="Y175" s="586"/>
    </row>
    <row r="176" spans="1:25" s="1452" customFormat="1" ht="13.5" customHeight="1">
      <c r="A176" s="447"/>
      <c r="B176" s="448"/>
      <c r="C176" s="448"/>
      <c r="D176" s="448"/>
      <c r="E176" s="448"/>
      <c r="F176" s="448"/>
      <c r="G176" s="448"/>
      <c r="H176" s="448"/>
      <c r="I176" s="448"/>
      <c r="J176" s="448"/>
      <c r="K176" s="448"/>
      <c r="L176" s="448"/>
      <c r="M176" s="448"/>
      <c r="N176" s="448"/>
      <c r="O176" s="448"/>
      <c r="P176" s="448"/>
      <c r="Q176" s="448"/>
      <c r="R176" s="448"/>
      <c r="S176" s="448"/>
      <c r="T176" s="448"/>
      <c r="U176" s="448"/>
      <c r="V176" s="448"/>
      <c r="W176" s="448"/>
      <c r="X176" s="448"/>
      <c r="Y176" s="586"/>
    </row>
    <row r="177" spans="1:25" s="493" customFormat="1" ht="12.75" customHeight="1">
      <c r="A177" s="447"/>
      <c r="B177" s="448"/>
      <c r="C177" s="448"/>
      <c r="D177" s="448"/>
      <c r="E177" s="448"/>
      <c r="F177" s="448"/>
      <c r="G177" s="448"/>
      <c r="H177" s="448"/>
      <c r="I177" s="448"/>
      <c r="J177" s="448"/>
      <c r="K177" s="448"/>
      <c r="L177" s="448"/>
      <c r="M177" s="448"/>
      <c r="N177" s="448"/>
      <c r="O177" s="448"/>
      <c r="P177" s="448"/>
      <c r="Q177" s="448"/>
      <c r="R177" s="448"/>
      <c r="S177" s="448"/>
      <c r="T177" s="448"/>
      <c r="U177" s="448"/>
      <c r="V177" s="448"/>
      <c r="W177" s="448"/>
      <c r="X177" s="448"/>
      <c r="Y177" s="586"/>
    </row>
    <row r="178" spans="1:25" s="493" customFormat="1" ht="12.75" customHeight="1">
      <c r="A178" s="447"/>
      <c r="B178" s="448"/>
      <c r="C178" s="448"/>
      <c r="D178" s="448"/>
      <c r="E178" s="448"/>
      <c r="F178" s="448"/>
      <c r="G178" s="448"/>
      <c r="H178" s="448"/>
      <c r="I178" s="448"/>
      <c r="J178" s="448"/>
      <c r="K178" s="448"/>
      <c r="L178" s="448"/>
      <c r="M178" s="448"/>
      <c r="N178" s="448"/>
      <c r="O178" s="448"/>
      <c r="P178" s="448"/>
      <c r="Q178" s="448"/>
      <c r="R178" s="448"/>
      <c r="S178" s="448"/>
      <c r="T178" s="448"/>
      <c r="U178" s="448"/>
      <c r="V178" s="448"/>
      <c r="W178" s="448"/>
      <c r="X178" s="448"/>
      <c r="Y178" s="586"/>
    </row>
    <row r="179" spans="1:25" s="493" customFormat="1">
      <c r="A179" s="447"/>
      <c r="B179" s="448"/>
      <c r="C179" s="448"/>
      <c r="D179" s="448"/>
      <c r="E179" s="448"/>
      <c r="F179" s="448"/>
      <c r="G179" s="448"/>
      <c r="H179" s="448"/>
      <c r="I179" s="448"/>
      <c r="J179" s="448"/>
      <c r="K179" s="448"/>
      <c r="L179" s="448"/>
      <c r="M179" s="448"/>
      <c r="N179" s="448"/>
      <c r="O179" s="448"/>
      <c r="P179" s="448"/>
      <c r="Q179" s="448"/>
      <c r="R179" s="448"/>
      <c r="S179" s="448"/>
      <c r="T179" s="448"/>
      <c r="U179" s="448"/>
      <c r="V179" s="448"/>
      <c r="W179" s="448"/>
      <c r="X179" s="448"/>
      <c r="Y179" s="586"/>
    </row>
    <row r="180" spans="1:25" s="493" customFormat="1">
      <c r="A180" s="447"/>
      <c r="B180" s="448"/>
      <c r="C180" s="448"/>
      <c r="D180" s="448"/>
      <c r="E180" s="448"/>
      <c r="F180" s="448"/>
      <c r="G180" s="448"/>
      <c r="H180" s="448"/>
      <c r="I180" s="448"/>
      <c r="J180" s="448"/>
      <c r="K180" s="448"/>
      <c r="L180" s="448"/>
      <c r="M180" s="448"/>
      <c r="N180" s="448"/>
      <c r="O180" s="448"/>
      <c r="P180" s="448"/>
      <c r="Q180" s="448"/>
      <c r="R180" s="448"/>
      <c r="S180" s="448"/>
      <c r="T180" s="448"/>
      <c r="U180" s="448"/>
      <c r="V180" s="448"/>
      <c r="W180" s="448"/>
      <c r="X180" s="448"/>
      <c r="Y180" s="586"/>
    </row>
    <row r="181" spans="1:25" s="493" customFormat="1">
      <c r="A181" s="447"/>
      <c r="B181" s="448"/>
      <c r="C181" s="448"/>
      <c r="D181" s="448"/>
      <c r="E181" s="448"/>
      <c r="F181" s="448"/>
      <c r="G181" s="448"/>
      <c r="H181" s="448"/>
      <c r="I181" s="448"/>
      <c r="J181" s="448"/>
      <c r="K181" s="448"/>
      <c r="L181" s="448"/>
      <c r="M181" s="448"/>
      <c r="N181" s="448"/>
      <c r="O181" s="448"/>
      <c r="P181" s="448"/>
      <c r="Q181" s="448"/>
      <c r="R181" s="448"/>
      <c r="S181" s="448"/>
      <c r="T181" s="448"/>
      <c r="U181" s="448"/>
      <c r="V181" s="448"/>
      <c r="W181" s="448"/>
      <c r="X181" s="448"/>
      <c r="Y181" s="586"/>
    </row>
    <row r="182" spans="1:25" s="1452" customFormat="1" ht="22.5" customHeight="1">
      <c r="A182" s="447"/>
      <c r="B182" s="448"/>
      <c r="C182" s="448"/>
      <c r="D182" s="448"/>
      <c r="E182" s="448"/>
      <c r="F182" s="448"/>
      <c r="G182" s="448"/>
      <c r="H182" s="448"/>
      <c r="I182" s="448"/>
      <c r="J182" s="448"/>
      <c r="K182" s="448"/>
      <c r="L182" s="448"/>
      <c r="M182" s="448"/>
      <c r="N182" s="448"/>
      <c r="O182" s="448"/>
      <c r="P182" s="448"/>
      <c r="Q182" s="448"/>
      <c r="R182" s="448"/>
      <c r="S182" s="448"/>
      <c r="T182" s="448"/>
      <c r="U182" s="448"/>
      <c r="V182" s="448"/>
      <c r="W182" s="448"/>
      <c r="X182" s="448"/>
      <c r="Y182" s="586"/>
    </row>
    <row r="183" spans="1:25" s="493" customFormat="1" ht="12.75" customHeight="1">
      <c r="A183" s="447"/>
      <c r="B183" s="448"/>
      <c r="C183" s="448"/>
      <c r="D183" s="448"/>
      <c r="E183" s="448"/>
      <c r="F183" s="448"/>
      <c r="G183" s="448"/>
      <c r="H183" s="448"/>
      <c r="I183" s="448"/>
      <c r="J183" s="448"/>
      <c r="K183" s="448"/>
      <c r="L183" s="448"/>
      <c r="M183" s="448"/>
      <c r="N183" s="448"/>
      <c r="O183" s="448"/>
      <c r="P183" s="448"/>
      <c r="Q183" s="448"/>
      <c r="R183" s="448"/>
      <c r="S183" s="448"/>
      <c r="T183" s="448"/>
      <c r="U183" s="448"/>
      <c r="V183" s="448"/>
      <c r="W183" s="448"/>
      <c r="X183" s="448"/>
      <c r="Y183" s="586"/>
    </row>
    <row r="184" spans="1:25" s="493" customFormat="1" ht="12.75" customHeight="1">
      <c r="A184" s="447"/>
      <c r="B184" s="448"/>
      <c r="C184" s="448"/>
      <c r="D184" s="448"/>
      <c r="E184" s="448"/>
      <c r="F184" s="448"/>
      <c r="G184" s="448"/>
      <c r="H184" s="448"/>
      <c r="I184" s="448"/>
      <c r="J184" s="448"/>
      <c r="K184" s="448"/>
      <c r="L184" s="448"/>
      <c r="M184" s="448"/>
      <c r="N184" s="448"/>
      <c r="O184" s="448"/>
      <c r="P184" s="448"/>
      <c r="Q184" s="448"/>
      <c r="R184" s="448"/>
      <c r="S184" s="448"/>
      <c r="T184" s="448"/>
      <c r="U184" s="448"/>
      <c r="V184" s="448"/>
      <c r="W184" s="448"/>
      <c r="X184" s="448"/>
      <c r="Y184" s="586"/>
    </row>
    <row r="185" spans="1:25" s="493" customFormat="1">
      <c r="A185" s="447"/>
      <c r="B185" s="448"/>
      <c r="C185" s="448"/>
      <c r="D185" s="448"/>
      <c r="E185" s="448"/>
      <c r="F185" s="448"/>
      <c r="G185" s="448"/>
      <c r="H185" s="448"/>
      <c r="I185" s="448"/>
      <c r="J185" s="448"/>
      <c r="K185" s="448"/>
      <c r="L185" s="448"/>
      <c r="M185" s="448"/>
      <c r="N185" s="448"/>
      <c r="O185" s="448"/>
      <c r="P185" s="448"/>
      <c r="Q185" s="448"/>
      <c r="R185" s="448"/>
      <c r="S185" s="448"/>
      <c r="T185" s="448"/>
      <c r="U185" s="448"/>
      <c r="V185" s="448"/>
      <c r="W185" s="448"/>
      <c r="X185" s="448"/>
      <c r="Y185" s="586"/>
    </row>
    <row r="186" spans="1:25" s="493" customFormat="1">
      <c r="A186" s="447"/>
      <c r="B186" s="448"/>
      <c r="C186" s="448"/>
      <c r="D186" s="448"/>
      <c r="E186" s="448"/>
      <c r="F186" s="448"/>
      <c r="G186" s="448"/>
      <c r="H186" s="448"/>
      <c r="I186" s="448"/>
      <c r="J186" s="448"/>
      <c r="K186" s="448"/>
      <c r="L186" s="448"/>
      <c r="M186" s="448"/>
      <c r="N186" s="448"/>
      <c r="O186" s="448"/>
      <c r="P186" s="448"/>
      <c r="Q186" s="448"/>
      <c r="R186" s="448"/>
      <c r="S186" s="448"/>
      <c r="T186" s="448"/>
      <c r="U186" s="448"/>
      <c r="V186" s="448"/>
      <c r="W186" s="448"/>
      <c r="X186" s="448"/>
      <c r="Y186" s="586"/>
    </row>
    <row r="187" spans="1:25" s="1452" customFormat="1" ht="12.75" customHeight="1">
      <c r="A187" s="447"/>
      <c r="B187" s="448"/>
      <c r="C187" s="448"/>
      <c r="D187" s="448"/>
      <c r="E187" s="448"/>
      <c r="F187" s="448"/>
      <c r="G187" s="448"/>
      <c r="H187" s="448"/>
      <c r="I187" s="448"/>
      <c r="J187" s="448"/>
      <c r="K187" s="448"/>
      <c r="L187" s="448"/>
      <c r="M187" s="448"/>
      <c r="N187" s="448"/>
      <c r="O187" s="448"/>
      <c r="P187" s="448"/>
      <c r="Q187" s="448"/>
      <c r="R187" s="448"/>
      <c r="S187" s="448"/>
      <c r="T187" s="448"/>
      <c r="U187" s="448"/>
      <c r="V187" s="448"/>
      <c r="W187" s="448"/>
      <c r="X187" s="448"/>
      <c r="Y187" s="586"/>
    </row>
    <row r="188" spans="1:25" s="493" customFormat="1" ht="9.75" customHeight="1">
      <c r="A188" s="447"/>
      <c r="B188" s="448"/>
      <c r="C188" s="448"/>
      <c r="D188" s="448"/>
      <c r="E188" s="448"/>
      <c r="F188" s="448"/>
      <c r="G188" s="448"/>
      <c r="H188" s="448"/>
      <c r="I188" s="448"/>
      <c r="J188" s="448"/>
      <c r="K188" s="448"/>
      <c r="L188" s="448"/>
      <c r="M188" s="448"/>
      <c r="N188" s="448"/>
      <c r="O188" s="448"/>
      <c r="P188" s="448"/>
      <c r="Q188" s="448"/>
      <c r="R188" s="448"/>
      <c r="S188" s="448"/>
      <c r="T188" s="448"/>
      <c r="U188" s="448"/>
      <c r="V188" s="448"/>
      <c r="W188" s="448"/>
      <c r="X188" s="448"/>
      <c r="Y188" s="586"/>
    </row>
    <row r="189" spans="1:25" s="493" customFormat="1" ht="12.75" customHeight="1">
      <c r="A189" s="447"/>
      <c r="B189" s="448"/>
      <c r="C189" s="448"/>
      <c r="D189" s="448"/>
      <c r="E189" s="448"/>
      <c r="F189" s="448"/>
      <c r="G189" s="448"/>
      <c r="H189" s="448"/>
      <c r="I189" s="448"/>
      <c r="J189" s="448"/>
      <c r="K189" s="448"/>
      <c r="L189" s="448"/>
      <c r="M189" s="448"/>
      <c r="N189" s="448"/>
      <c r="O189" s="448"/>
      <c r="P189" s="448"/>
      <c r="Q189" s="448"/>
      <c r="R189" s="448"/>
      <c r="S189" s="448"/>
      <c r="T189" s="448"/>
      <c r="U189" s="448"/>
      <c r="V189" s="448"/>
      <c r="W189" s="448"/>
      <c r="X189" s="448"/>
      <c r="Y189" s="586"/>
    </row>
    <row r="190" spans="1:25" s="493" customFormat="1">
      <c r="A190" s="447"/>
      <c r="B190" s="448"/>
      <c r="C190" s="448"/>
      <c r="D190" s="448"/>
      <c r="E190" s="448"/>
      <c r="F190" s="448"/>
      <c r="G190" s="448"/>
      <c r="H190" s="448"/>
      <c r="I190" s="448"/>
      <c r="J190" s="448"/>
      <c r="K190" s="448"/>
      <c r="L190" s="448"/>
      <c r="M190" s="448"/>
      <c r="N190" s="448"/>
      <c r="O190" s="448"/>
      <c r="P190" s="448"/>
      <c r="Q190" s="448"/>
      <c r="R190" s="448"/>
      <c r="S190" s="448"/>
      <c r="T190" s="448"/>
      <c r="U190" s="448"/>
      <c r="V190" s="448"/>
      <c r="W190" s="448"/>
      <c r="X190" s="448"/>
      <c r="Y190" s="586"/>
    </row>
    <row r="191" spans="1:25" s="493" customFormat="1">
      <c r="A191" s="447"/>
      <c r="B191" s="448"/>
      <c r="C191" s="448"/>
      <c r="D191" s="448"/>
      <c r="E191" s="448"/>
      <c r="F191" s="448"/>
      <c r="G191" s="448"/>
      <c r="H191" s="448"/>
      <c r="I191" s="448"/>
      <c r="J191" s="448"/>
      <c r="K191" s="448"/>
      <c r="L191" s="448"/>
      <c r="M191" s="448"/>
      <c r="N191" s="448"/>
      <c r="O191" s="448"/>
      <c r="P191" s="448"/>
      <c r="Q191" s="448"/>
      <c r="R191" s="448"/>
      <c r="S191" s="448"/>
      <c r="T191" s="448"/>
      <c r="U191" s="448"/>
      <c r="V191" s="448"/>
      <c r="W191" s="448"/>
      <c r="X191" s="448"/>
      <c r="Y191" s="586"/>
    </row>
    <row r="192" spans="1:25" s="1452" customFormat="1" ht="13.5" customHeight="1">
      <c r="A192" s="447"/>
      <c r="B192" s="448"/>
      <c r="C192" s="448"/>
      <c r="D192" s="448"/>
      <c r="E192" s="448"/>
      <c r="F192" s="448"/>
      <c r="G192" s="448"/>
      <c r="H192" s="448"/>
      <c r="I192" s="448"/>
      <c r="J192" s="448"/>
      <c r="K192" s="448"/>
      <c r="L192" s="448"/>
      <c r="M192" s="448"/>
      <c r="N192" s="448"/>
      <c r="O192" s="448"/>
      <c r="P192" s="448"/>
      <c r="Q192" s="448"/>
      <c r="R192" s="448"/>
      <c r="S192" s="448"/>
      <c r="T192" s="448"/>
      <c r="U192" s="448"/>
      <c r="V192" s="448"/>
      <c r="W192" s="448"/>
      <c r="X192" s="448"/>
      <c r="Y192" s="586"/>
    </row>
    <row r="193" spans="1:25" s="493" customFormat="1" ht="9.75" customHeight="1">
      <c r="A193" s="447"/>
      <c r="B193" s="448"/>
      <c r="C193" s="448"/>
      <c r="D193" s="448"/>
      <c r="E193" s="448"/>
      <c r="F193" s="448"/>
      <c r="G193" s="448"/>
      <c r="H193" s="448"/>
      <c r="I193" s="448"/>
      <c r="J193" s="448"/>
      <c r="K193" s="448"/>
      <c r="L193" s="448"/>
      <c r="M193" s="448"/>
      <c r="N193" s="448"/>
      <c r="O193" s="448"/>
      <c r="P193" s="448"/>
      <c r="Q193" s="448"/>
      <c r="R193" s="448"/>
      <c r="S193" s="448"/>
      <c r="T193" s="448"/>
      <c r="U193" s="448"/>
      <c r="V193" s="448"/>
      <c r="W193" s="448"/>
      <c r="X193" s="448"/>
      <c r="Y193" s="586"/>
    </row>
    <row r="194" spans="1:25" s="493" customFormat="1" ht="12.75" customHeight="1">
      <c r="A194" s="447"/>
      <c r="B194" s="448"/>
      <c r="C194" s="448"/>
      <c r="D194" s="448"/>
      <c r="E194" s="448"/>
      <c r="F194" s="448"/>
      <c r="G194" s="448"/>
      <c r="H194" s="448"/>
      <c r="I194" s="448"/>
      <c r="J194" s="448"/>
      <c r="K194" s="448"/>
      <c r="L194" s="448"/>
      <c r="M194" s="448"/>
      <c r="N194" s="448"/>
      <c r="O194" s="448"/>
      <c r="P194" s="448"/>
      <c r="Q194" s="448"/>
      <c r="R194" s="448"/>
      <c r="S194" s="448"/>
      <c r="T194" s="448"/>
      <c r="U194" s="448"/>
      <c r="V194" s="448"/>
      <c r="W194" s="448"/>
      <c r="X194" s="448"/>
      <c r="Y194" s="586"/>
    </row>
    <row r="195" spans="1:25" s="493" customFormat="1">
      <c r="A195" s="447"/>
      <c r="B195" s="448"/>
      <c r="C195" s="448"/>
      <c r="D195" s="448"/>
      <c r="E195" s="448"/>
      <c r="F195" s="448"/>
      <c r="G195" s="448"/>
      <c r="H195" s="448"/>
      <c r="I195" s="448"/>
      <c r="J195" s="448"/>
      <c r="K195" s="448"/>
      <c r="L195" s="448"/>
      <c r="M195" s="448"/>
      <c r="N195" s="448"/>
      <c r="O195" s="448"/>
      <c r="P195" s="448"/>
      <c r="Q195" s="448"/>
      <c r="R195" s="448"/>
      <c r="S195" s="448"/>
      <c r="T195" s="448"/>
      <c r="U195" s="448"/>
      <c r="V195" s="448"/>
      <c r="W195" s="448"/>
      <c r="X195" s="448"/>
      <c r="Y195" s="586"/>
    </row>
    <row r="196" spans="1:25" s="493" customFormat="1">
      <c r="A196" s="447"/>
      <c r="B196" s="448"/>
      <c r="C196" s="448"/>
      <c r="D196" s="448"/>
      <c r="E196" s="448"/>
      <c r="F196" s="448"/>
      <c r="G196" s="448"/>
      <c r="H196" s="448"/>
      <c r="I196" s="448"/>
      <c r="J196" s="448"/>
      <c r="K196" s="448"/>
      <c r="L196" s="448"/>
      <c r="M196" s="448"/>
      <c r="N196" s="448"/>
      <c r="O196" s="448"/>
      <c r="P196" s="448"/>
      <c r="Q196" s="448"/>
      <c r="R196" s="448"/>
      <c r="S196" s="448"/>
      <c r="T196" s="448"/>
      <c r="U196" s="448"/>
      <c r="V196" s="448"/>
      <c r="W196" s="448"/>
      <c r="X196" s="448"/>
      <c r="Y196" s="586"/>
    </row>
    <row r="197" spans="1:25" s="493" customFormat="1">
      <c r="A197" s="447"/>
      <c r="B197" s="448"/>
      <c r="C197" s="448"/>
      <c r="D197" s="448"/>
      <c r="E197" s="448"/>
      <c r="F197" s="448"/>
      <c r="G197" s="448"/>
      <c r="H197" s="448"/>
      <c r="I197" s="448"/>
      <c r="J197" s="448"/>
      <c r="K197" s="448"/>
      <c r="L197" s="448"/>
      <c r="M197" s="448"/>
      <c r="N197" s="448"/>
      <c r="O197" s="448"/>
      <c r="P197" s="448"/>
      <c r="Q197" s="448"/>
      <c r="R197" s="448"/>
      <c r="S197" s="448"/>
      <c r="T197" s="448"/>
      <c r="U197" s="448"/>
      <c r="V197" s="448"/>
      <c r="W197" s="448"/>
      <c r="X197" s="448"/>
      <c r="Y197" s="586"/>
    </row>
    <row r="198" spans="1:25" s="493" customFormat="1">
      <c r="A198" s="447"/>
      <c r="B198" s="448"/>
      <c r="C198" s="448"/>
      <c r="D198" s="448"/>
      <c r="E198" s="448"/>
      <c r="F198" s="448"/>
      <c r="G198" s="448"/>
      <c r="H198" s="448"/>
      <c r="I198" s="448"/>
      <c r="J198" s="448"/>
      <c r="K198" s="448"/>
      <c r="L198" s="448"/>
      <c r="M198" s="448"/>
      <c r="N198" s="448"/>
      <c r="O198" s="448"/>
      <c r="P198" s="448"/>
      <c r="Q198" s="448"/>
      <c r="R198" s="448"/>
      <c r="S198" s="448"/>
      <c r="T198" s="448"/>
      <c r="U198" s="448"/>
      <c r="V198" s="448"/>
      <c r="W198" s="448"/>
      <c r="X198" s="448"/>
      <c r="Y198" s="586"/>
    </row>
    <row r="199" spans="1:25" s="493" customFormat="1">
      <c r="A199" s="447"/>
      <c r="B199" s="448"/>
      <c r="C199" s="448"/>
      <c r="D199" s="448"/>
      <c r="E199" s="448"/>
      <c r="F199" s="448"/>
      <c r="G199" s="448"/>
      <c r="H199" s="448"/>
      <c r="I199" s="448"/>
      <c r="J199" s="448"/>
      <c r="K199" s="448"/>
      <c r="L199" s="448"/>
      <c r="M199" s="448"/>
      <c r="N199" s="448"/>
      <c r="O199" s="448"/>
      <c r="P199" s="448"/>
      <c r="Q199" s="448"/>
      <c r="R199" s="448"/>
      <c r="S199" s="448"/>
      <c r="T199" s="448"/>
      <c r="U199" s="448"/>
      <c r="V199" s="448"/>
      <c r="W199" s="448"/>
      <c r="X199" s="448"/>
      <c r="Y199" s="586"/>
    </row>
    <row r="200" spans="1:25" s="1452" customFormat="1" ht="22.5" customHeight="1">
      <c r="A200" s="447"/>
      <c r="B200" s="448"/>
      <c r="C200" s="448"/>
      <c r="D200" s="448"/>
      <c r="E200" s="448"/>
      <c r="F200" s="448"/>
      <c r="G200" s="448"/>
      <c r="H200" s="448"/>
      <c r="I200" s="448"/>
      <c r="J200" s="448"/>
      <c r="K200" s="448"/>
      <c r="L200" s="448"/>
      <c r="M200" s="448"/>
      <c r="N200" s="448"/>
      <c r="O200" s="448"/>
      <c r="P200" s="448"/>
      <c r="Q200" s="448"/>
      <c r="R200" s="448"/>
      <c r="S200" s="448"/>
      <c r="T200" s="448"/>
      <c r="U200" s="448"/>
      <c r="V200" s="448"/>
      <c r="W200" s="448"/>
      <c r="X200" s="448"/>
      <c r="Y200" s="586"/>
    </row>
    <row r="201" spans="1:25" s="493" customFormat="1" ht="12.75" customHeight="1">
      <c r="A201" s="447"/>
      <c r="B201" s="448"/>
      <c r="C201" s="448"/>
      <c r="D201" s="448"/>
      <c r="E201" s="448"/>
      <c r="F201" s="448"/>
      <c r="G201" s="448"/>
      <c r="H201" s="448"/>
      <c r="I201" s="448"/>
      <c r="J201" s="448"/>
      <c r="K201" s="448"/>
      <c r="L201" s="448"/>
      <c r="M201" s="448"/>
      <c r="N201" s="448"/>
      <c r="O201" s="448"/>
      <c r="P201" s="448"/>
      <c r="Q201" s="448"/>
      <c r="R201" s="448"/>
      <c r="S201" s="448"/>
      <c r="T201" s="448"/>
      <c r="U201" s="448"/>
      <c r="V201" s="448"/>
      <c r="W201" s="448"/>
      <c r="X201" s="448"/>
      <c r="Y201" s="586"/>
    </row>
    <row r="202" spans="1:25" s="493" customFormat="1" ht="12.75" customHeight="1">
      <c r="A202" s="447"/>
      <c r="B202" s="448"/>
      <c r="C202" s="448"/>
      <c r="D202" s="448"/>
      <c r="E202" s="448"/>
      <c r="F202" s="448"/>
      <c r="G202" s="448"/>
      <c r="H202" s="448"/>
      <c r="I202" s="448"/>
      <c r="J202" s="448"/>
      <c r="K202" s="448"/>
      <c r="L202" s="448"/>
      <c r="M202" s="448"/>
      <c r="N202" s="448"/>
      <c r="O202" s="448"/>
      <c r="P202" s="448"/>
      <c r="Q202" s="448"/>
      <c r="R202" s="448"/>
      <c r="S202" s="448"/>
      <c r="T202" s="448"/>
      <c r="U202" s="448"/>
      <c r="V202" s="448"/>
      <c r="W202" s="448"/>
      <c r="X202" s="448"/>
      <c r="Y202" s="586"/>
    </row>
    <row r="203" spans="1:25" s="493" customFormat="1">
      <c r="A203" s="447"/>
      <c r="B203" s="448"/>
      <c r="C203" s="448"/>
      <c r="D203" s="448"/>
      <c r="E203" s="448"/>
      <c r="F203" s="448"/>
      <c r="G203" s="448"/>
      <c r="H203" s="448"/>
      <c r="I203" s="448"/>
      <c r="J203" s="448"/>
      <c r="K203" s="448"/>
      <c r="L203" s="448"/>
      <c r="M203" s="448"/>
      <c r="N203" s="448"/>
      <c r="O203" s="448"/>
      <c r="P203" s="448"/>
      <c r="Q203" s="448"/>
      <c r="R203" s="448"/>
      <c r="S203" s="448"/>
      <c r="T203" s="448"/>
      <c r="U203" s="448"/>
      <c r="V203" s="448"/>
      <c r="W203" s="448"/>
      <c r="X203" s="448"/>
      <c r="Y203" s="586"/>
    </row>
    <row r="204" spans="1:25" s="493" customFormat="1">
      <c r="A204" s="447"/>
      <c r="B204" s="448"/>
      <c r="C204" s="448"/>
      <c r="D204" s="448"/>
      <c r="E204" s="448"/>
      <c r="F204" s="448"/>
      <c r="G204" s="448"/>
      <c r="H204" s="448"/>
      <c r="I204" s="448"/>
      <c r="J204" s="448"/>
      <c r="K204" s="448"/>
      <c r="L204" s="448"/>
      <c r="M204" s="448"/>
      <c r="N204" s="448"/>
      <c r="O204" s="448"/>
      <c r="P204" s="448"/>
      <c r="Q204" s="448"/>
      <c r="R204" s="448"/>
      <c r="S204" s="448"/>
      <c r="T204" s="448"/>
      <c r="U204" s="448"/>
      <c r="V204" s="448"/>
      <c r="W204" s="448"/>
      <c r="X204" s="448"/>
      <c r="Y204" s="586"/>
    </row>
    <row r="205" spans="1:25" s="1452" customFormat="1" ht="34.5" customHeight="1">
      <c r="A205" s="447"/>
      <c r="B205" s="448"/>
      <c r="C205" s="448"/>
      <c r="D205" s="448"/>
      <c r="E205" s="448"/>
      <c r="F205" s="448"/>
      <c r="G205" s="448"/>
      <c r="H205" s="448"/>
      <c r="I205" s="448"/>
      <c r="J205" s="448"/>
      <c r="K205" s="448"/>
      <c r="L205" s="448"/>
      <c r="M205" s="448"/>
      <c r="N205" s="448"/>
      <c r="O205" s="448"/>
      <c r="P205" s="448"/>
      <c r="Q205" s="448"/>
      <c r="R205" s="448"/>
      <c r="S205" s="448"/>
      <c r="T205" s="448"/>
      <c r="U205" s="448"/>
      <c r="V205" s="448"/>
      <c r="W205" s="448"/>
      <c r="X205" s="448"/>
      <c r="Y205" s="586"/>
    </row>
    <row r="206" spans="1:25" s="493" customFormat="1" ht="14.25" customHeight="1">
      <c r="A206" s="447"/>
      <c r="B206" s="448"/>
      <c r="C206" s="448"/>
      <c r="D206" s="448"/>
      <c r="E206" s="448"/>
      <c r="F206" s="448"/>
      <c r="G206" s="448"/>
      <c r="H206" s="448"/>
      <c r="I206" s="448"/>
      <c r="J206" s="448"/>
      <c r="K206" s="448"/>
      <c r="L206" s="448"/>
      <c r="M206" s="448"/>
      <c r="N206" s="448"/>
      <c r="O206" s="448"/>
      <c r="P206" s="448"/>
      <c r="Q206" s="448"/>
      <c r="R206" s="448"/>
      <c r="S206" s="448"/>
      <c r="T206" s="448"/>
      <c r="U206" s="448"/>
      <c r="V206" s="448"/>
      <c r="W206" s="448"/>
      <c r="X206" s="448"/>
      <c r="Y206" s="586"/>
    </row>
    <row r="207" spans="1:25" s="493" customFormat="1" ht="12.75" customHeight="1">
      <c r="A207" s="447"/>
      <c r="B207" s="448"/>
      <c r="C207" s="448"/>
      <c r="D207" s="448"/>
      <c r="E207" s="448"/>
      <c r="F207" s="448"/>
      <c r="G207" s="448"/>
      <c r="H207" s="448"/>
      <c r="I207" s="448"/>
      <c r="J207" s="448"/>
      <c r="K207" s="448"/>
      <c r="L207" s="448"/>
      <c r="M207" s="448"/>
      <c r="N207" s="448"/>
      <c r="O207" s="448"/>
      <c r="P207" s="448"/>
      <c r="Q207" s="448"/>
      <c r="R207" s="448"/>
      <c r="S207" s="448"/>
      <c r="T207" s="448"/>
      <c r="U207" s="448"/>
      <c r="V207" s="448"/>
      <c r="W207" s="448"/>
      <c r="X207" s="448"/>
      <c r="Y207" s="586"/>
    </row>
    <row r="208" spans="1:25" s="493" customFormat="1">
      <c r="A208" s="447"/>
      <c r="B208" s="448"/>
      <c r="C208" s="448"/>
      <c r="D208" s="448"/>
      <c r="E208" s="448"/>
      <c r="F208" s="448"/>
      <c r="G208" s="448"/>
      <c r="H208" s="448"/>
      <c r="I208" s="448"/>
      <c r="J208" s="448"/>
      <c r="K208" s="448"/>
      <c r="L208" s="448"/>
      <c r="M208" s="448"/>
      <c r="N208" s="448"/>
      <c r="O208" s="448"/>
      <c r="P208" s="448"/>
      <c r="Q208" s="448"/>
      <c r="R208" s="448"/>
      <c r="S208" s="448"/>
      <c r="T208" s="448"/>
      <c r="U208" s="448"/>
      <c r="V208" s="448"/>
      <c r="W208" s="448"/>
      <c r="X208" s="448"/>
      <c r="Y208" s="586"/>
    </row>
    <row r="209" spans="1:25" s="493" customFormat="1">
      <c r="A209" s="447"/>
      <c r="B209" s="448"/>
      <c r="C209" s="448"/>
      <c r="D209" s="448"/>
      <c r="E209" s="448"/>
      <c r="F209" s="448"/>
      <c r="G209" s="448"/>
      <c r="H209" s="448"/>
      <c r="I209" s="448"/>
      <c r="J209" s="448"/>
      <c r="K209" s="448"/>
      <c r="L209" s="448"/>
      <c r="M209" s="448"/>
      <c r="N209" s="448"/>
      <c r="O209" s="448"/>
      <c r="P209" s="448"/>
      <c r="Q209" s="448"/>
      <c r="R209" s="448"/>
      <c r="S209" s="448"/>
      <c r="T209" s="448"/>
      <c r="U209" s="448"/>
      <c r="V209" s="448"/>
      <c r="W209" s="448"/>
      <c r="X209" s="448"/>
      <c r="Y209" s="586"/>
    </row>
    <row r="210" spans="1:25" s="493" customFormat="1">
      <c r="A210" s="447"/>
      <c r="B210" s="448"/>
      <c r="C210" s="448"/>
      <c r="D210" s="448"/>
      <c r="E210" s="448"/>
      <c r="F210" s="448"/>
      <c r="G210" s="448"/>
      <c r="H210" s="448"/>
      <c r="I210" s="448"/>
      <c r="J210" s="448"/>
      <c r="K210" s="448"/>
      <c r="L210" s="448"/>
      <c r="M210" s="448"/>
      <c r="N210" s="448"/>
      <c r="O210" s="448"/>
      <c r="P210" s="448"/>
      <c r="Q210" s="448"/>
      <c r="R210" s="448"/>
      <c r="S210" s="448"/>
      <c r="T210" s="448"/>
      <c r="U210" s="448"/>
      <c r="V210" s="448"/>
      <c r="W210" s="448"/>
      <c r="X210" s="448"/>
      <c r="Y210" s="586"/>
    </row>
    <row r="211" spans="1:25" s="1452" customFormat="1" ht="36.75" customHeight="1">
      <c r="A211" s="447"/>
      <c r="B211" s="448"/>
      <c r="C211" s="448"/>
      <c r="D211" s="448"/>
      <c r="E211" s="448"/>
      <c r="F211" s="448"/>
      <c r="G211" s="448"/>
      <c r="H211" s="448"/>
      <c r="I211" s="448"/>
      <c r="J211" s="448"/>
      <c r="K211" s="448"/>
      <c r="L211" s="448"/>
      <c r="M211" s="448"/>
      <c r="N211" s="448"/>
      <c r="O211" s="448"/>
      <c r="P211" s="448"/>
      <c r="Q211" s="448"/>
      <c r="R211" s="448"/>
      <c r="S211" s="448"/>
      <c r="T211" s="448"/>
      <c r="U211" s="448"/>
      <c r="V211" s="448"/>
      <c r="W211" s="448"/>
      <c r="X211" s="448"/>
      <c r="Y211" s="586"/>
    </row>
    <row r="212" spans="1:25" s="493" customFormat="1" ht="9.75" customHeight="1">
      <c r="A212" s="447"/>
      <c r="B212" s="448"/>
      <c r="C212" s="448"/>
      <c r="D212" s="448"/>
      <c r="E212" s="448"/>
      <c r="F212" s="448"/>
      <c r="G212" s="448"/>
      <c r="H212" s="448"/>
      <c r="I212" s="448"/>
      <c r="J212" s="448"/>
      <c r="K212" s="448"/>
      <c r="L212" s="448"/>
      <c r="M212" s="448"/>
      <c r="N212" s="448"/>
      <c r="O212" s="448"/>
      <c r="P212" s="448"/>
      <c r="Q212" s="448"/>
      <c r="R212" s="448"/>
      <c r="S212" s="448"/>
      <c r="T212" s="448"/>
      <c r="U212" s="448"/>
      <c r="V212" s="448"/>
      <c r="W212" s="448"/>
      <c r="X212" s="448"/>
      <c r="Y212" s="586"/>
    </row>
    <row r="213" spans="1:25" s="493" customFormat="1" ht="12.75" customHeight="1">
      <c r="A213" s="447"/>
      <c r="B213" s="448"/>
      <c r="C213" s="448"/>
      <c r="D213" s="448"/>
      <c r="E213" s="448"/>
      <c r="F213" s="448"/>
      <c r="G213" s="448"/>
      <c r="H213" s="448"/>
      <c r="I213" s="448"/>
      <c r="J213" s="448"/>
      <c r="K213" s="448"/>
      <c r="L213" s="448"/>
      <c r="M213" s="448"/>
      <c r="N213" s="448"/>
      <c r="O213" s="448"/>
      <c r="P213" s="448"/>
      <c r="Q213" s="448"/>
      <c r="R213" s="448"/>
      <c r="S213" s="448"/>
      <c r="T213" s="448"/>
      <c r="U213" s="448"/>
      <c r="V213" s="448"/>
      <c r="W213" s="448"/>
      <c r="X213" s="448"/>
      <c r="Y213" s="586"/>
    </row>
    <row r="214" spans="1:25" s="493" customFormat="1">
      <c r="A214" s="447"/>
      <c r="B214" s="448"/>
      <c r="C214" s="448"/>
      <c r="D214" s="448"/>
      <c r="E214" s="448"/>
      <c r="F214" s="448"/>
      <c r="G214" s="448"/>
      <c r="H214" s="448"/>
      <c r="I214" s="448"/>
      <c r="J214" s="448"/>
      <c r="K214" s="448"/>
      <c r="L214" s="448"/>
      <c r="M214" s="448"/>
      <c r="N214" s="448"/>
      <c r="O214" s="448"/>
      <c r="P214" s="448"/>
      <c r="Q214" s="448"/>
      <c r="R214" s="448"/>
      <c r="S214" s="448"/>
      <c r="T214" s="448"/>
      <c r="U214" s="448"/>
      <c r="V214" s="448"/>
      <c r="W214" s="448"/>
      <c r="X214" s="448"/>
      <c r="Y214" s="586"/>
    </row>
    <row r="215" spans="1:25" s="493" customFormat="1">
      <c r="A215" s="447"/>
      <c r="B215" s="448"/>
      <c r="C215" s="448"/>
      <c r="D215" s="448"/>
      <c r="E215" s="448"/>
      <c r="F215" s="448"/>
      <c r="G215" s="448"/>
      <c r="H215" s="448"/>
      <c r="I215" s="448"/>
      <c r="J215" s="448"/>
      <c r="K215" s="448"/>
      <c r="L215" s="448"/>
      <c r="M215" s="448"/>
      <c r="N215" s="448"/>
      <c r="O215" s="448"/>
      <c r="P215" s="448"/>
      <c r="Q215" s="448"/>
      <c r="R215" s="448"/>
      <c r="S215" s="448"/>
      <c r="T215" s="448"/>
      <c r="U215" s="448"/>
      <c r="V215" s="448"/>
      <c r="W215" s="448"/>
      <c r="X215" s="448"/>
      <c r="Y215" s="586"/>
    </row>
    <row r="216" spans="1:25" s="493" customFormat="1">
      <c r="A216" s="447"/>
      <c r="B216" s="448"/>
      <c r="C216" s="448"/>
      <c r="D216" s="448"/>
      <c r="E216" s="448"/>
      <c r="F216" s="448"/>
      <c r="G216" s="448"/>
      <c r="H216" s="448"/>
      <c r="I216" s="448"/>
      <c r="J216" s="448"/>
      <c r="K216" s="448"/>
      <c r="L216" s="448"/>
      <c r="M216" s="448"/>
      <c r="N216" s="448"/>
      <c r="O216" s="448"/>
      <c r="P216" s="448"/>
      <c r="Q216" s="448"/>
      <c r="R216" s="448"/>
      <c r="S216" s="448"/>
      <c r="T216" s="448"/>
      <c r="U216" s="448"/>
      <c r="V216" s="448"/>
      <c r="W216" s="448"/>
      <c r="X216" s="448"/>
      <c r="Y216" s="586"/>
    </row>
    <row r="217" spans="1:25" s="1452" customFormat="1" ht="33.75" customHeight="1">
      <c r="A217" s="447"/>
      <c r="B217" s="448"/>
      <c r="C217" s="448"/>
      <c r="D217" s="448"/>
      <c r="E217" s="448"/>
      <c r="F217" s="448"/>
      <c r="G217" s="448"/>
      <c r="H217" s="448"/>
      <c r="I217" s="448"/>
      <c r="J217" s="448"/>
      <c r="K217" s="448"/>
      <c r="L217" s="448"/>
      <c r="M217" s="448"/>
      <c r="N217" s="448"/>
      <c r="O217" s="448"/>
      <c r="P217" s="448"/>
      <c r="Q217" s="448"/>
      <c r="R217" s="448"/>
      <c r="S217" s="448"/>
      <c r="T217" s="448"/>
      <c r="U217" s="448"/>
      <c r="V217" s="448"/>
      <c r="W217" s="448"/>
      <c r="X217" s="448"/>
      <c r="Y217" s="586"/>
    </row>
    <row r="218" spans="1:25" s="493" customFormat="1" ht="9.75" customHeight="1">
      <c r="A218" s="447"/>
      <c r="B218" s="448"/>
      <c r="C218" s="448"/>
      <c r="D218" s="448"/>
      <c r="E218" s="448"/>
      <c r="F218" s="448"/>
      <c r="G218" s="448"/>
      <c r="H218" s="448"/>
      <c r="I218" s="448"/>
      <c r="J218" s="448"/>
      <c r="K218" s="448"/>
      <c r="L218" s="448"/>
      <c r="M218" s="448"/>
      <c r="N218" s="448"/>
      <c r="O218" s="448"/>
      <c r="P218" s="448"/>
      <c r="Q218" s="448"/>
      <c r="R218" s="448"/>
      <c r="S218" s="448"/>
      <c r="T218" s="448"/>
      <c r="U218" s="448"/>
      <c r="V218" s="448"/>
      <c r="W218" s="448"/>
      <c r="X218" s="448"/>
      <c r="Y218" s="586"/>
    </row>
    <row r="219" spans="1:25" s="493" customFormat="1" ht="12.75" customHeight="1">
      <c r="A219" s="447"/>
      <c r="B219" s="448"/>
      <c r="C219" s="448"/>
      <c r="D219" s="448"/>
      <c r="E219" s="448"/>
      <c r="F219" s="448"/>
      <c r="G219" s="448"/>
      <c r="H219" s="448"/>
      <c r="I219" s="448"/>
      <c r="J219" s="448"/>
      <c r="K219" s="448"/>
      <c r="L219" s="448"/>
      <c r="M219" s="448"/>
      <c r="N219" s="448"/>
      <c r="O219" s="448"/>
      <c r="P219" s="448"/>
      <c r="Q219" s="448"/>
      <c r="R219" s="448"/>
      <c r="S219" s="448"/>
      <c r="T219" s="448"/>
      <c r="U219" s="448"/>
      <c r="V219" s="448"/>
      <c r="W219" s="448"/>
      <c r="X219" s="448"/>
      <c r="Y219" s="586"/>
    </row>
    <row r="220" spans="1:25" s="493" customFormat="1">
      <c r="A220" s="447"/>
      <c r="B220" s="448"/>
      <c r="C220" s="448"/>
      <c r="D220" s="448"/>
      <c r="E220" s="448"/>
      <c r="F220" s="448"/>
      <c r="G220" s="448"/>
      <c r="H220" s="448"/>
      <c r="I220" s="448"/>
      <c r="J220" s="448"/>
      <c r="K220" s="448"/>
      <c r="L220" s="448"/>
      <c r="M220" s="448"/>
      <c r="N220" s="448"/>
      <c r="O220" s="448"/>
      <c r="P220" s="448"/>
      <c r="Q220" s="448"/>
      <c r="R220" s="448"/>
      <c r="S220" s="448"/>
      <c r="T220" s="448"/>
      <c r="U220" s="448"/>
      <c r="V220" s="448"/>
      <c r="W220" s="448"/>
      <c r="X220" s="448"/>
      <c r="Y220" s="586"/>
    </row>
    <row r="221" spans="1:25" s="493" customFormat="1">
      <c r="A221" s="447"/>
      <c r="B221" s="448"/>
      <c r="C221" s="448"/>
      <c r="D221" s="448"/>
      <c r="E221" s="448"/>
      <c r="F221" s="448"/>
      <c r="G221" s="448"/>
      <c r="H221" s="448"/>
      <c r="I221" s="448"/>
      <c r="J221" s="448"/>
      <c r="K221" s="448"/>
      <c r="L221" s="448"/>
      <c r="M221" s="448"/>
      <c r="N221" s="448"/>
      <c r="O221" s="448"/>
      <c r="P221" s="448"/>
      <c r="Q221" s="448"/>
      <c r="R221" s="448"/>
      <c r="S221" s="448"/>
      <c r="T221" s="448"/>
      <c r="U221" s="448"/>
      <c r="V221" s="448"/>
      <c r="W221" s="448"/>
      <c r="X221" s="448"/>
      <c r="Y221" s="586"/>
    </row>
    <row r="222" spans="1:25" s="493" customFormat="1">
      <c r="A222" s="447"/>
      <c r="B222" s="448"/>
      <c r="C222" s="448"/>
      <c r="D222" s="448"/>
      <c r="E222" s="448"/>
      <c r="F222" s="448"/>
      <c r="G222" s="448"/>
      <c r="H222" s="448"/>
      <c r="I222" s="448"/>
      <c r="J222" s="448"/>
      <c r="K222" s="448"/>
      <c r="L222" s="448"/>
      <c r="M222" s="448"/>
      <c r="N222" s="448"/>
      <c r="O222" s="448"/>
      <c r="P222" s="448"/>
      <c r="Q222" s="448"/>
      <c r="R222" s="448"/>
      <c r="S222" s="448"/>
      <c r="T222" s="448"/>
      <c r="U222" s="448"/>
      <c r="V222" s="448"/>
      <c r="W222" s="448"/>
      <c r="X222" s="448"/>
      <c r="Y222" s="586"/>
    </row>
    <row r="223" spans="1:25" s="493" customFormat="1">
      <c r="A223" s="447"/>
      <c r="B223" s="448"/>
      <c r="C223" s="448"/>
      <c r="D223" s="448"/>
      <c r="E223" s="448"/>
      <c r="F223" s="448"/>
      <c r="G223" s="448"/>
      <c r="H223" s="448"/>
      <c r="I223" s="448"/>
      <c r="J223" s="448"/>
      <c r="K223" s="448"/>
      <c r="L223" s="448"/>
      <c r="M223" s="448"/>
      <c r="N223" s="448"/>
      <c r="O223" s="448"/>
      <c r="P223" s="448"/>
      <c r="Q223" s="448"/>
      <c r="R223" s="448"/>
      <c r="S223" s="448"/>
      <c r="T223" s="448"/>
      <c r="U223" s="448"/>
      <c r="V223" s="448"/>
      <c r="W223" s="448"/>
      <c r="X223" s="448"/>
      <c r="Y223" s="586"/>
    </row>
    <row r="224" spans="1:25" s="1443" customFormat="1" ht="14.25" customHeight="1">
      <c r="A224" s="447"/>
      <c r="B224" s="448"/>
      <c r="C224" s="448"/>
      <c r="D224" s="448"/>
      <c r="E224" s="448"/>
      <c r="F224" s="448"/>
      <c r="G224" s="448"/>
      <c r="H224" s="448"/>
      <c r="I224" s="448"/>
      <c r="J224" s="448"/>
      <c r="K224" s="448"/>
      <c r="L224" s="448"/>
      <c r="M224" s="448"/>
      <c r="N224" s="448"/>
      <c r="O224" s="448"/>
      <c r="P224" s="448"/>
      <c r="Q224" s="448"/>
      <c r="R224" s="448"/>
      <c r="S224" s="448"/>
      <c r="T224" s="448"/>
      <c r="U224" s="448"/>
      <c r="V224" s="448"/>
      <c r="W224" s="448"/>
      <c r="X224" s="448"/>
      <c r="Y224" s="586"/>
    </row>
    <row r="225" spans="1:25" s="493" customFormat="1">
      <c r="A225" s="447"/>
      <c r="B225" s="448"/>
      <c r="C225" s="448"/>
      <c r="D225" s="448"/>
      <c r="E225" s="448"/>
      <c r="F225" s="448"/>
      <c r="G225" s="448"/>
      <c r="H225" s="448"/>
      <c r="I225" s="448"/>
      <c r="J225" s="448"/>
      <c r="K225" s="448"/>
      <c r="L225" s="448"/>
      <c r="M225" s="448"/>
      <c r="N225" s="448"/>
      <c r="O225" s="448"/>
      <c r="P225" s="448"/>
      <c r="Q225" s="448"/>
      <c r="R225" s="448"/>
      <c r="S225" s="448"/>
      <c r="T225" s="448"/>
      <c r="U225" s="448"/>
      <c r="V225" s="448"/>
      <c r="W225" s="448"/>
      <c r="X225" s="448"/>
      <c r="Y225" s="586"/>
    </row>
    <row r="226" spans="1:25" s="1446" customFormat="1" ht="23.25" customHeight="1">
      <c r="A226" s="447"/>
      <c r="B226" s="448"/>
      <c r="C226" s="448"/>
      <c r="D226" s="448"/>
      <c r="E226" s="448"/>
      <c r="F226" s="448"/>
      <c r="G226" s="448"/>
      <c r="H226" s="448"/>
      <c r="I226" s="448"/>
      <c r="J226" s="448"/>
      <c r="K226" s="448"/>
      <c r="L226" s="448"/>
      <c r="M226" s="448"/>
      <c r="N226" s="448"/>
      <c r="O226" s="448"/>
      <c r="P226" s="448"/>
      <c r="Q226" s="448"/>
      <c r="R226" s="448"/>
      <c r="S226" s="448"/>
      <c r="T226" s="448"/>
      <c r="U226" s="448"/>
      <c r="V226" s="448"/>
      <c r="W226" s="448"/>
      <c r="X226" s="448"/>
      <c r="Y226" s="586"/>
    </row>
    <row r="227" spans="1:25" s="493" customFormat="1">
      <c r="A227" s="447"/>
      <c r="B227" s="448"/>
      <c r="C227" s="448"/>
      <c r="D227" s="448"/>
      <c r="E227" s="448"/>
      <c r="F227" s="448"/>
      <c r="G227" s="448"/>
      <c r="H227" s="448"/>
      <c r="I227" s="448"/>
      <c r="J227" s="448"/>
      <c r="K227" s="448"/>
      <c r="L227" s="448"/>
      <c r="M227" s="448"/>
      <c r="N227" s="448"/>
      <c r="O227" s="448"/>
      <c r="P227" s="448"/>
      <c r="Q227" s="448"/>
      <c r="R227" s="448"/>
      <c r="S227" s="448"/>
      <c r="T227" s="448"/>
      <c r="U227" s="448"/>
      <c r="V227" s="448"/>
      <c r="W227" s="448"/>
      <c r="X227" s="448"/>
      <c r="Y227" s="586"/>
    </row>
    <row r="228" spans="1:25" s="1444" customFormat="1" ht="15.75" customHeight="1">
      <c r="A228" s="447"/>
      <c r="B228" s="448"/>
      <c r="C228" s="448"/>
      <c r="D228" s="448"/>
      <c r="E228" s="448"/>
      <c r="F228" s="448"/>
      <c r="G228" s="448"/>
      <c r="H228" s="448"/>
      <c r="I228" s="448"/>
      <c r="J228" s="448"/>
      <c r="K228" s="448"/>
      <c r="L228" s="448"/>
      <c r="M228" s="448"/>
      <c r="N228" s="448"/>
      <c r="O228" s="448"/>
      <c r="P228" s="448"/>
      <c r="Q228" s="448"/>
      <c r="R228" s="448"/>
      <c r="S228" s="448"/>
      <c r="T228" s="448"/>
      <c r="U228" s="448"/>
      <c r="V228" s="448"/>
      <c r="W228" s="448"/>
      <c r="X228" s="448"/>
      <c r="Y228" s="586"/>
    </row>
    <row r="229" spans="1:25" s="1444" customFormat="1" ht="12.75" customHeight="1">
      <c r="A229" s="447"/>
      <c r="B229" s="448"/>
      <c r="C229" s="448"/>
      <c r="D229" s="448"/>
      <c r="E229" s="448"/>
      <c r="F229" s="448"/>
      <c r="G229" s="448"/>
      <c r="H229" s="448"/>
      <c r="I229" s="448"/>
      <c r="J229" s="448"/>
      <c r="K229" s="448"/>
      <c r="L229" s="448"/>
      <c r="M229" s="448"/>
      <c r="N229" s="448"/>
      <c r="O229" s="448"/>
      <c r="P229" s="448"/>
      <c r="Q229" s="448"/>
      <c r="R229" s="448"/>
      <c r="S229" s="448"/>
      <c r="T229" s="448"/>
      <c r="U229" s="448"/>
      <c r="V229" s="448"/>
      <c r="W229" s="448"/>
      <c r="X229" s="448"/>
      <c r="Y229" s="586"/>
    </row>
    <row r="230" spans="1:25" s="1444" customFormat="1" ht="12.75" customHeight="1">
      <c r="A230" s="447"/>
      <c r="B230" s="448"/>
      <c r="C230" s="448"/>
      <c r="D230" s="448"/>
      <c r="E230" s="448"/>
      <c r="F230" s="448"/>
      <c r="G230" s="448"/>
      <c r="H230" s="448"/>
      <c r="I230" s="448"/>
      <c r="J230" s="448"/>
      <c r="K230" s="448"/>
      <c r="L230" s="448"/>
      <c r="M230" s="448"/>
      <c r="N230" s="448"/>
      <c r="O230" s="448"/>
      <c r="P230" s="448"/>
      <c r="Q230" s="448"/>
      <c r="R230" s="448"/>
      <c r="S230" s="448"/>
      <c r="T230" s="448"/>
      <c r="U230" s="448"/>
      <c r="V230" s="448"/>
      <c r="W230" s="448"/>
      <c r="X230" s="448"/>
      <c r="Y230" s="586"/>
    </row>
    <row r="231" spans="1:25" s="1444" customFormat="1" ht="12" customHeight="1">
      <c r="A231" s="447"/>
      <c r="B231" s="448"/>
      <c r="C231" s="448"/>
      <c r="D231" s="448"/>
      <c r="E231" s="448"/>
      <c r="F231" s="448"/>
      <c r="G231" s="448"/>
      <c r="H231" s="448"/>
      <c r="I231" s="448"/>
      <c r="J231" s="448"/>
      <c r="K231" s="448"/>
      <c r="L231" s="448"/>
      <c r="M231" s="448"/>
      <c r="N231" s="448"/>
      <c r="O231" s="448"/>
      <c r="P231" s="448"/>
      <c r="Q231" s="448"/>
      <c r="R231" s="448"/>
      <c r="S231" s="448"/>
      <c r="T231" s="448"/>
      <c r="U231" s="448"/>
      <c r="V231" s="448"/>
      <c r="W231" s="448"/>
      <c r="X231" s="448"/>
      <c r="Y231" s="586"/>
    </row>
    <row r="232" spans="1:25" s="1443" customFormat="1" ht="24" customHeight="1">
      <c r="A232" s="447"/>
      <c r="B232" s="448"/>
      <c r="C232" s="448"/>
      <c r="D232" s="448"/>
      <c r="E232" s="448"/>
      <c r="F232" s="448"/>
      <c r="G232" s="448"/>
      <c r="H232" s="448"/>
      <c r="I232" s="448"/>
      <c r="J232" s="448"/>
      <c r="K232" s="448"/>
      <c r="L232" s="448"/>
      <c r="M232" s="448"/>
      <c r="N232" s="448"/>
      <c r="O232" s="448"/>
      <c r="P232" s="448"/>
      <c r="Q232" s="448"/>
      <c r="R232" s="448"/>
      <c r="S232" s="448"/>
      <c r="T232" s="448"/>
      <c r="U232" s="448"/>
      <c r="V232" s="448"/>
      <c r="W232" s="448"/>
      <c r="X232" s="448"/>
      <c r="Y232" s="586"/>
    </row>
    <row r="233" spans="1:25" s="493" customFormat="1" ht="11.25" customHeight="1">
      <c r="A233" s="447"/>
      <c r="B233" s="448"/>
      <c r="C233" s="448"/>
      <c r="D233" s="448"/>
      <c r="E233" s="448"/>
      <c r="F233" s="448"/>
      <c r="G233" s="448"/>
      <c r="H233" s="448"/>
      <c r="I233" s="448"/>
      <c r="J233" s="448"/>
      <c r="K233" s="448"/>
      <c r="L233" s="448"/>
      <c r="M233" s="448"/>
      <c r="N233" s="448"/>
      <c r="O233" s="448"/>
      <c r="P233" s="448"/>
      <c r="Q233" s="448"/>
      <c r="R233" s="448"/>
      <c r="S233" s="448"/>
      <c r="T233" s="448"/>
      <c r="U233" s="448"/>
      <c r="V233" s="448"/>
      <c r="W233" s="448"/>
      <c r="X233" s="448"/>
      <c r="Y233" s="586"/>
    </row>
    <row r="234" spans="1:25" s="493" customFormat="1" ht="12.75" customHeight="1">
      <c r="A234" s="447"/>
      <c r="B234" s="448"/>
      <c r="C234" s="448"/>
      <c r="D234" s="448"/>
      <c r="E234" s="448"/>
      <c r="F234" s="448"/>
      <c r="G234" s="448"/>
      <c r="H234" s="448"/>
      <c r="I234" s="448"/>
      <c r="J234" s="448"/>
      <c r="K234" s="448"/>
      <c r="L234" s="448"/>
      <c r="M234" s="448"/>
      <c r="N234" s="448"/>
      <c r="O234" s="448"/>
      <c r="P234" s="448"/>
      <c r="Q234" s="448"/>
      <c r="R234" s="448"/>
      <c r="S234" s="448"/>
      <c r="T234" s="448"/>
      <c r="U234" s="448"/>
      <c r="V234" s="448"/>
      <c r="W234" s="448"/>
      <c r="X234" s="448"/>
      <c r="Y234" s="586"/>
    </row>
    <row r="235" spans="1:25" s="493" customFormat="1">
      <c r="A235" s="447"/>
      <c r="B235" s="448"/>
      <c r="C235" s="448"/>
      <c r="D235" s="448"/>
      <c r="E235" s="448"/>
      <c r="F235" s="448"/>
      <c r="G235" s="448"/>
      <c r="H235" s="448"/>
      <c r="I235" s="448"/>
      <c r="J235" s="448"/>
      <c r="K235" s="448"/>
      <c r="L235" s="448"/>
      <c r="M235" s="448"/>
      <c r="N235" s="448"/>
      <c r="O235" s="448"/>
      <c r="P235" s="448"/>
      <c r="Q235" s="448"/>
      <c r="R235" s="448"/>
      <c r="S235" s="448"/>
      <c r="T235" s="448"/>
      <c r="U235" s="448"/>
      <c r="V235" s="448"/>
      <c r="W235" s="448"/>
      <c r="X235" s="448"/>
      <c r="Y235" s="586"/>
    </row>
    <row r="236" spans="1:25" s="493" customFormat="1">
      <c r="A236" s="447"/>
      <c r="B236" s="448"/>
      <c r="C236" s="448"/>
      <c r="D236" s="448"/>
      <c r="E236" s="448"/>
      <c r="F236" s="448"/>
      <c r="G236" s="448"/>
      <c r="H236" s="448"/>
      <c r="I236" s="448"/>
      <c r="J236" s="448"/>
      <c r="K236" s="448"/>
      <c r="L236" s="448"/>
      <c r="M236" s="448"/>
      <c r="N236" s="448"/>
      <c r="O236" s="448"/>
      <c r="P236" s="448"/>
      <c r="Q236" s="448"/>
      <c r="R236" s="448"/>
      <c r="S236" s="448"/>
      <c r="T236" s="448"/>
      <c r="U236" s="448"/>
      <c r="V236" s="448"/>
      <c r="W236" s="448"/>
      <c r="X236" s="448"/>
      <c r="Y236" s="586"/>
    </row>
    <row r="237" spans="1:25" s="493" customFormat="1">
      <c r="A237" s="447"/>
      <c r="B237" s="448"/>
      <c r="C237" s="448"/>
      <c r="D237" s="448"/>
      <c r="E237" s="448"/>
      <c r="F237" s="448"/>
      <c r="G237" s="448"/>
      <c r="H237" s="448"/>
      <c r="I237" s="448"/>
      <c r="J237" s="448"/>
      <c r="K237" s="448"/>
      <c r="L237" s="448"/>
      <c r="M237" s="448"/>
      <c r="N237" s="448"/>
      <c r="O237" s="448"/>
      <c r="P237" s="448"/>
      <c r="Q237" s="448"/>
      <c r="R237" s="448"/>
      <c r="S237" s="448"/>
      <c r="T237" s="448"/>
      <c r="U237" s="448"/>
      <c r="V237" s="448"/>
      <c r="W237" s="448"/>
      <c r="X237" s="448"/>
      <c r="Y237" s="586"/>
    </row>
    <row r="238" spans="1:25" s="493" customFormat="1">
      <c r="A238" s="447"/>
      <c r="B238" s="448"/>
      <c r="C238" s="448"/>
      <c r="D238" s="448"/>
      <c r="E238" s="448"/>
      <c r="F238" s="448"/>
      <c r="G238" s="448"/>
      <c r="H238" s="448"/>
      <c r="I238" s="448"/>
      <c r="J238" s="448"/>
      <c r="K238" s="448"/>
      <c r="L238" s="448"/>
      <c r="M238" s="448"/>
      <c r="N238" s="448"/>
      <c r="O238" s="448"/>
      <c r="P238" s="448"/>
      <c r="Q238" s="448"/>
      <c r="R238" s="448"/>
      <c r="S238" s="448"/>
      <c r="T238" s="448"/>
      <c r="U238" s="448"/>
      <c r="V238" s="448"/>
      <c r="W238" s="448"/>
      <c r="X238" s="448"/>
      <c r="Y238" s="586"/>
    </row>
    <row r="239" spans="1:25" s="493" customFormat="1" ht="21.75" customHeight="1">
      <c r="A239" s="447"/>
      <c r="B239" s="448"/>
      <c r="C239" s="448"/>
      <c r="D239" s="448"/>
      <c r="E239" s="448"/>
      <c r="F239" s="448"/>
      <c r="G239" s="448"/>
      <c r="H239" s="448"/>
      <c r="I239" s="448"/>
      <c r="J239" s="448"/>
      <c r="K239" s="448"/>
      <c r="L239" s="448"/>
      <c r="M239" s="448"/>
      <c r="N239" s="448"/>
      <c r="O239" s="448"/>
      <c r="P239" s="448"/>
      <c r="Q239" s="448"/>
      <c r="R239" s="448"/>
      <c r="S239" s="448"/>
      <c r="T239" s="448"/>
      <c r="U239" s="448"/>
      <c r="V239" s="448"/>
      <c r="W239" s="448"/>
      <c r="X239" s="448"/>
      <c r="Y239" s="586"/>
    </row>
    <row r="240" spans="1:25" s="493" customFormat="1" ht="12.75" customHeight="1">
      <c r="A240" s="447"/>
      <c r="B240" s="448"/>
      <c r="C240" s="448"/>
      <c r="D240" s="448"/>
      <c r="E240" s="448"/>
      <c r="F240" s="448"/>
      <c r="G240" s="448"/>
      <c r="H240" s="448"/>
      <c r="I240" s="448"/>
      <c r="J240" s="448"/>
      <c r="K240" s="448"/>
      <c r="L240" s="448"/>
      <c r="M240" s="448"/>
      <c r="N240" s="448"/>
      <c r="O240" s="448"/>
      <c r="P240" s="448"/>
      <c r="Q240" s="448"/>
      <c r="R240" s="448"/>
      <c r="S240" s="448"/>
      <c r="T240" s="448"/>
      <c r="U240" s="448"/>
      <c r="V240" s="448"/>
      <c r="W240" s="448"/>
      <c r="X240" s="448"/>
      <c r="Y240" s="586"/>
    </row>
    <row r="241" spans="1:25" s="493" customFormat="1">
      <c r="A241" s="447"/>
      <c r="B241" s="448"/>
      <c r="C241" s="448"/>
      <c r="D241" s="448"/>
      <c r="E241" s="448"/>
      <c r="F241" s="448"/>
      <c r="G241" s="448"/>
      <c r="H241" s="448"/>
      <c r="I241" s="448"/>
      <c r="J241" s="448"/>
      <c r="K241" s="448"/>
      <c r="L241" s="448"/>
      <c r="M241" s="448"/>
      <c r="N241" s="448"/>
      <c r="O241" s="448"/>
      <c r="P241" s="448"/>
      <c r="Q241" s="448"/>
      <c r="R241" s="448"/>
      <c r="S241" s="448"/>
      <c r="T241" s="448"/>
      <c r="U241" s="448"/>
      <c r="V241" s="448"/>
      <c r="W241" s="448"/>
      <c r="X241" s="448"/>
      <c r="Y241" s="586"/>
    </row>
    <row r="242" spans="1:25" s="493" customFormat="1">
      <c r="A242" s="447"/>
      <c r="B242" s="448"/>
      <c r="C242" s="448"/>
      <c r="D242" s="448"/>
      <c r="E242" s="448"/>
      <c r="F242" s="448"/>
      <c r="G242" s="448"/>
      <c r="H242" s="448"/>
      <c r="I242" s="448"/>
      <c r="J242" s="448"/>
      <c r="K242" s="448"/>
      <c r="L242" s="448"/>
      <c r="M242" s="448"/>
      <c r="N242" s="448"/>
      <c r="O242" s="448"/>
      <c r="P242" s="448"/>
      <c r="Q242" s="448"/>
      <c r="R242" s="448"/>
      <c r="S242" s="448"/>
      <c r="T242" s="448"/>
      <c r="U242" s="448"/>
      <c r="V242" s="448"/>
      <c r="W242" s="448"/>
      <c r="X242" s="448"/>
      <c r="Y242" s="586"/>
    </row>
    <row r="243" spans="1:25" s="493" customFormat="1">
      <c r="A243" s="447"/>
      <c r="B243" s="448"/>
      <c r="C243" s="448"/>
      <c r="D243" s="448"/>
      <c r="E243" s="448"/>
      <c r="F243" s="448"/>
      <c r="G243" s="448"/>
      <c r="H243" s="448"/>
      <c r="I243" s="448"/>
      <c r="J243" s="448"/>
      <c r="K243" s="448"/>
      <c r="L243" s="448"/>
      <c r="M243" s="448"/>
      <c r="N243" s="448"/>
      <c r="O243" s="448"/>
      <c r="P243" s="448"/>
      <c r="Q243" s="448"/>
      <c r="R243" s="448"/>
      <c r="S243" s="448"/>
      <c r="T243" s="448"/>
      <c r="U243" s="448"/>
      <c r="V243" s="448"/>
      <c r="W243" s="448"/>
      <c r="X243" s="448"/>
      <c r="Y243" s="586"/>
    </row>
    <row r="244" spans="1:25" s="493" customFormat="1">
      <c r="A244" s="447"/>
      <c r="B244" s="448"/>
      <c r="C244" s="448"/>
      <c r="D244" s="448"/>
      <c r="E244" s="448"/>
      <c r="F244" s="448"/>
      <c r="G244" s="448"/>
      <c r="H244" s="448"/>
      <c r="I244" s="448"/>
      <c r="J244" s="448"/>
      <c r="K244" s="448"/>
      <c r="L244" s="448"/>
      <c r="M244" s="448"/>
      <c r="N244" s="448"/>
      <c r="O244" s="448"/>
      <c r="P244" s="448"/>
      <c r="Q244" s="448"/>
      <c r="R244" s="448"/>
      <c r="S244" s="448"/>
      <c r="T244" s="448"/>
      <c r="U244" s="448"/>
      <c r="V244" s="448"/>
      <c r="W244" s="448"/>
      <c r="X244" s="448"/>
      <c r="Y244" s="586"/>
    </row>
    <row r="245" spans="1:25" s="493" customFormat="1">
      <c r="A245" s="447"/>
      <c r="B245" s="448"/>
      <c r="C245" s="448"/>
      <c r="D245" s="448"/>
      <c r="E245" s="448"/>
      <c r="F245" s="448"/>
      <c r="G245" s="448"/>
      <c r="H245" s="448"/>
      <c r="I245" s="448"/>
      <c r="J245" s="448"/>
      <c r="K245" s="448"/>
      <c r="L245" s="448"/>
      <c r="M245" s="448"/>
      <c r="N245" s="448"/>
      <c r="O245" s="448"/>
      <c r="P245" s="448"/>
      <c r="Q245" s="448"/>
      <c r="R245" s="448"/>
      <c r="S245" s="448"/>
      <c r="T245" s="448"/>
      <c r="U245" s="448"/>
      <c r="V245" s="448"/>
      <c r="W245" s="448"/>
      <c r="X245" s="448"/>
      <c r="Y245" s="586"/>
    </row>
    <row r="246" spans="1:25" s="493" customFormat="1" ht="32.25" customHeight="1">
      <c r="A246" s="447"/>
      <c r="B246" s="448"/>
      <c r="C246" s="448"/>
      <c r="D246" s="448"/>
      <c r="E246" s="448"/>
      <c r="F246" s="448"/>
      <c r="G246" s="448"/>
      <c r="H246" s="448"/>
      <c r="I246" s="448"/>
      <c r="J246" s="448"/>
      <c r="K246" s="448"/>
      <c r="L246" s="448"/>
      <c r="M246" s="448"/>
      <c r="N246" s="448"/>
      <c r="O246" s="448"/>
      <c r="P246" s="448"/>
      <c r="Q246" s="448"/>
      <c r="R246" s="448"/>
      <c r="S246" s="448"/>
      <c r="T246" s="448"/>
      <c r="U246" s="448"/>
      <c r="V246" s="448"/>
      <c r="W246" s="448"/>
      <c r="X246" s="448"/>
      <c r="Y246" s="586"/>
    </row>
    <row r="247" spans="1:25" s="493" customFormat="1" ht="15" customHeight="1">
      <c r="A247" s="447"/>
      <c r="B247" s="448"/>
      <c r="C247" s="448"/>
      <c r="D247" s="448"/>
      <c r="E247" s="448"/>
      <c r="F247" s="448"/>
      <c r="G247" s="448"/>
      <c r="H247" s="448"/>
      <c r="I247" s="448"/>
      <c r="J247" s="448"/>
      <c r="K247" s="448"/>
      <c r="L247" s="448"/>
      <c r="M247" s="448"/>
      <c r="N247" s="448"/>
      <c r="O247" s="448"/>
      <c r="P247" s="448"/>
      <c r="Q247" s="448"/>
      <c r="R247" s="448"/>
      <c r="S247" s="448"/>
      <c r="T247" s="448"/>
      <c r="U247" s="448"/>
      <c r="V247" s="448"/>
      <c r="W247" s="448"/>
      <c r="X247" s="448"/>
      <c r="Y247" s="586"/>
    </row>
    <row r="248" spans="1:25" s="493" customFormat="1" ht="12.75" customHeight="1">
      <c r="A248" s="447"/>
      <c r="B248" s="448"/>
      <c r="C248" s="448"/>
      <c r="D248" s="448"/>
      <c r="E248" s="448"/>
      <c r="F248" s="448"/>
      <c r="G248" s="448"/>
      <c r="H248" s="448"/>
      <c r="I248" s="448"/>
      <c r="J248" s="448"/>
      <c r="K248" s="448"/>
      <c r="L248" s="448"/>
      <c r="M248" s="448"/>
      <c r="N248" s="448"/>
      <c r="O248" s="448"/>
      <c r="P248" s="448"/>
      <c r="Q248" s="448"/>
      <c r="R248" s="448"/>
      <c r="S248" s="448"/>
      <c r="T248" s="448"/>
      <c r="U248" s="448"/>
      <c r="V248" s="448"/>
      <c r="W248" s="448"/>
      <c r="X248" s="448"/>
      <c r="Y248" s="586"/>
    </row>
    <row r="249" spans="1:25" s="493" customFormat="1">
      <c r="A249" s="447"/>
      <c r="B249" s="448"/>
      <c r="C249" s="448"/>
      <c r="D249" s="448"/>
      <c r="E249" s="448"/>
      <c r="F249" s="448"/>
      <c r="G249" s="448"/>
      <c r="H249" s="448"/>
      <c r="I249" s="448"/>
      <c r="J249" s="448"/>
      <c r="K249" s="448"/>
      <c r="L249" s="448"/>
      <c r="M249" s="448"/>
      <c r="N249" s="448"/>
      <c r="O249" s="448"/>
      <c r="P249" s="448"/>
      <c r="Q249" s="448"/>
      <c r="R249" s="448"/>
      <c r="S249" s="448"/>
      <c r="T249" s="448"/>
      <c r="U249" s="448"/>
      <c r="V249" s="448"/>
      <c r="W249" s="448"/>
      <c r="X249" s="448"/>
      <c r="Y249" s="586"/>
    </row>
    <row r="250" spans="1:25" s="493" customFormat="1">
      <c r="A250" s="447"/>
      <c r="B250" s="448"/>
      <c r="C250" s="448"/>
      <c r="D250" s="448"/>
      <c r="E250" s="448"/>
      <c r="F250" s="448"/>
      <c r="G250" s="448"/>
      <c r="H250" s="448"/>
      <c r="I250" s="448"/>
      <c r="J250" s="448"/>
      <c r="K250" s="448"/>
      <c r="L250" s="448"/>
      <c r="M250" s="448"/>
      <c r="N250" s="448"/>
      <c r="O250" s="448"/>
      <c r="P250" s="448"/>
      <c r="Q250" s="448"/>
      <c r="R250" s="448"/>
      <c r="S250" s="448"/>
      <c r="T250" s="448"/>
      <c r="U250" s="448"/>
      <c r="V250" s="448"/>
      <c r="W250" s="448"/>
      <c r="X250" s="448"/>
      <c r="Y250" s="586"/>
    </row>
    <row r="251" spans="1:25" s="493" customFormat="1">
      <c r="A251" s="447"/>
      <c r="B251" s="448"/>
      <c r="C251" s="448"/>
      <c r="D251" s="448"/>
      <c r="E251" s="448"/>
      <c r="F251" s="448"/>
      <c r="G251" s="448"/>
      <c r="H251" s="448"/>
      <c r="I251" s="448"/>
      <c r="J251" s="448"/>
      <c r="K251" s="448"/>
      <c r="L251" s="448"/>
      <c r="M251" s="448"/>
      <c r="N251" s="448"/>
      <c r="O251" s="448"/>
      <c r="P251" s="448"/>
      <c r="Q251" s="448"/>
      <c r="R251" s="448"/>
      <c r="S251" s="448"/>
      <c r="T251" s="448"/>
      <c r="U251" s="448"/>
      <c r="V251" s="448"/>
      <c r="W251" s="448"/>
      <c r="X251" s="448"/>
      <c r="Y251" s="586"/>
    </row>
    <row r="252" spans="1:25" s="493" customFormat="1" ht="11.25" customHeight="1">
      <c r="A252" s="447"/>
      <c r="B252" s="448"/>
      <c r="C252" s="448"/>
      <c r="D252" s="448"/>
      <c r="E252" s="448"/>
      <c r="F252" s="448"/>
      <c r="G252" s="448"/>
      <c r="H252" s="448"/>
      <c r="I252" s="448"/>
      <c r="J252" s="448"/>
      <c r="K252" s="448"/>
      <c r="L252" s="448"/>
      <c r="M252" s="448"/>
      <c r="N252" s="448"/>
      <c r="O252" s="448"/>
      <c r="P252" s="448"/>
      <c r="Q252" s="448"/>
      <c r="R252" s="448"/>
      <c r="S252" s="448"/>
      <c r="T252" s="448"/>
      <c r="U252" s="448"/>
      <c r="V252" s="448"/>
      <c r="W252" s="448"/>
      <c r="X252" s="448"/>
      <c r="Y252" s="586"/>
    </row>
    <row r="253" spans="1:25" s="493" customFormat="1" ht="12.75" customHeight="1">
      <c r="A253" s="447"/>
      <c r="B253" s="448"/>
      <c r="C253" s="448"/>
      <c r="D253" s="448"/>
      <c r="E253" s="448"/>
      <c r="F253" s="448"/>
      <c r="G253" s="448"/>
      <c r="H253" s="448"/>
      <c r="I253" s="448"/>
      <c r="J253" s="448"/>
      <c r="K253" s="448"/>
      <c r="L253" s="448"/>
      <c r="M253" s="448"/>
      <c r="N253" s="448"/>
      <c r="O253" s="448"/>
      <c r="P253" s="448"/>
      <c r="Q253" s="448"/>
      <c r="R253" s="448"/>
      <c r="S253" s="448"/>
      <c r="T253" s="448"/>
      <c r="U253" s="448"/>
      <c r="V253" s="448"/>
      <c r="W253" s="448"/>
      <c r="X253" s="448"/>
      <c r="Y253" s="586"/>
    </row>
    <row r="254" spans="1:25" s="493" customFormat="1" ht="12.75" customHeight="1">
      <c r="A254" s="447"/>
      <c r="B254" s="448"/>
      <c r="C254" s="448"/>
      <c r="D254" s="448"/>
      <c r="E254" s="448"/>
      <c r="F254" s="448"/>
      <c r="G254" s="448"/>
      <c r="H254" s="448"/>
      <c r="I254" s="448"/>
      <c r="J254" s="448"/>
      <c r="K254" s="448"/>
      <c r="L254" s="448"/>
      <c r="M254" s="448"/>
      <c r="N254" s="448"/>
      <c r="O254" s="448"/>
      <c r="P254" s="448"/>
      <c r="Q254" s="448"/>
      <c r="R254" s="448"/>
      <c r="S254" s="448"/>
      <c r="T254" s="448"/>
      <c r="U254" s="448"/>
      <c r="V254" s="448"/>
      <c r="W254" s="448"/>
      <c r="X254" s="448"/>
      <c r="Y254" s="586"/>
    </row>
    <row r="255" spans="1:25" s="493" customFormat="1">
      <c r="A255" s="447"/>
      <c r="B255" s="448"/>
      <c r="C255" s="448"/>
      <c r="D255" s="448"/>
      <c r="E255" s="448"/>
      <c r="F255" s="448"/>
      <c r="G255" s="448"/>
      <c r="H255" s="448"/>
      <c r="I255" s="448"/>
      <c r="J255" s="448"/>
      <c r="K255" s="448"/>
      <c r="L255" s="448"/>
      <c r="M255" s="448"/>
      <c r="N255" s="448"/>
      <c r="O255" s="448"/>
      <c r="P255" s="448"/>
      <c r="Q255" s="448"/>
      <c r="R255" s="448"/>
      <c r="S255" s="448"/>
      <c r="T255" s="448"/>
      <c r="U255" s="448"/>
      <c r="V255" s="448"/>
      <c r="W255" s="448"/>
      <c r="X255" s="448"/>
      <c r="Y255" s="586"/>
    </row>
    <row r="256" spans="1:25" s="493" customFormat="1">
      <c r="A256" s="447"/>
      <c r="B256" s="448"/>
      <c r="C256" s="448"/>
      <c r="D256" s="448"/>
      <c r="E256" s="448"/>
      <c r="F256" s="448"/>
      <c r="G256" s="448"/>
      <c r="H256" s="448"/>
      <c r="I256" s="448"/>
      <c r="J256" s="448"/>
      <c r="K256" s="448"/>
      <c r="L256" s="448"/>
      <c r="M256" s="448"/>
      <c r="N256" s="448"/>
      <c r="O256" s="448"/>
      <c r="P256" s="448"/>
      <c r="Q256" s="448"/>
      <c r="R256" s="448"/>
      <c r="S256" s="448"/>
      <c r="T256" s="448"/>
      <c r="U256" s="448"/>
      <c r="V256" s="448"/>
      <c r="W256" s="448"/>
      <c r="X256" s="448"/>
      <c r="Y256" s="586"/>
    </row>
    <row r="257" spans="1:25" s="493" customFormat="1">
      <c r="A257" s="447"/>
      <c r="B257" s="448"/>
      <c r="C257" s="448"/>
      <c r="D257" s="448"/>
      <c r="E257" s="448"/>
      <c r="F257" s="448"/>
      <c r="G257" s="448"/>
      <c r="H257" s="448"/>
      <c r="I257" s="448"/>
      <c r="J257" s="448"/>
      <c r="K257" s="448"/>
      <c r="L257" s="448"/>
      <c r="M257" s="448"/>
      <c r="N257" s="448"/>
      <c r="O257" s="448"/>
      <c r="P257" s="448"/>
      <c r="Q257" s="448"/>
      <c r="R257" s="448"/>
      <c r="S257" s="448"/>
      <c r="T257" s="448"/>
      <c r="U257" s="448"/>
      <c r="V257" s="448"/>
      <c r="W257" s="448"/>
      <c r="X257" s="448"/>
      <c r="Y257" s="586"/>
    </row>
    <row r="258" spans="1:25" s="493" customFormat="1">
      <c r="A258" s="447"/>
      <c r="B258" s="448"/>
      <c r="C258" s="448"/>
      <c r="D258" s="448"/>
      <c r="E258" s="448"/>
      <c r="F258" s="448"/>
      <c r="G258" s="448"/>
      <c r="H258" s="448"/>
      <c r="I258" s="448"/>
      <c r="J258" s="448"/>
      <c r="K258" s="448"/>
      <c r="L258" s="448"/>
      <c r="M258" s="448"/>
      <c r="N258" s="448"/>
      <c r="O258" s="448"/>
      <c r="P258" s="448"/>
      <c r="Q258" s="448"/>
      <c r="R258" s="448"/>
      <c r="S258" s="448"/>
      <c r="T258" s="448"/>
      <c r="U258" s="448"/>
      <c r="V258" s="448"/>
      <c r="W258" s="448"/>
      <c r="X258" s="448"/>
      <c r="Y258" s="586"/>
    </row>
    <row r="259" spans="1:25" s="1452" customFormat="1" ht="24.75" customHeight="1">
      <c r="A259" s="447"/>
      <c r="B259" s="448"/>
      <c r="C259" s="448"/>
      <c r="D259" s="448"/>
      <c r="E259" s="448"/>
      <c r="F259" s="448"/>
      <c r="G259" s="448"/>
      <c r="H259" s="448"/>
      <c r="I259" s="448"/>
      <c r="J259" s="448"/>
      <c r="K259" s="448"/>
      <c r="L259" s="448"/>
      <c r="M259" s="448"/>
      <c r="N259" s="448"/>
      <c r="O259" s="448"/>
      <c r="P259" s="448"/>
      <c r="Q259" s="448"/>
      <c r="R259" s="448"/>
      <c r="S259" s="448"/>
      <c r="T259" s="448"/>
      <c r="U259" s="448"/>
      <c r="V259" s="448"/>
      <c r="W259" s="448"/>
      <c r="X259" s="448"/>
      <c r="Y259" s="586"/>
    </row>
    <row r="260" spans="1:25" s="493" customFormat="1" ht="12.75" customHeight="1">
      <c r="A260" s="447"/>
      <c r="B260" s="448"/>
      <c r="C260" s="448"/>
      <c r="D260" s="448"/>
      <c r="E260" s="448"/>
      <c r="F260" s="448"/>
      <c r="G260" s="448"/>
      <c r="H260" s="448"/>
      <c r="I260" s="448"/>
      <c r="J260" s="448"/>
      <c r="K260" s="448"/>
      <c r="L260" s="448"/>
      <c r="M260" s="448"/>
      <c r="N260" s="448"/>
      <c r="O260" s="448"/>
      <c r="P260" s="448"/>
      <c r="Q260" s="448"/>
      <c r="R260" s="448"/>
      <c r="S260" s="448"/>
      <c r="T260" s="448"/>
      <c r="U260" s="448"/>
      <c r="V260" s="448"/>
      <c r="W260" s="448"/>
      <c r="X260" s="448"/>
      <c r="Y260" s="586"/>
    </row>
    <row r="261" spans="1:25" s="493" customFormat="1" ht="12.75" customHeight="1">
      <c r="A261" s="447"/>
      <c r="B261" s="448"/>
      <c r="C261" s="448"/>
      <c r="D261" s="448"/>
      <c r="E261" s="448"/>
      <c r="F261" s="448"/>
      <c r="G261" s="448"/>
      <c r="H261" s="448"/>
      <c r="I261" s="448"/>
      <c r="J261" s="448"/>
      <c r="K261" s="448"/>
      <c r="L261" s="448"/>
      <c r="M261" s="448"/>
      <c r="N261" s="448"/>
      <c r="O261" s="448"/>
      <c r="P261" s="448"/>
      <c r="Q261" s="448"/>
      <c r="R261" s="448"/>
      <c r="S261" s="448"/>
      <c r="T261" s="448"/>
      <c r="U261" s="448"/>
      <c r="V261" s="448"/>
      <c r="W261" s="448"/>
      <c r="X261" s="448"/>
      <c r="Y261" s="586"/>
    </row>
    <row r="262" spans="1:25" s="493" customFormat="1">
      <c r="A262" s="447"/>
      <c r="B262" s="448"/>
      <c r="C262" s="448"/>
      <c r="D262" s="448"/>
      <c r="E262" s="448"/>
      <c r="F262" s="448"/>
      <c r="G262" s="448"/>
      <c r="H262" s="448"/>
      <c r="I262" s="448"/>
      <c r="J262" s="448"/>
      <c r="K262" s="448"/>
      <c r="L262" s="448"/>
      <c r="M262" s="448"/>
      <c r="N262" s="448"/>
      <c r="O262" s="448"/>
      <c r="P262" s="448"/>
      <c r="Q262" s="448"/>
      <c r="R262" s="448"/>
      <c r="S262" s="448"/>
      <c r="T262" s="448"/>
      <c r="U262" s="448"/>
      <c r="V262" s="448"/>
      <c r="W262" s="448"/>
      <c r="X262" s="448"/>
      <c r="Y262" s="586"/>
    </row>
    <row r="263" spans="1:25" s="493" customFormat="1">
      <c r="A263" s="447"/>
      <c r="B263" s="448"/>
      <c r="C263" s="448"/>
      <c r="D263" s="448"/>
      <c r="E263" s="448"/>
      <c r="F263" s="448"/>
      <c r="G263" s="448"/>
      <c r="H263" s="448"/>
      <c r="I263" s="448"/>
      <c r="J263" s="448"/>
      <c r="K263" s="448"/>
      <c r="L263" s="448"/>
      <c r="M263" s="448"/>
      <c r="N263" s="448"/>
      <c r="O263" s="448"/>
      <c r="P263" s="448"/>
      <c r="Q263" s="448"/>
      <c r="R263" s="448"/>
      <c r="S263" s="448"/>
      <c r="T263" s="448"/>
      <c r="U263" s="448"/>
      <c r="V263" s="448"/>
      <c r="W263" s="448"/>
      <c r="X263" s="448"/>
      <c r="Y263" s="586"/>
    </row>
    <row r="264" spans="1:25" s="493" customFormat="1">
      <c r="A264" s="447"/>
      <c r="B264" s="448"/>
      <c r="C264" s="448"/>
      <c r="D264" s="448"/>
      <c r="E264" s="448"/>
      <c r="F264" s="448"/>
      <c r="G264" s="448"/>
      <c r="H264" s="448"/>
      <c r="I264" s="448"/>
      <c r="J264" s="448"/>
      <c r="K264" s="448"/>
      <c r="L264" s="448"/>
      <c r="M264" s="448"/>
      <c r="N264" s="448"/>
      <c r="O264" s="448"/>
      <c r="P264" s="448"/>
      <c r="Q264" s="448"/>
      <c r="R264" s="448"/>
      <c r="S264" s="448"/>
      <c r="T264" s="448"/>
      <c r="U264" s="448"/>
      <c r="V264" s="448"/>
      <c r="W264" s="448"/>
      <c r="X264" s="448"/>
      <c r="Y264" s="586"/>
    </row>
    <row r="265" spans="1:25" s="1452" customFormat="1" ht="23.25" customHeight="1">
      <c r="A265" s="447"/>
      <c r="B265" s="448"/>
      <c r="C265" s="448"/>
      <c r="D265" s="448"/>
      <c r="E265" s="448"/>
      <c r="F265" s="448"/>
      <c r="G265" s="448"/>
      <c r="H265" s="448"/>
      <c r="I265" s="448"/>
      <c r="J265" s="448"/>
      <c r="K265" s="448"/>
      <c r="L265" s="448"/>
      <c r="M265" s="448"/>
      <c r="N265" s="448"/>
      <c r="O265" s="448"/>
      <c r="P265" s="448"/>
      <c r="Q265" s="448"/>
      <c r="R265" s="448"/>
      <c r="S265" s="448"/>
      <c r="T265" s="448"/>
      <c r="U265" s="448"/>
      <c r="V265" s="448"/>
      <c r="W265" s="448"/>
      <c r="X265" s="448"/>
      <c r="Y265" s="586"/>
    </row>
    <row r="266" spans="1:25" s="493" customFormat="1" ht="15" customHeight="1">
      <c r="A266" s="447"/>
      <c r="B266" s="448"/>
      <c r="C266" s="448"/>
      <c r="D266" s="448"/>
      <c r="E266" s="448"/>
      <c r="F266" s="448"/>
      <c r="G266" s="448"/>
      <c r="H266" s="448"/>
      <c r="I266" s="448"/>
      <c r="J266" s="448"/>
      <c r="K266" s="448"/>
      <c r="L266" s="448"/>
      <c r="M266" s="448"/>
      <c r="N266" s="448"/>
      <c r="O266" s="448"/>
      <c r="P266" s="448"/>
      <c r="Q266" s="448"/>
      <c r="R266" s="448"/>
      <c r="S266" s="448"/>
      <c r="T266" s="448"/>
      <c r="U266" s="448"/>
      <c r="V266" s="448"/>
      <c r="W266" s="448"/>
      <c r="X266" s="448"/>
      <c r="Y266" s="586"/>
    </row>
    <row r="267" spans="1:25" s="493" customFormat="1" ht="12.75" customHeight="1">
      <c r="A267" s="447"/>
      <c r="B267" s="448"/>
      <c r="C267" s="448"/>
      <c r="D267" s="448"/>
      <c r="E267" s="448"/>
      <c r="F267" s="448"/>
      <c r="G267" s="448"/>
      <c r="H267" s="448"/>
      <c r="I267" s="448"/>
      <c r="J267" s="448"/>
      <c r="K267" s="448"/>
      <c r="L267" s="448"/>
      <c r="M267" s="448"/>
      <c r="N267" s="448"/>
      <c r="O267" s="448"/>
      <c r="P267" s="448"/>
      <c r="Q267" s="448"/>
      <c r="R267" s="448"/>
      <c r="S267" s="448"/>
      <c r="T267" s="448"/>
      <c r="U267" s="448"/>
      <c r="V267" s="448"/>
      <c r="W267" s="448"/>
      <c r="X267" s="448"/>
      <c r="Y267" s="586"/>
    </row>
    <row r="268" spans="1:25" s="493" customFormat="1">
      <c r="A268" s="447"/>
      <c r="B268" s="448"/>
      <c r="C268" s="448"/>
      <c r="D268" s="448"/>
      <c r="E268" s="448"/>
      <c r="F268" s="448"/>
      <c r="G268" s="448"/>
      <c r="H268" s="448"/>
      <c r="I268" s="448"/>
      <c r="J268" s="448"/>
      <c r="K268" s="448"/>
      <c r="L268" s="448"/>
      <c r="M268" s="448"/>
      <c r="N268" s="448"/>
      <c r="O268" s="448"/>
      <c r="P268" s="448"/>
      <c r="Q268" s="448"/>
      <c r="R268" s="448"/>
      <c r="S268" s="448"/>
      <c r="T268" s="448"/>
      <c r="U268" s="448"/>
      <c r="V268" s="448"/>
      <c r="W268" s="448"/>
      <c r="X268" s="448"/>
      <c r="Y268" s="586"/>
    </row>
    <row r="269" spans="1:25" s="493" customFormat="1">
      <c r="A269" s="447"/>
      <c r="B269" s="448"/>
      <c r="C269" s="448"/>
      <c r="D269" s="448"/>
      <c r="E269" s="448"/>
      <c r="F269" s="448"/>
      <c r="G269" s="448"/>
      <c r="H269" s="448"/>
      <c r="I269" s="448"/>
      <c r="J269" s="448"/>
      <c r="K269" s="448"/>
      <c r="L269" s="448"/>
      <c r="M269" s="448"/>
      <c r="N269" s="448"/>
      <c r="O269" s="448"/>
      <c r="P269" s="448"/>
      <c r="Q269" s="448"/>
      <c r="R269" s="448"/>
      <c r="S269" s="448"/>
      <c r="T269" s="448"/>
      <c r="U269" s="448"/>
      <c r="V269" s="448"/>
      <c r="W269" s="448"/>
      <c r="X269" s="448"/>
      <c r="Y269" s="586"/>
    </row>
    <row r="270" spans="1:25" s="1452" customFormat="1" ht="12.75" customHeight="1">
      <c r="A270" s="447"/>
      <c r="B270" s="448"/>
      <c r="C270" s="448"/>
      <c r="D270" s="448"/>
      <c r="E270" s="448"/>
      <c r="F270" s="448"/>
      <c r="G270" s="448"/>
      <c r="H270" s="448"/>
      <c r="I270" s="448"/>
      <c r="J270" s="448"/>
      <c r="K270" s="448"/>
      <c r="L270" s="448"/>
      <c r="M270" s="448"/>
      <c r="N270" s="448"/>
      <c r="O270" s="448"/>
      <c r="P270" s="448"/>
      <c r="Q270" s="448"/>
      <c r="R270" s="448"/>
      <c r="S270" s="448"/>
      <c r="T270" s="448"/>
      <c r="U270" s="448"/>
      <c r="V270" s="448"/>
      <c r="W270" s="448"/>
      <c r="X270" s="448"/>
      <c r="Y270" s="586"/>
    </row>
    <row r="271" spans="1:25" s="493" customFormat="1" ht="9.75" customHeight="1">
      <c r="A271" s="447"/>
      <c r="B271" s="448"/>
      <c r="C271" s="448"/>
      <c r="D271" s="448"/>
      <c r="E271" s="448"/>
      <c r="F271" s="448"/>
      <c r="G271" s="448"/>
      <c r="H271" s="448"/>
      <c r="I271" s="448"/>
      <c r="J271" s="448"/>
      <c r="K271" s="448"/>
      <c r="L271" s="448"/>
      <c r="M271" s="448"/>
      <c r="N271" s="448"/>
      <c r="O271" s="448"/>
      <c r="P271" s="448"/>
      <c r="Q271" s="448"/>
      <c r="R271" s="448"/>
      <c r="S271" s="448"/>
      <c r="T271" s="448"/>
      <c r="U271" s="448"/>
      <c r="V271" s="448"/>
      <c r="W271" s="448"/>
      <c r="X271" s="448"/>
      <c r="Y271" s="586"/>
    </row>
    <row r="272" spans="1:25" s="493" customFormat="1" ht="12.75" customHeight="1">
      <c r="A272" s="447"/>
      <c r="B272" s="448"/>
      <c r="C272" s="448"/>
      <c r="D272" s="448"/>
      <c r="E272" s="448"/>
      <c r="F272" s="448"/>
      <c r="G272" s="448"/>
      <c r="H272" s="448"/>
      <c r="I272" s="448"/>
      <c r="J272" s="448"/>
      <c r="K272" s="448"/>
      <c r="L272" s="448"/>
      <c r="M272" s="448"/>
      <c r="N272" s="448"/>
      <c r="O272" s="448"/>
      <c r="P272" s="448"/>
      <c r="Q272" s="448"/>
      <c r="R272" s="448"/>
      <c r="S272" s="448"/>
      <c r="T272" s="448"/>
      <c r="U272" s="448"/>
      <c r="V272" s="448"/>
      <c r="W272" s="448"/>
      <c r="X272" s="448"/>
      <c r="Y272" s="586"/>
    </row>
    <row r="273" spans="1:25" s="493" customFormat="1">
      <c r="A273" s="447"/>
      <c r="B273" s="448"/>
      <c r="C273" s="448"/>
      <c r="D273" s="448"/>
      <c r="E273" s="448"/>
      <c r="F273" s="448"/>
      <c r="G273" s="448"/>
      <c r="H273" s="448"/>
      <c r="I273" s="448"/>
      <c r="J273" s="448"/>
      <c r="K273" s="448"/>
      <c r="L273" s="448"/>
      <c r="M273" s="448"/>
      <c r="N273" s="448"/>
      <c r="O273" s="448"/>
      <c r="P273" s="448"/>
      <c r="Q273" s="448"/>
      <c r="R273" s="448"/>
      <c r="S273" s="448"/>
      <c r="T273" s="448"/>
      <c r="U273" s="448"/>
      <c r="V273" s="448"/>
      <c r="W273" s="448"/>
      <c r="X273" s="448"/>
      <c r="Y273" s="586"/>
    </row>
    <row r="274" spans="1:25" s="493" customFormat="1">
      <c r="A274" s="447"/>
      <c r="B274" s="448"/>
      <c r="C274" s="448"/>
      <c r="D274" s="448"/>
      <c r="E274" s="448"/>
      <c r="F274" s="448"/>
      <c r="G274" s="448"/>
      <c r="H274" s="448"/>
      <c r="I274" s="448"/>
      <c r="J274" s="448"/>
      <c r="K274" s="448"/>
      <c r="L274" s="448"/>
      <c r="M274" s="448"/>
      <c r="N274" s="448"/>
      <c r="O274" s="448"/>
      <c r="P274" s="448"/>
      <c r="Q274" s="448"/>
      <c r="R274" s="448"/>
      <c r="S274" s="448"/>
      <c r="T274" s="448"/>
      <c r="U274" s="448"/>
      <c r="V274" s="448"/>
      <c r="W274" s="448"/>
      <c r="X274" s="448"/>
      <c r="Y274" s="586"/>
    </row>
    <row r="275" spans="1:25" s="1443" customFormat="1" ht="24" customHeight="1">
      <c r="A275" s="447"/>
      <c r="B275" s="448"/>
      <c r="C275" s="448"/>
      <c r="D275" s="448"/>
      <c r="E275" s="448"/>
      <c r="F275" s="448"/>
      <c r="G275" s="448"/>
      <c r="H275" s="448"/>
      <c r="I275" s="448"/>
      <c r="J275" s="448"/>
      <c r="K275" s="448"/>
      <c r="L275" s="448"/>
      <c r="M275" s="448"/>
      <c r="N275" s="448"/>
      <c r="O275" s="448"/>
      <c r="P275" s="448"/>
      <c r="Q275" s="448"/>
      <c r="R275" s="448"/>
      <c r="S275" s="448"/>
      <c r="T275" s="448"/>
      <c r="U275" s="448"/>
      <c r="V275" s="448"/>
      <c r="W275" s="448"/>
      <c r="X275" s="448"/>
      <c r="Y275" s="586"/>
    </row>
    <row r="276" spans="1:25" s="493" customFormat="1" ht="11.25" customHeight="1">
      <c r="A276" s="447"/>
      <c r="B276" s="448"/>
      <c r="C276" s="448"/>
      <c r="D276" s="448"/>
      <c r="E276" s="448"/>
      <c r="F276" s="448"/>
      <c r="G276" s="448"/>
      <c r="H276" s="448"/>
      <c r="I276" s="448"/>
      <c r="J276" s="448"/>
      <c r="K276" s="448"/>
      <c r="L276" s="448"/>
      <c r="M276" s="448"/>
      <c r="N276" s="448"/>
      <c r="O276" s="448"/>
      <c r="P276" s="448"/>
      <c r="Q276" s="448"/>
      <c r="R276" s="448"/>
      <c r="S276" s="448"/>
      <c r="T276" s="448"/>
      <c r="U276" s="448"/>
      <c r="V276" s="448"/>
      <c r="W276" s="448"/>
      <c r="X276" s="448"/>
      <c r="Y276" s="586"/>
    </row>
    <row r="277" spans="1:25" s="493" customFormat="1" ht="12.75" customHeight="1">
      <c r="A277" s="447"/>
      <c r="B277" s="448"/>
      <c r="C277" s="448"/>
      <c r="D277" s="448"/>
      <c r="E277" s="448"/>
      <c r="F277" s="448"/>
      <c r="G277" s="448"/>
      <c r="H277" s="448"/>
      <c r="I277" s="448"/>
      <c r="J277" s="448"/>
      <c r="K277" s="448"/>
      <c r="L277" s="448"/>
      <c r="M277" s="448"/>
      <c r="N277" s="448"/>
      <c r="O277" s="448"/>
      <c r="P277" s="448"/>
      <c r="Q277" s="448"/>
      <c r="R277" s="448"/>
      <c r="S277" s="448"/>
      <c r="T277" s="448"/>
      <c r="U277" s="448"/>
      <c r="V277" s="448"/>
      <c r="W277" s="448"/>
      <c r="X277" s="448"/>
      <c r="Y277" s="586"/>
    </row>
    <row r="278" spans="1:25" s="493" customFormat="1">
      <c r="A278" s="447"/>
      <c r="B278" s="448"/>
      <c r="C278" s="448"/>
      <c r="D278" s="448"/>
      <c r="E278" s="448"/>
      <c r="F278" s="448"/>
      <c r="G278" s="448"/>
      <c r="H278" s="448"/>
      <c r="I278" s="448"/>
      <c r="J278" s="448"/>
      <c r="K278" s="448"/>
      <c r="L278" s="448"/>
      <c r="M278" s="448"/>
      <c r="N278" s="448"/>
      <c r="O278" s="448"/>
      <c r="P278" s="448"/>
      <c r="Q278" s="448"/>
      <c r="R278" s="448"/>
      <c r="S278" s="448"/>
      <c r="T278" s="448"/>
      <c r="U278" s="448"/>
      <c r="V278" s="448"/>
      <c r="W278" s="448"/>
      <c r="X278" s="448"/>
      <c r="Y278" s="586"/>
    </row>
    <row r="279" spans="1:25" s="493" customFormat="1">
      <c r="A279" s="447"/>
      <c r="B279" s="448"/>
      <c r="C279" s="448"/>
      <c r="D279" s="448"/>
      <c r="E279" s="448"/>
      <c r="F279" s="448"/>
      <c r="G279" s="448"/>
      <c r="H279" s="448"/>
      <c r="I279" s="448"/>
      <c r="J279" s="448"/>
      <c r="K279" s="448"/>
      <c r="L279" s="448"/>
      <c r="M279" s="448"/>
      <c r="N279" s="448"/>
      <c r="O279" s="448"/>
      <c r="P279" s="448"/>
      <c r="Q279" s="448"/>
      <c r="R279" s="448"/>
      <c r="S279" s="448"/>
      <c r="T279" s="448"/>
      <c r="U279" s="448"/>
      <c r="V279" s="448"/>
      <c r="W279" s="448"/>
      <c r="X279" s="448"/>
      <c r="Y279" s="586"/>
    </row>
    <row r="280" spans="1:25" s="493" customFormat="1">
      <c r="A280" s="447"/>
      <c r="B280" s="448"/>
      <c r="C280" s="448"/>
      <c r="D280" s="448"/>
      <c r="E280" s="448"/>
      <c r="F280" s="448"/>
      <c r="G280" s="448"/>
      <c r="H280" s="448"/>
      <c r="I280" s="448"/>
      <c r="J280" s="448"/>
      <c r="K280" s="448"/>
      <c r="L280" s="448"/>
      <c r="M280" s="448"/>
      <c r="N280" s="448"/>
      <c r="O280" s="448"/>
      <c r="P280" s="448"/>
      <c r="Q280" s="448"/>
      <c r="R280" s="448"/>
      <c r="S280" s="448"/>
      <c r="T280" s="448"/>
      <c r="U280" s="448"/>
      <c r="V280" s="448"/>
      <c r="W280" s="448"/>
      <c r="X280" s="448"/>
      <c r="Y280" s="586"/>
    </row>
    <row r="281" spans="1:25" s="493" customFormat="1">
      <c r="A281" s="447"/>
      <c r="B281" s="448"/>
      <c r="C281" s="448"/>
      <c r="D281" s="448"/>
      <c r="E281" s="448"/>
      <c r="F281" s="448"/>
      <c r="G281" s="448"/>
      <c r="H281" s="448"/>
      <c r="I281" s="448"/>
      <c r="J281" s="448"/>
      <c r="K281" s="448"/>
      <c r="L281" s="448"/>
      <c r="M281" s="448"/>
      <c r="N281" s="448"/>
      <c r="O281" s="448"/>
      <c r="P281" s="448"/>
      <c r="Q281" s="448"/>
      <c r="R281" s="448"/>
      <c r="S281" s="448"/>
      <c r="T281" s="448"/>
      <c r="U281" s="448"/>
      <c r="V281" s="448"/>
      <c r="W281" s="448"/>
      <c r="X281" s="448"/>
      <c r="Y281" s="586"/>
    </row>
    <row r="282" spans="1:25" s="493" customFormat="1" ht="12" customHeight="1">
      <c r="A282" s="447"/>
      <c r="B282" s="448"/>
      <c r="C282" s="448"/>
      <c r="D282" s="448"/>
      <c r="E282" s="448"/>
      <c r="F282" s="448"/>
      <c r="G282" s="448"/>
      <c r="H282" s="448"/>
      <c r="I282" s="448"/>
      <c r="J282" s="448"/>
      <c r="K282" s="448"/>
      <c r="L282" s="448"/>
      <c r="M282" s="448"/>
      <c r="N282" s="448"/>
      <c r="O282" s="448"/>
      <c r="P282" s="448"/>
      <c r="Q282" s="448"/>
      <c r="R282" s="448"/>
      <c r="S282" s="448"/>
      <c r="T282" s="448"/>
      <c r="U282" s="448"/>
      <c r="V282" s="448"/>
      <c r="W282" s="448"/>
      <c r="X282" s="448"/>
      <c r="Y282" s="586"/>
    </row>
    <row r="283" spans="1:25" s="493" customFormat="1" ht="10.5" customHeight="1">
      <c r="A283" s="447"/>
      <c r="B283" s="448"/>
      <c r="C283" s="448"/>
      <c r="D283" s="448"/>
      <c r="E283" s="448"/>
      <c r="F283" s="448"/>
      <c r="G283" s="448"/>
      <c r="H283" s="448"/>
      <c r="I283" s="448"/>
      <c r="J283" s="448"/>
      <c r="K283" s="448"/>
      <c r="L283" s="448"/>
      <c r="M283" s="448"/>
      <c r="N283" s="448"/>
      <c r="O283" s="448"/>
      <c r="P283" s="448"/>
      <c r="Q283" s="448"/>
      <c r="R283" s="448"/>
      <c r="S283" s="448"/>
      <c r="T283" s="448"/>
      <c r="U283" s="448"/>
      <c r="V283" s="448"/>
      <c r="W283" s="448"/>
      <c r="X283" s="448"/>
      <c r="Y283" s="586"/>
    </row>
    <row r="284" spans="1:25" s="493" customFormat="1">
      <c r="A284" s="447"/>
      <c r="B284" s="448"/>
      <c r="C284" s="448"/>
      <c r="D284" s="448"/>
      <c r="E284" s="448"/>
      <c r="F284" s="448"/>
      <c r="G284" s="448"/>
      <c r="H284" s="448"/>
      <c r="I284" s="448"/>
      <c r="J284" s="448"/>
      <c r="K284" s="448"/>
      <c r="L284" s="448"/>
      <c r="M284" s="448"/>
      <c r="N284" s="448"/>
      <c r="O284" s="448"/>
      <c r="P284" s="448"/>
      <c r="Q284" s="448"/>
      <c r="R284" s="448"/>
      <c r="S284" s="448"/>
      <c r="T284" s="448"/>
      <c r="U284" s="448"/>
      <c r="V284" s="448"/>
      <c r="W284" s="448"/>
      <c r="X284" s="448"/>
      <c r="Y284" s="586"/>
    </row>
    <row r="285" spans="1:25" s="493" customFormat="1">
      <c r="A285" s="447"/>
      <c r="B285" s="448"/>
      <c r="C285" s="448"/>
      <c r="D285" s="448"/>
      <c r="E285" s="448"/>
      <c r="F285" s="448"/>
      <c r="G285" s="448"/>
      <c r="H285" s="448"/>
      <c r="I285" s="448"/>
      <c r="J285" s="448"/>
      <c r="K285" s="448"/>
      <c r="L285" s="448"/>
      <c r="M285" s="448"/>
      <c r="N285" s="448"/>
      <c r="O285" s="448"/>
      <c r="P285" s="448"/>
      <c r="Q285" s="448"/>
      <c r="R285" s="448"/>
      <c r="S285" s="448"/>
      <c r="T285" s="448"/>
      <c r="U285" s="448"/>
      <c r="V285" s="448"/>
      <c r="W285" s="448"/>
      <c r="X285" s="448"/>
      <c r="Y285" s="586"/>
    </row>
    <row r="286" spans="1:25" s="493" customFormat="1">
      <c r="A286" s="447"/>
      <c r="B286" s="448"/>
      <c r="C286" s="448"/>
      <c r="D286" s="448"/>
      <c r="E286" s="448"/>
      <c r="F286" s="448"/>
      <c r="G286" s="448"/>
      <c r="H286" s="448"/>
      <c r="I286" s="448"/>
      <c r="J286" s="448"/>
      <c r="K286" s="448"/>
      <c r="L286" s="448"/>
      <c r="M286" s="448"/>
      <c r="N286" s="448"/>
      <c r="O286" s="448"/>
      <c r="P286" s="448"/>
      <c r="Q286" s="448"/>
      <c r="R286" s="448"/>
      <c r="S286" s="448"/>
      <c r="T286" s="448"/>
      <c r="U286" s="448"/>
      <c r="V286" s="448"/>
      <c r="W286" s="448"/>
      <c r="X286" s="448"/>
      <c r="Y286" s="586"/>
    </row>
    <row r="287" spans="1:25" s="493" customFormat="1">
      <c r="A287" s="447"/>
      <c r="B287" s="448"/>
      <c r="C287" s="448"/>
      <c r="D287" s="448"/>
      <c r="E287" s="448"/>
      <c r="F287" s="448"/>
      <c r="G287" s="448"/>
      <c r="H287" s="448"/>
      <c r="I287" s="448"/>
      <c r="J287" s="448"/>
      <c r="K287" s="448"/>
      <c r="L287" s="448"/>
      <c r="M287" s="448"/>
      <c r="N287" s="448"/>
      <c r="O287" s="448"/>
      <c r="P287" s="448"/>
      <c r="Q287" s="448"/>
      <c r="R287" s="448"/>
      <c r="S287" s="448"/>
      <c r="T287" s="448"/>
      <c r="U287" s="448"/>
      <c r="V287" s="448"/>
      <c r="W287" s="448"/>
      <c r="X287" s="448"/>
      <c r="Y287" s="586"/>
    </row>
    <row r="288" spans="1:25" s="493" customFormat="1">
      <c r="A288" s="447"/>
      <c r="B288" s="448"/>
      <c r="C288" s="448"/>
      <c r="D288" s="448"/>
      <c r="E288" s="448"/>
      <c r="F288" s="448"/>
      <c r="G288" s="448"/>
      <c r="H288" s="448"/>
      <c r="I288" s="448"/>
      <c r="J288" s="448"/>
      <c r="K288" s="448"/>
      <c r="L288" s="448"/>
      <c r="M288" s="448"/>
      <c r="N288" s="448"/>
      <c r="O288" s="448"/>
      <c r="P288" s="448"/>
      <c r="Q288" s="448"/>
      <c r="R288" s="448"/>
      <c r="S288" s="448"/>
      <c r="T288" s="448"/>
      <c r="U288" s="448"/>
      <c r="V288" s="448"/>
      <c r="W288" s="448"/>
      <c r="X288" s="448"/>
      <c r="Y288" s="586"/>
    </row>
    <row r="289" spans="1:25" s="493" customFormat="1" ht="32.25" customHeight="1">
      <c r="A289" s="447"/>
      <c r="B289" s="448"/>
      <c r="C289" s="448"/>
      <c r="D289" s="448"/>
      <c r="E289" s="448"/>
      <c r="F289" s="448"/>
      <c r="G289" s="448"/>
      <c r="H289" s="448"/>
      <c r="I289" s="448"/>
      <c r="J289" s="448"/>
      <c r="K289" s="448"/>
      <c r="L289" s="448"/>
      <c r="M289" s="448"/>
      <c r="N289" s="448"/>
      <c r="O289" s="448"/>
      <c r="P289" s="448"/>
      <c r="Q289" s="448"/>
      <c r="R289" s="448"/>
      <c r="S289" s="448"/>
      <c r="T289" s="448"/>
      <c r="U289" s="448"/>
      <c r="V289" s="448"/>
      <c r="W289" s="448"/>
      <c r="X289" s="448"/>
      <c r="Y289" s="586"/>
    </row>
    <row r="290" spans="1:25" s="493" customFormat="1" ht="15" customHeight="1">
      <c r="A290" s="447"/>
      <c r="B290" s="448"/>
      <c r="C290" s="448"/>
      <c r="D290" s="448"/>
      <c r="E290" s="448"/>
      <c r="F290" s="448"/>
      <c r="G290" s="448"/>
      <c r="H290" s="448"/>
      <c r="I290" s="448"/>
      <c r="J290" s="448"/>
      <c r="K290" s="448"/>
      <c r="L290" s="448"/>
      <c r="M290" s="448"/>
      <c r="N290" s="448"/>
      <c r="O290" s="448"/>
      <c r="P290" s="448"/>
      <c r="Q290" s="448"/>
      <c r="R290" s="448"/>
      <c r="S290" s="448"/>
      <c r="T290" s="448"/>
      <c r="U290" s="448"/>
      <c r="V290" s="448"/>
      <c r="W290" s="448"/>
      <c r="X290" s="448"/>
      <c r="Y290" s="586"/>
    </row>
    <row r="291" spans="1:25" s="493" customFormat="1" ht="12.75" customHeight="1">
      <c r="A291" s="447"/>
      <c r="B291" s="448"/>
      <c r="C291" s="448"/>
      <c r="D291" s="448"/>
      <c r="E291" s="448"/>
      <c r="F291" s="448"/>
      <c r="G291" s="448"/>
      <c r="H291" s="448"/>
      <c r="I291" s="448"/>
      <c r="J291" s="448"/>
      <c r="K291" s="448"/>
      <c r="L291" s="448"/>
      <c r="M291" s="448"/>
      <c r="N291" s="448"/>
      <c r="O291" s="448"/>
      <c r="P291" s="448"/>
      <c r="Q291" s="448"/>
      <c r="R291" s="448"/>
      <c r="S291" s="448"/>
      <c r="T291" s="448"/>
      <c r="U291" s="448"/>
      <c r="V291" s="448"/>
      <c r="W291" s="448"/>
      <c r="X291" s="448"/>
      <c r="Y291" s="586"/>
    </row>
    <row r="292" spans="1:25" s="493" customFormat="1">
      <c r="A292" s="447"/>
      <c r="B292" s="448"/>
      <c r="C292" s="448"/>
      <c r="D292" s="448"/>
      <c r="E292" s="448"/>
      <c r="F292" s="448"/>
      <c r="G292" s="448"/>
      <c r="H292" s="448"/>
      <c r="I292" s="448"/>
      <c r="J292" s="448"/>
      <c r="K292" s="448"/>
      <c r="L292" s="448"/>
      <c r="M292" s="448"/>
      <c r="N292" s="448"/>
      <c r="O292" s="448"/>
      <c r="P292" s="448"/>
      <c r="Q292" s="448"/>
      <c r="R292" s="448"/>
      <c r="S292" s="448"/>
      <c r="T292" s="448"/>
      <c r="U292" s="448"/>
      <c r="V292" s="448"/>
      <c r="W292" s="448"/>
      <c r="X292" s="448"/>
      <c r="Y292" s="586"/>
    </row>
    <row r="293" spans="1:25" s="493" customFormat="1">
      <c r="A293" s="447"/>
      <c r="B293" s="448"/>
      <c r="C293" s="448"/>
      <c r="D293" s="448"/>
      <c r="E293" s="448"/>
      <c r="F293" s="448"/>
      <c r="G293" s="448"/>
      <c r="H293" s="448"/>
      <c r="I293" s="448"/>
      <c r="J293" s="448"/>
      <c r="K293" s="448"/>
      <c r="L293" s="448"/>
      <c r="M293" s="448"/>
      <c r="N293" s="448"/>
      <c r="O293" s="448"/>
      <c r="P293" s="448"/>
      <c r="Q293" s="448"/>
      <c r="R293" s="448"/>
      <c r="S293" s="448"/>
      <c r="T293" s="448"/>
      <c r="U293" s="448"/>
      <c r="V293" s="448"/>
      <c r="W293" s="448"/>
      <c r="X293" s="448"/>
      <c r="Y293" s="1454"/>
    </row>
    <row r="294" spans="1:25" s="493" customFormat="1">
      <c r="A294" s="447"/>
      <c r="B294" s="448"/>
      <c r="C294" s="448"/>
      <c r="D294" s="448"/>
      <c r="E294" s="448"/>
      <c r="F294" s="448"/>
      <c r="G294" s="448"/>
      <c r="H294" s="448"/>
      <c r="I294" s="448"/>
      <c r="J294" s="448"/>
      <c r="K294" s="448"/>
      <c r="L294" s="448"/>
      <c r="M294" s="448"/>
      <c r="N294" s="448"/>
      <c r="O294" s="448"/>
      <c r="P294" s="448"/>
      <c r="Q294" s="448"/>
      <c r="R294" s="448"/>
      <c r="S294" s="448"/>
      <c r="T294" s="448"/>
      <c r="U294" s="448"/>
      <c r="V294" s="448"/>
      <c r="W294" s="448"/>
      <c r="X294" s="448"/>
      <c r="Y294" s="1454"/>
    </row>
    <row r="295" spans="1:25" s="493" customFormat="1" ht="21.75" customHeight="1">
      <c r="A295" s="447"/>
      <c r="B295" s="448"/>
      <c r="C295" s="448"/>
      <c r="D295" s="448"/>
      <c r="E295" s="448"/>
      <c r="F295" s="448"/>
      <c r="G295" s="448"/>
      <c r="H295" s="448"/>
      <c r="I295" s="448"/>
      <c r="J295" s="448"/>
      <c r="K295" s="448"/>
      <c r="L295" s="448"/>
      <c r="M295" s="448"/>
      <c r="N295" s="448"/>
      <c r="O295" s="448"/>
      <c r="P295" s="448"/>
      <c r="Q295" s="448"/>
      <c r="R295" s="448"/>
      <c r="S295" s="448"/>
      <c r="T295" s="448"/>
      <c r="U295" s="448"/>
      <c r="V295" s="448"/>
      <c r="W295" s="448"/>
      <c r="X295" s="448"/>
      <c r="Y295" s="1454"/>
    </row>
    <row r="296" spans="1:25" s="493" customFormat="1" ht="12.75" customHeight="1">
      <c r="A296" s="447"/>
      <c r="B296" s="448"/>
      <c r="C296" s="448"/>
      <c r="D296" s="448"/>
      <c r="E296" s="448"/>
      <c r="F296" s="448"/>
      <c r="G296" s="448"/>
      <c r="H296" s="448"/>
      <c r="I296" s="448"/>
      <c r="J296" s="448"/>
      <c r="K296" s="448"/>
      <c r="L296" s="448"/>
      <c r="M296" s="448"/>
      <c r="N296" s="448"/>
      <c r="O296" s="448"/>
      <c r="P296" s="448"/>
      <c r="Q296" s="448"/>
      <c r="R296" s="448"/>
      <c r="S296" s="448"/>
      <c r="T296" s="448"/>
      <c r="U296" s="448"/>
      <c r="V296" s="448"/>
      <c r="W296" s="448"/>
      <c r="X296" s="448"/>
      <c r="Y296" s="1454"/>
    </row>
    <row r="297" spans="1:25" s="493" customFormat="1" ht="12.75" customHeight="1">
      <c r="A297" s="447"/>
      <c r="B297" s="448"/>
      <c r="C297" s="448"/>
      <c r="D297" s="448"/>
      <c r="E297" s="448"/>
      <c r="F297" s="448"/>
      <c r="G297" s="448"/>
      <c r="H297" s="448"/>
      <c r="I297" s="448"/>
      <c r="J297" s="448"/>
      <c r="K297" s="448"/>
      <c r="L297" s="448"/>
      <c r="M297" s="448"/>
      <c r="N297" s="448"/>
      <c r="O297" s="448"/>
      <c r="P297" s="448"/>
      <c r="Q297" s="448"/>
      <c r="R297" s="448"/>
      <c r="S297" s="448"/>
      <c r="T297" s="448"/>
      <c r="U297" s="448"/>
      <c r="V297" s="448"/>
      <c r="W297" s="448"/>
      <c r="X297" s="448"/>
      <c r="Y297" s="1454"/>
    </row>
    <row r="298" spans="1:25" s="493" customFormat="1">
      <c r="A298" s="447"/>
      <c r="B298" s="448"/>
      <c r="C298" s="448"/>
      <c r="D298" s="448"/>
      <c r="E298" s="448"/>
      <c r="F298" s="448"/>
      <c r="G298" s="448"/>
      <c r="H298" s="448"/>
      <c r="I298" s="448"/>
      <c r="J298" s="448"/>
      <c r="K298" s="448"/>
      <c r="L298" s="448"/>
      <c r="M298" s="448"/>
      <c r="N298" s="448"/>
      <c r="O298" s="448"/>
      <c r="P298" s="448"/>
      <c r="Q298" s="448"/>
      <c r="R298" s="448"/>
      <c r="S298" s="448"/>
      <c r="T298" s="448"/>
      <c r="U298" s="448"/>
      <c r="V298" s="448"/>
      <c r="W298" s="448"/>
      <c r="X298" s="448"/>
      <c r="Y298" s="1454"/>
    </row>
    <row r="299" spans="1:25" s="493" customFormat="1">
      <c r="A299" s="447"/>
      <c r="B299" s="448"/>
      <c r="C299" s="448"/>
      <c r="D299" s="448"/>
      <c r="E299" s="448"/>
      <c r="F299" s="448"/>
      <c r="G299" s="448"/>
      <c r="H299" s="448"/>
      <c r="I299" s="448"/>
      <c r="J299" s="448"/>
      <c r="K299" s="448"/>
      <c r="L299" s="448"/>
      <c r="M299" s="448"/>
      <c r="N299" s="448"/>
      <c r="O299" s="448"/>
      <c r="P299" s="448"/>
      <c r="Q299" s="448"/>
      <c r="R299" s="448"/>
      <c r="S299" s="448"/>
      <c r="T299" s="448"/>
      <c r="U299" s="448"/>
      <c r="V299" s="448"/>
      <c r="W299" s="448"/>
      <c r="X299" s="448"/>
      <c r="Y299" s="1454"/>
    </row>
    <row r="300" spans="1:25" s="493" customFormat="1">
      <c r="A300" s="447"/>
      <c r="B300" s="448"/>
      <c r="C300" s="448"/>
      <c r="D300" s="448"/>
      <c r="E300" s="448"/>
      <c r="F300" s="448"/>
      <c r="G300" s="448"/>
      <c r="H300" s="448"/>
      <c r="I300" s="448"/>
      <c r="J300" s="448"/>
      <c r="K300" s="448"/>
      <c r="L300" s="448"/>
      <c r="M300" s="448"/>
      <c r="N300" s="448"/>
      <c r="O300" s="448"/>
      <c r="P300" s="448"/>
      <c r="Q300" s="448"/>
      <c r="R300" s="448"/>
      <c r="S300" s="448"/>
      <c r="T300" s="448"/>
      <c r="U300" s="448"/>
      <c r="V300" s="448"/>
      <c r="W300" s="448"/>
      <c r="X300" s="448"/>
      <c r="Y300" s="1454"/>
    </row>
    <row r="301" spans="1:25" s="493" customFormat="1">
      <c r="A301" s="447"/>
      <c r="B301" s="448"/>
      <c r="C301" s="448"/>
      <c r="D301" s="448"/>
      <c r="E301" s="448"/>
      <c r="F301" s="448"/>
      <c r="G301" s="448"/>
      <c r="H301" s="448"/>
      <c r="I301" s="448"/>
      <c r="J301" s="448"/>
      <c r="K301" s="448"/>
      <c r="L301" s="448"/>
      <c r="M301" s="448"/>
      <c r="N301" s="448"/>
      <c r="O301" s="448"/>
      <c r="P301" s="448"/>
      <c r="Q301" s="448"/>
      <c r="R301" s="448"/>
      <c r="S301" s="448"/>
      <c r="T301" s="448"/>
      <c r="U301" s="448"/>
      <c r="V301" s="448"/>
      <c r="W301" s="448"/>
      <c r="X301" s="448"/>
      <c r="Y301" s="1454"/>
    </row>
    <row r="302" spans="1:25" s="1443" customFormat="1" ht="35.25" customHeight="1">
      <c r="A302" s="447"/>
      <c r="B302" s="448"/>
      <c r="C302" s="448"/>
      <c r="D302" s="448"/>
      <c r="E302" s="448"/>
      <c r="F302" s="448"/>
      <c r="G302" s="448"/>
      <c r="H302" s="448"/>
      <c r="I302" s="448"/>
      <c r="J302" s="448"/>
      <c r="K302" s="448"/>
      <c r="L302" s="448"/>
      <c r="M302" s="448"/>
      <c r="N302" s="448"/>
      <c r="O302" s="448"/>
      <c r="P302" s="448"/>
      <c r="Q302" s="448"/>
      <c r="R302" s="448"/>
      <c r="S302" s="448"/>
      <c r="T302" s="448"/>
      <c r="U302" s="448"/>
      <c r="V302" s="448"/>
      <c r="W302" s="448"/>
      <c r="X302" s="448"/>
      <c r="Y302" s="1454"/>
    </row>
    <row r="303" spans="1:25" s="493" customFormat="1" ht="11.25" customHeight="1">
      <c r="A303" s="447"/>
      <c r="B303" s="448"/>
      <c r="C303" s="448"/>
      <c r="D303" s="448"/>
      <c r="E303" s="448"/>
      <c r="F303" s="448"/>
      <c r="G303" s="448"/>
      <c r="H303" s="448"/>
      <c r="I303" s="448"/>
      <c r="J303" s="448"/>
      <c r="K303" s="448"/>
      <c r="L303" s="448"/>
      <c r="M303" s="448"/>
      <c r="N303" s="448"/>
      <c r="O303" s="448"/>
      <c r="P303" s="448"/>
      <c r="Q303" s="448"/>
      <c r="R303" s="448"/>
      <c r="S303" s="448"/>
      <c r="T303" s="448"/>
      <c r="U303" s="448"/>
      <c r="V303" s="448"/>
      <c r="W303" s="448"/>
      <c r="X303" s="448"/>
      <c r="Y303" s="1454"/>
    </row>
    <row r="304" spans="1:25" s="493" customFormat="1" ht="12.75" customHeight="1">
      <c r="A304" s="447"/>
      <c r="B304" s="448"/>
      <c r="C304" s="448"/>
      <c r="D304" s="448"/>
      <c r="E304" s="448"/>
      <c r="F304" s="448"/>
      <c r="G304" s="448"/>
      <c r="H304" s="448"/>
      <c r="I304" s="448"/>
      <c r="J304" s="448"/>
      <c r="K304" s="448"/>
      <c r="L304" s="448"/>
      <c r="M304" s="448"/>
      <c r="N304" s="448"/>
      <c r="O304" s="448"/>
      <c r="P304" s="448"/>
      <c r="Q304" s="448"/>
      <c r="R304" s="448"/>
      <c r="S304" s="448"/>
      <c r="T304" s="448"/>
      <c r="U304" s="448"/>
      <c r="V304" s="448"/>
      <c r="W304" s="448"/>
      <c r="X304" s="448"/>
      <c r="Y304" s="1454"/>
    </row>
    <row r="305" spans="1:25" s="1443" customFormat="1" ht="14.25" customHeight="1">
      <c r="A305" s="447"/>
      <c r="B305" s="448"/>
      <c r="C305" s="448"/>
      <c r="D305" s="448"/>
      <c r="E305" s="448"/>
      <c r="F305" s="448"/>
      <c r="G305" s="448"/>
      <c r="H305" s="448"/>
      <c r="I305" s="448"/>
      <c r="J305" s="448"/>
      <c r="K305" s="448"/>
      <c r="L305" s="448"/>
      <c r="M305" s="448"/>
      <c r="N305" s="448"/>
      <c r="O305" s="448"/>
      <c r="P305" s="448"/>
      <c r="Q305" s="448"/>
      <c r="R305" s="448"/>
      <c r="S305" s="448"/>
      <c r="T305" s="448"/>
      <c r="U305" s="448"/>
      <c r="V305" s="448"/>
      <c r="W305" s="448"/>
      <c r="X305" s="448"/>
      <c r="Y305" s="1454"/>
    </row>
    <row r="306" spans="1:25" s="493" customFormat="1" ht="11.25" customHeight="1">
      <c r="A306" s="447"/>
      <c r="B306" s="448"/>
      <c r="C306" s="448"/>
      <c r="D306" s="448"/>
      <c r="E306" s="448"/>
      <c r="F306" s="448"/>
      <c r="G306" s="448"/>
      <c r="H306" s="448"/>
      <c r="I306" s="448"/>
      <c r="J306" s="448"/>
      <c r="K306" s="448"/>
      <c r="L306" s="448"/>
      <c r="M306" s="448"/>
      <c r="N306" s="448"/>
      <c r="O306" s="448"/>
      <c r="P306" s="448"/>
      <c r="Q306" s="448"/>
      <c r="R306" s="448"/>
      <c r="S306" s="448"/>
      <c r="T306" s="448"/>
      <c r="U306" s="448"/>
      <c r="V306" s="448"/>
      <c r="W306" s="448"/>
      <c r="X306" s="448"/>
      <c r="Y306" s="1454"/>
    </row>
    <row r="307" spans="1:25" s="493" customFormat="1" ht="12.75" customHeight="1">
      <c r="A307" s="447"/>
      <c r="B307" s="448"/>
      <c r="C307" s="448"/>
      <c r="D307" s="448"/>
      <c r="E307" s="448"/>
      <c r="F307" s="448"/>
      <c r="G307" s="448"/>
      <c r="H307" s="448"/>
      <c r="I307" s="448"/>
      <c r="J307" s="448"/>
      <c r="K307" s="448"/>
      <c r="L307" s="448"/>
      <c r="M307" s="448"/>
      <c r="N307" s="448"/>
      <c r="O307" s="448"/>
      <c r="P307" s="448"/>
      <c r="Q307" s="448"/>
      <c r="R307" s="448"/>
      <c r="S307" s="448"/>
      <c r="T307" s="448"/>
      <c r="U307" s="448"/>
      <c r="V307" s="448"/>
      <c r="W307" s="448"/>
      <c r="X307" s="448"/>
      <c r="Y307" s="1454"/>
    </row>
    <row r="308" spans="1:25" s="1443" customFormat="1" ht="23.25" customHeight="1">
      <c r="A308" s="447"/>
      <c r="B308" s="448"/>
      <c r="C308" s="448"/>
      <c r="D308" s="448"/>
      <c r="E308" s="448"/>
      <c r="F308" s="448"/>
      <c r="G308" s="448"/>
      <c r="H308" s="448"/>
      <c r="I308" s="448"/>
      <c r="J308" s="448"/>
      <c r="K308" s="448"/>
      <c r="L308" s="448"/>
      <c r="M308" s="448"/>
      <c r="N308" s="448"/>
      <c r="O308" s="448"/>
      <c r="P308" s="448"/>
      <c r="Q308" s="448"/>
      <c r="R308" s="448"/>
      <c r="S308" s="448"/>
      <c r="T308" s="448"/>
      <c r="U308" s="448"/>
      <c r="V308" s="448"/>
      <c r="W308" s="448"/>
      <c r="X308" s="448"/>
      <c r="Y308" s="1454"/>
    </row>
    <row r="309" spans="1:25" s="493" customFormat="1" ht="11.25" customHeight="1">
      <c r="A309" s="447"/>
      <c r="B309" s="448"/>
      <c r="C309" s="448"/>
      <c r="D309" s="448"/>
      <c r="E309" s="448"/>
      <c r="F309" s="448"/>
      <c r="G309" s="448"/>
      <c r="H309" s="448"/>
      <c r="I309" s="448"/>
      <c r="J309" s="448"/>
      <c r="K309" s="448"/>
      <c r="L309" s="448"/>
      <c r="M309" s="448"/>
      <c r="N309" s="448"/>
      <c r="O309" s="448"/>
      <c r="P309" s="448"/>
      <c r="Q309" s="448"/>
      <c r="R309" s="448"/>
      <c r="S309" s="448"/>
      <c r="T309" s="448"/>
      <c r="U309" s="448"/>
      <c r="V309" s="448"/>
      <c r="W309" s="448"/>
      <c r="X309" s="448"/>
      <c r="Y309" s="1454"/>
    </row>
    <row r="310" spans="1:25" s="493" customFormat="1">
      <c r="A310" s="447"/>
      <c r="B310" s="448"/>
      <c r="C310" s="448"/>
      <c r="D310" s="448"/>
      <c r="E310" s="448"/>
      <c r="F310" s="448"/>
      <c r="G310" s="448"/>
      <c r="H310" s="448"/>
      <c r="I310" s="448"/>
      <c r="J310" s="448"/>
      <c r="K310" s="448"/>
      <c r="L310" s="448"/>
      <c r="M310" s="448"/>
      <c r="N310" s="448"/>
      <c r="O310" s="448"/>
      <c r="P310" s="448"/>
      <c r="Q310" s="448"/>
      <c r="R310" s="448"/>
      <c r="S310" s="448"/>
      <c r="T310" s="448"/>
      <c r="U310" s="448"/>
      <c r="V310" s="448"/>
      <c r="W310" s="448"/>
      <c r="X310" s="448"/>
      <c r="Y310" s="1454"/>
    </row>
    <row r="311" spans="1:25" s="493" customFormat="1">
      <c r="A311" s="447"/>
      <c r="B311" s="448"/>
      <c r="C311" s="448"/>
      <c r="D311" s="448"/>
      <c r="E311" s="448"/>
      <c r="F311" s="448"/>
      <c r="G311" s="448"/>
      <c r="H311" s="448"/>
      <c r="I311" s="448"/>
      <c r="J311" s="448"/>
      <c r="K311" s="448"/>
      <c r="L311" s="448"/>
      <c r="M311" s="448"/>
      <c r="N311" s="448"/>
      <c r="O311" s="448"/>
      <c r="P311" s="448"/>
      <c r="Q311" s="448"/>
      <c r="R311" s="448"/>
      <c r="S311" s="448"/>
      <c r="T311" s="448"/>
      <c r="U311" s="448"/>
      <c r="V311" s="448"/>
      <c r="W311" s="448"/>
      <c r="X311" s="448"/>
      <c r="Y311" s="1454"/>
    </row>
    <row r="312" spans="1:25" s="1443" customFormat="1" ht="23.25" customHeight="1">
      <c r="A312" s="447"/>
      <c r="B312" s="448"/>
      <c r="C312" s="448"/>
      <c r="D312" s="448"/>
      <c r="E312" s="448"/>
      <c r="F312" s="448"/>
      <c r="G312" s="448"/>
      <c r="H312" s="448"/>
      <c r="I312" s="448"/>
      <c r="J312" s="448"/>
      <c r="K312" s="448"/>
      <c r="L312" s="448"/>
      <c r="M312" s="448"/>
      <c r="N312" s="448"/>
      <c r="O312" s="448"/>
      <c r="P312" s="448"/>
      <c r="Q312" s="448"/>
      <c r="R312" s="448"/>
      <c r="S312" s="448"/>
      <c r="T312" s="448"/>
      <c r="U312" s="448"/>
      <c r="V312" s="448"/>
      <c r="W312" s="448"/>
      <c r="X312" s="448"/>
      <c r="Y312" s="1454"/>
    </row>
    <row r="313" spans="1:25" s="493" customFormat="1" ht="11.25" customHeight="1">
      <c r="A313" s="447"/>
      <c r="B313" s="448"/>
      <c r="C313" s="448"/>
      <c r="D313" s="448"/>
      <c r="E313" s="448"/>
      <c r="F313" s="448"/>
      <c r="G313" s="448"/>
      <c r="H313" s="448"/>
      <c r="I313" s="448"/>
      <c r="J313" s="448"/>
      <c r="K313" s="448"/>
      <c r="L313" s="448"/>
      <c r="M313" s="448"/>
      <c r="N313" s="448"/>
      <c r="O313" s="448"/>
      <c r="P313" s="448"/>
      <c r="Q313" s="448"/>
      <c r="R313" s="448"/>
      <c r="S313" s="448"/>
      <c r="T313" s="448"/>
      <c r="U313" s="448"/>
      <c r="V313" s="448"/>
      <c r="W313" s="448"/>
      <c r="X313" s="448"/>
      <c r="Y313" s="1454"/>
    </row>
    <row r="314" spans="1:25" s="493" customFormat="1">
      <c r="A314" s="447"/>
      <c r="B314" s="448"/>
      <c r="C314" s="448"/>
      <c r="D314" s="448"/>
      <c r="E314" s="448"/>
      <c r="F314" s="448"/>
      <c r="G314" s="448"/>
      <c r="H314" s="448"/>
      <c r="I314" s="448"/>
      <c r="J314" s="448"/>
      <c r="K314" s="448"/>
      <c r="L314" s="448"/>
      <c r="M314" s="448"/>
      <c r="N314" s="448"/>
      <c r="O314" s="448"/>
      <c r="P314" s="448"/>
      <c r="Q314" s="448"/>
      <c r="R314" s="448"/>
      <c r="S314" s="448"/>
      <c r="T314" s="448"/>
      <c r="U314" s="448"/>
      <c r="V314" s="448"/>
      <c r="W314" s="448"/>
      <c r="X314" s="448"/>
      <c r="Y314" s="1454"/>
    </row>
    <row r="315" spans="1:25">
      <c r="E315" s="448"/>
      <c r="N315" s="448"/>
      <c r="Y315" s="1454"/>
    </row>
    <row r="316" spans="1:25">
      <c r="E316" s="448"/>
      <c r="N316" s="448"/>
      <c r="Y316" s="1454"/>
    </row>
    <row r="317" spans="1:25">
      <c r="E317" s="448"/>
      <c r="N317" s="448"/>
      <c r="Y317" s="1454"/>
    </row>
    <row r="318" spans="1:25">
      <c r="E318" s="448"/>
      <c r="N318" s="448"/>
      <c r="Y318" s="1454"/>
    </row>
    <row r="319" spans="1:25">
      <c r="E319" s="448"/>
      <c r="N319" s="448"/>
      <c r="Y319" s="1454"/>
    </row>
    <row r="320" spans="1:25">
      <c r="E320" s="448"/>
      <c r="N320" s="448"/>
      <c r="Y320" s="1454"/>
    </row>
    <row r="321" spans="5:25">
      <c r="E321" s="448"/>
      <c r="N321" s="448"/>
      <c r="Y321" s="1454"/>
    </row>
    <row r="322" spans="5:25">
      <c r="E322" s="448"/>
      <c r="N322" s="448"/>
    </row>
    <row r="323" spans="5:25">
      <c r="E323" s="448"/>
      <c r="N323" s="448"/>
    </row>
    <row r="324" spans="5:25">
      <c r="E324" s="448"/>
      <c r="N324" s="448"/>
    </row>
    <row r="325" spans="5:25">
      <c r="E325" s="448"/>
      <c r="N325" s="448"/>
    </row>
    <row r="326" spans="5:25">
      <c r="E326" s="448"/>
      <c r="N326" s="448"/>
    </row>
    <row r="327" spans="5:25">
      <c r="E327" s="448"/>
      <c r="N327" s="448"/>
    </row>
    <row r="328" spans="5:25">
      <c r="E328" s="448"/>
      <c r="N328" s="448"/>
    </row>
    <row r="329" spans="5:25">
      <c r="E329" s="448"/>
      <c r="N329" s="448"/>
    </row>
    <row r="330" spans="5:25">
      <c r="E330" s="448"/>
      <c r="N330" s="448"/>
    </row>
    <row r="331" spans="5:25">
      <c r="E331" s="448"/>
      <c r="N331" s="448"/>
    </row>
    <row r="332" spans="5:25">
      <c r="E332" s="448"/>
      <c r="N332" s="448"/>
    </row>
    <row r="333" spans="5:25">
      <c r="E333" s="448"/>
      <c r="N333" s="448"/>
    </row>
    <row r="334" spans="5:25">
      <c r="E334" s="448"/>
      <c r="N334" s="448"/>
    </row>
    <row r="335" spans="5:25">
      <c r="E335" s="448"/>
      <c r="N335" s="448"/>
    </row>
    <row r="336" spans="5:25">
      <c r="E336" s="448"/>
      <c r="N336" s="448"/>
    </row>
    <row r="337" spans="5:14">
      <c r="E337" s="448"/>
      <c r="N337" s="448"/>
    </row>
    <row r="338" spans="5:14">
      <c r="E338" s="448"/>
      <c r="N338" s="448"/>
    </row>
    <row r="339" spans="5:14">
      <c r="E339" s="448"/>
      <c r="N339" s="448"/>
    </row>
    <row r="340" spans="5:14">
      <c r="E340" s="448"/>
      <c r="N340" s="448"/>
    </row>
    <row r="341" spans="5:14">
      <c r="E341" s="448"/>
      <c r="N341" s="448"/>
    </row>
    <row r="342" spans="5:14">
      <c r="E342" s="448"/>
      <c r="N342" s="448"/>
    </row>
    <row r="343" spans="5:14">
      <c r="E343" s="448"/>
      <c r="N343" s="448"/>
    </row>
    <row r="344" spans="5:14">
      <c r="E344" s="448"/>
      <c r="N344" s="448"/>
    </row>
    <row r="345" spans="5:14">
      <c r="E345" s="448"/>
      <c r="N345" s="448"/>
    </row>
    <row r="346" spans="5:14">
      <c r="E346" s="448"/>
      <c r="N346" s="448"/>
    </row>
    <row r="347" spans="5:14">
      <c r="E347" s="448"/>
      <c r="N347" s="448"/>
    </row>
    <row r="348" spans="5:14">
      <c r="E348" s="448"/>
      <c r="N348" s="448"/>
    </row>
    <row r="349" spans="5:14">
      <c r="E349" s="448"/>
      <c r="N349" s="448"/>
    </row>
    <row r="350" spans="5:14">
      <c r="E350" s="448"/>
      <c r="N350" s="448"/>
    </row>
    <row r="351" spans="5:14">
      <c r="E351" s="448"/>
      <c r="N351" s="448"/>
    </row>
    <row r="352" spans="5:14">
      <c r="E352" s="448"/>
      <c r="N352" s="448"/>
    </row>
    <row r="353" spans="5:14">
      <c r="E353" s="448"/>
      <c r="N353" s="448"/>
    </row>
    <row r="354" spans="5:14">
      <c r="E354" s="448"/>
      <c r="N354" s="448"/>
    </row>
    <row r="355" spans="5:14">
      <c r="E355" s="448"/>
      <c r="N355" s="448"/>
    </row>
    <row r="356" spans="5:14">
      <c r="E356" s="448"/>
      <c r="N356" s="448"/>
    </row>
    <row r="357" spans="5:14">
      <c r="E357" s="448"/>
      <c r="N357" s="448"/>
    </row>
    <row r="358" spans="5:14">
      <c r="E358" s="448"/>
      <c r="N358" s="448"/>
    </row>
    <row r="359" spans="5:14">
      <c r="E359" s="448"/>
      <c r="N359" s="448"/>
    </row>
    <row r="360" spans="5:14">
      <c r="E360" s="448"/>
      <c r="N360" s="448"/>
    </row>
    <row r="361" spans="5:14">
      <c r="E361" s="448"/>
      <c r="N361" s="448"/>
    </row>
    <row r="362" spans="5:14">
      <c r="E362" s="448"/>
      <c r="N362" s="448"/>
    </row>
    <row r="363" spans="5:14">
      <c r="E363" s="448"/>
      <c r="N363" s="448"/>
    </row>
    <row r="364" spans="5:14">
      <c r="E364" s="448"/>
      <c r="N364" s="448"/>
    </row>
    <row r="365" spans="5:14">
      <c r="E365" s="448"/>
      <c r="N365" s="448"/>
    </row>
    <row r="366" spans="5:14">
      <c r="E366" s="448"/>
      <c r="N366" s="448"/>
    </row>
    <row r="367" spans="5:14">
      <c r="E367" s="448"/>
      <c r="N367" s="448"/>
    </row>
    <row r="368" spans="5:14">
      <c r="E368" s="448"/>
      <c r="N368" s="448"/>
    </row>
    <row r="369" spans="5:14">
      <c r="E369" s="448"/>
      <c r="N369" s="448"/>
    </row>
    <row r="370" spans="5:14">
      <c r="E370" s="448"/>
      <c r="N370" s="448"/>
    </row>
    <row r="371" spans="5:14">
      <c r="E371" s="448"/>
      <c r="N371" s="448"/>
    </row>
    <row r="372" spans="5:14">
      <c r="E372" s="448"/>
      <c r="N372" s="448"/>
    </row>
    <row r="373" spans="5:14">
      <c r="E373" s="448"/>
      <c r="N373" s="448"/>
    </row>
    <row r="374" spans="5:14">
      <c r="E374" s="448"/>
      <c r="N374" s="448"/>
    </row>
    <row r="375" spans="5:14">
      <c r="E375" s="448"/>
      <c r="N375" s="448"/>
    </row>
    <row r="376" spans="5:14">
      <c r="E376" s="448"/>
      <c r="N376" s="448"/>
    </row>
    <row r="377" spans="5:14">
      <c r="E377" s="448"/>
      <c r="N377" s="448"/>
    </row>
    <row r="378" spans="5:14">
      <c r="E378" s="448"/>
      <c r="N378" s="448"/>
    </row>
    <row r="379" spans="5:14">
      <c r="E379" s="448"/>
      <c r="N379" s="448"/>
    </row>
    <row r="380" spans="5:14">
      <c r="E380" s="448"/>
      <c r="N380" s="448"/>
    </row>
    <row r="381" spans="5:14">
      <c r="E381" s="448"/>
      <c r="N381" s="448"/>
    </row>
    <row r="382" spans="5:14">
      <c r="E382" s="448"/>
      <c r="N382" s="448"/>
    </row>
    <row r="383" spans="5:14">
      <c r="E383" s="448"/>
      <c r="N383" s="448"/>
    </row>
    <row r="384" spans="5:14">
      <c r="E384" s="448"/>
      <c r="N384" s="448"/>
    </row>
    <row r="385" spans="5:14">
      <c r="E385" s="448"/>
      <c r="N385" s="448"/>
    </row>
    <row r="386" spans="5:14">
      <c r="E386" s="448"/>
      <c r="N386" s="448"/>
    </row>
    <row r="387" spans="5:14">
      <c r="E387" s="448"/>
      <c r="N387" s="448"/>
    </row>
    <row r="388" spans="5:14">
      <c r="E388" s="448"/>
      <c r="N388" s="448"/>
    </row>
    <row r="389" spans="5:14">
      <c r="E389" s="448"/>
      <c r="N389" s="448"/>
    </row>
    <row r="390" spans="5:14">
      <c r="E390" s="448"/>
      <c r="N390" s="448"/>
    </row>
    <row r="391" spans="5:14">
      <c r="E391" s="448"/>
      <c r="N391" s="448"/>
    </row>
    <row r="392" spans="5:14">
      <c r="E392" s="448"/>
      <c r="N392" s="448"/>
    </row>
    <row r="393" spans="5:14">
      <c r="E393" s="448"/>
      <c r="N393" s="448"/>
    </row>
    <row r="394" spans="5:14">
      <c r="E394" s="448"/>
      <c r="N394" s="448"/>
    </row>
    <row r="395" spans="5:14">
      <c r="E395" s="448"/>
      <c r="N395" s="448"/>
    </row>
    <row r="396" spans="5:14">
      <c r="E396" s="448"/>
      <c r="N396" s="448"/>
    </row>
    <row r="397" spans="5:14">
      <c r="E397" s="448"/>
      <c r="N397" s="448"/>
    </row>
    <row r="398" spans="5:14">
      <c r="E398" s="448"/>
      <c r="N398" s="448"/>
    </row>
    <row r="399" spans="5:14">
      <c r="E399" s="448"/>
      <c r="N399" s="448"/>
    </row>
    <row r="400" spans="5:14">
      <c r="E400" s="448"/>
      <c r="N400" s="448"/>
    </row>
    <row r="401" spans="5:14">
      <c r="E401" s="448"/>
      <c r="N401" s="448"/>
    </row>
    <row r="402" spans="5:14">
      <c r="E402" s="448"/>
      <c r="N402" s="448"/>
    </row>
    <row r="403" spans="5:14">
      <c r="E403" s="448"/>
      <c r="N403" s="448"/>
    </row>
    <row r="404" spans="5:14">
      <c r="E404" s="448"/>
      <c r="N404" s="448"/>
    </row>
    <row r="405" spans="5:14">
      <c r="E405" s="448"/>
      <c r="N405" s="448"/>
    </row>
    <row r="406" spans="5:14">
      <c r="E406" s="448"/>
      <c r="N406" s="448"/>
    </row>
    <row r="407" spans="5:14">
      <c r="E407" s="448"/>
      <c r="N407" s="448"/>
    </row>
    <row r="408" spans="5:14">
      <c r="E408" s="448"/>
      <c r="N408" s="448"/>
    </row>
    <row r="409" spans="5:14">
      <c r="E409" s="448"/>
      <c r="N409" s="448"/>
    </row>
    <row r="410" spans="5:14">
      <c r="E410" s="448"/>
      <c r="N410" s="448"/>
    </row>
    <row r="411" spans="5:14">
      <c r="E411" s="448"/>
      <c r="N411" s="448"/>
    </row>
    <row r="412" spans="5:14">
      <c r="E412" s="448"/>
      <c r="N412" s="448"/>
    </row>
    <row r="413" spans="5:14">
      <c r="E413" s="448"/>
      <c r="N413" s="448"/>
    </row>
    <row r="414" spans="5:14">
      <c r="E414" s="448"/>
      <c r="N414" s="448"/>
    </row>
    <row r="415" spans="5:14">
      <c r="E415" s="448"/>
      <c r="N415" s="448"/>
    </row>
    <row r="416" spans="5:14">
      <c r="E416" s="448"/>
      <c r="N416" s="448"/>
    </row>
    <row r="417" spans="5:14">
      <c r="E417" s="448"/>
      <c r="N417" s="448"/>
    </row>
    <row r="418" spans="5:14">
      <c r="E418" s="448"/>
      <c r="N418" s="448"/>
    </row>
    <row r="419" spans="5:14">
      <c r="E419" s="448"/>
      <c r="N419" s="448"/>
    </row>
    <row r="420" spans="5:14">
      <c r="E420" s="448"/>
      <c r="N420" s="448"/>
    </row>
    <row r="421" spans="5:14">
      <c r="E421" s="448"/>
      <c r="N421" s="448"/>
    </row>
    <row r="422" spans="5:14">
      <c r="E422" s="448"/>
      <c r="N422" s="448"/>
    </row>
    <row r="423" spans="5:14">
      <c r="E423" s="448"/>
      <c r="N423" s="448"/>
    </row>
    <row r="424" spans="5:14">
      <c r="E424" s="448"/>
      <c r="N424" s="448"/>
    </row>
    <row r="425" spans="5:14">
      <c r="E425" s="448"/>
      <c r="N425" s="448"/>
    </row>
    <row r="426" spans="5:14">
      <c r="E426" s="448"/>
      <c r="N426" s="448"/>
    </row>
    <row r="427" spans="5:14">
      <c r="E427" s="448"/>
      <c r="N427" s="448"/>
    </row>
    <row r="428" spans="5:14">
      <c r="E428" s="448"/>
      <c r="N428" s="448"/>
    </row>
    <row r="429" spans="5:14">
      <c r="E429" s="448"/>
      <c r="N429" s="448"/>
    </row>
    <row r="430" spans="5:14">
      <c r="E430" s="448"/>
      <c r="N430" s="448"/>
    </row>
    <row r="431" spans="5:14">
      <c r="E431" s="448"/>
      <c r="N431" s="448"/>
    </row>
    <row r="432" spans="5:14">
      <c r="E432" s="448"/>
      <c r="N432" s="448"/>
    </row>
    <row r="433" spans="5:14">
      <c r="E433" s="448"/>
      <c r="N433" s="448"/>
    </row>
    <row r="434" spans="5:14">
      <c r="E434" s="448"/>
      <c r="N434" s="448"/>
    </row>
    <row r="435" spans="5:14">
      <c r="E435" s="448"/>
      <c r="N435" s="448"/>
    </row>
    <row r="436" spans="5:14">
      <c r="E436" s="448"/>
      <c r="N436" s="448"/>
    </row>
    <row r="437" spans="5:14">
      <c r="E437" s="448"/>
      <c r="N437" s="448"/>
    </row>
    <row r="438" spans="5:14">
      <c r="E438" s="448"/>
      <c r="N438" s="448"/>
    </row>
    <row r="439" spans="5:14">
      <c r="E439" s="448"/>
      <c r="N439" s="448"/>
    </row>
    <row r="440" spans="5:14">
      <c r="E440" s="448"/>
      <c r="N440" s="448"/>
    </row>
    <row r="441" spans="5:14">
      <c r="E441" s="448"/>
      <c r="N441" s="448"/>
    </row>
    <row r="442" spans="5:14">
      <c r="E442" s="448"/>
      <c r="N442" s="448"/>
    </row>
    <row r="443" spans="5:14">
      <c r="E443" s="448"/>
      <c r="N443" s="448"/>
    </row>
    <row r="444" spans="5:14">
      <c r="E444" s="448"/>
      <c r="N444" s="448"/>
    </row>
    <row r="445" spans="5:14">
      <c r="E445" s="448"/>
      <c r="N445" s="448"/>
    </row>
    <row r="446" spans="5:14">
      <c r="E446" s="448"/>
      <c r="N446" s="448"/>
    </row>
    <row r="447" spans="5:14">
      <c r="E447" s="448"/>
      <c r="N447" s="448"/>
    </row>
    <row r="448" spans="5:14">
      <c r="E448" s="448"/>
      <c r="N448" s="448"/>
    </row>
    <row r="449" spans="5:14">
      <c r="E449" s="448"/>
      <c r="N449" s="448"/>
    </row>
    <row r="450" spans="5:14">
      <c r="E450" s="448"/>
      <c r="N450" s="448"/>
    </row>
    <row r="451" spans="5:14">
      <c r="E451" s="448"/>
      <c r="N451" s="448"/>
    </row>
    <row r="452" spans="5:14">
      <c r="E452" s="448"/>
      <c r="N452" s="448"/>
    </row>
    <row r="453" spans="5:14">
      <c r="E453" s="448"/>
      <c r="N453" s="448"/>
    </row>
    <row r="454" spans="5:14">
      <c r="E454" s="448"/>
      <c r="N454" s="448"/>
    </row>
    <row r="455" spans="5:14">
      <c r="E455" s="448"/>
      <c r="N455" s="448"/>
    </row>
    <row r="456" spans="5:14">
      <c r="E456" s="448"/>
      <c r="N456" s="448"/>
    </row>
    <row r="457" spans="5:14">
      <c r="E457" s="448"/>
      <c r="N457" s="448"/>
    </row>
    <row r="458" spans="5:14">
      <c r="E458" s="448"/>
      <c r="N458" s="448"/>
    </row>
    <row r="459" spans="5:14">
      <c r="E459" s="448"/>
      <c r="N459" s="448"/>
    </row>
    <row r="460" spans="5:14">
      <c r="E460" s="448"/>
      <c r="N460" s="448"/>
    </row>
    <row r="461" spans="5:14">
      <c r="E461" s="448"/>
      <c r="N461" s="448"/>
    </row>
    <row r="462" spans="5:14">
      <c r="E462" s="448"/>
      <c r="N462" s="448"/>
    </row>
    <row r="463" spans="5:14">
      <c r="E463" s="448"/>
      <c r="N463" s="448"/>
    </row>
    <row r="464" spans="5:14">
      <c r="E464" s="448"/>
      <c r="N464" s="448"/>
    </row>
    <row r="465" spans="5:14">
      <c r="E465" s="448"/>
      <c r="N465" s="448"/>
    </row>
    <row r="466" spans="5:14">
      <c r="E466" s="448"/>
      <c r="N466" s="448"/>
    </row>
    <row r="467" spans="5:14">
      <c r="E467" s="448"/>
      <c r="N467" s="448"/>
    </row>
    <row r="468" spans="5:14">
      <c r="E468" s="448"/>
      <c r="N468" s="448"/>
    </row>
    <row r="469" spans="5:14">
      <c r="E469" s="448"/>
      <c r="N469" s="448"/>
    </row>
    <row r="470" spans="5:14">
      <c r="E470" s="448"/>
      <c r="N470" s="448"/>
    </row>
    <row r="471" spans="5:14">
      <c r="E471" s="448"/>
      <c r="N471" s="448"/>
    </row>
    <row r="472" spans="5:14">
      <c r="E472" s="448"/>
      <c r="N472" s="448"/>
    </row>
    <row r="473" spans="5:14">
      <c r="E473" s="448"/>
      <c r="N473" s="448"/>
    </row>
    <row r="474" spans="5:14">
      <c r="E474" s="448"/>
      <c r="N474" s="448"/>
    </row>
    <row r="475" spans="5:14">
      <c r="E475" s="448"/>
      <c r="N475" s="448"/>
    </row>
    <row r="476" spans="5:14">
      <c r="E476" s="448"/>
      <c r="N476" s="448"/>
    </row>
    <row r="477" spans="5:14">
      <c r="E477" s="448"/>
      <c r="N477" s="448"/>
    </row>
    <row r="478" spans="5:14">
      <c r="E478" s="448"/>
      <c r="N478" s="448"/>
    </row>
    <row r="479" spans="5:14">
      <c r="E479" s="448"/>
      <c r="N479" s="448"/>
    </row>
    <row r="480" spans="5:14">
      <c r="E480" s="448"/>
      <c r="N480" s="448"/>
    </row>
    <row r="481" spans="5:14">
      <c r="E481" s="448"/>
      <c r="N481" s="448"/>
    </row>
    <row r="482" spans="5:14">
      <c r="E482" s="448"/>
      <c r="N482" s="448"/>
    </row>
    <row r="483" spans="5:14">
      <c r="E483" s="448"/>
      <c r="N483" s="448"/>
    </row>
    <row r="484" spans="5:14">
      <c r="E484" s="448"/>
      <c r="N484" s="448"/>
    </row>
    <row r="485" spans="5:14">
      <c r="E485" s="448"/>
      <c r="N485" s="448"/>
    </row>
    <row r="486" spans="5:14">
      <c r="E486" s="448"/>
      <c r="N486" s="448"/>
    </row>
    <row r="487" spans="5:14">
      <c r="E487" s="448"/>
      <c r="N487" s="448"/>
    </row>
    <row r="488" spans="5:14">
      <c r="E488" s="448"/>
      <c r="N488" s="448"/>
    </row>
    <row r="489" spans="5:14">
      <c r="E489" s="448"/>
      <c r="N489" s="448"/>
    </row>
    <row r="490" spans="5:14">
      <c r="E490" s="448"/>
      <c r="N490" s="448"/>
    </row>
    <row r="491" spans="5:14">
      <c r="E491" s="448"/>
      <c r="N491" s="448"/>
    </row>
    <row r="492" spans="5:14">
      <c r="E492" s="448"/>
      <c r="N492" s="448"/>
    </row>
    <row r="493" spans="5:14">
      <c r="E493" s="448"/>
      <c r="N493" s="448"/>
    </row>
    <row r="494" spans="5:14">
      <c r="E494" s="448"/>
      <c r="N494" s="448"/>
    </row>
    <row r="495" spans="5:14">
      <c r="E495" s="448"/>
      <c r="N495" s="448"/>
    </row>
    <row r="496" spans="5:14">
      <c r="E496" s="448"/>
      <c r="N496" s="448"/>
    </row>
    <row r="497" spans="5:14">
      <c r="E497" s="448"/>
      <c r="N497" s="448"/>
    </row>
    <row r="498" spans="5:14">
      <c r="E498" s="448"/>
      <c r="N498" s="448"/>
    </row>
    <row r="499" spans="5:14">
      <c r="E499" s="448"/>
      <c r="N499" s="448"/>
    </row>
    <row r="500" spans="5:14">
      <c r="E500" s="448"/>
      <c r="N500" s="448"/>
    </row>
    <row r="501" spans="5:14">
      <c r="E501" s="448"/>
      <c r="N501" s="448"/>
    </row>
    <row r="502" spans="5:14">
      <c r="E502" s="448"/>
      <c r="N502" s="448"/>
    </row>
    <row r="503" spans="5:14">
      <c r="E503" s="448"/>
      <c r="N503" s="448"/>
    </row>
    <row r="504" spans="5:14">
      <c r="E504" s="448"/>
      <c r="N504" s="448"/>
    </row>
    <row r="505" spans="5:14">
      <c r="E505" s="448"/>
      <c r="N505" s="448"/>
    </row>
    <row r="506" spans="5:14">
      <c r="E506" s="448"/>
      <c r="N506" s="448"/>
    </row>
    <row r="507" spans="5:14">
      <c r="E507" s="448"/>
      <c r="N507" s="448"/>
    </row>
    <row r="508" spans="5:14">
      <c r="E508" s="448"/>
      <c r="N508" s="448"/>
    </row>
    <row r="509" spans="5:14">
      <c r="E509" s="448"/>
      <c r="N509" s="448"/>
    </row>
    <row r="510" spans="5:14">
      <c r="E510" s="448"/>
      <c r="N510" s="448"/>
    </row>
    <row r="511" spans="5:14">
      <c r="E511" s="448"/>
      <c r="N511" s="448"/>
    </row>
    <row r="512" spans="5:14">
      <c r="E512" s="448"/>
      <c r="N512" s="448"/>
    </row>
    <row r="513" spans="5:14">
      <c r="E513" s="448"/>
      <c r="N513" s="448"/>
    </row>
    <row r="514" spans="5:14">
      <c r="E514" s="448"/>
      <c r="N514" s="448"/>
    </row>
    <row r="515" spans="5:14">
      <c r="E515" s="448"/>
      <c r="N515" s="448"/>
    </row>
    <row r="516" spans="5:14">
      <c r="E516" s="448"/>
      <c r="N516" s="448"/>
    </row>
    <row r="517" spans="5:14">
      <c r="E517" s="448"/>
      <c r="N517" s="448"/>
    </row>
    <row r="518" spans="5:14">
      <c r="E518" s="448"/>
      <c r="N518" s="448"/>
    </row>
    <row r="519" spans="5:14">
      <c r="E519" s="448"/>
      <c r="N519" s="448"/>
    </row>
    <row r="520" spans="5:14">
      <c r="E520" s="448"/>
      <c r="N520" s="448"/>
    </row>
    <row r="521" spans="5:14">
      <c r="E521" s="448"/>
      <c r="N521" s="448"/>
    </row>
    <row r="522" spans="5:14">
      <c r="E522" s="448"/>
      <c r="N522" s="448"/>
    </row>
    <row r="523" spans="5:14">
      <c r="E523" s="448"/>
      <c r="N523" s="448"/>
    </row>
    <row r="524" spans="5:14">
      <c r="E524" s="448"/>
      <c r="N524" s="448"/>
    </row>
    <row r="525" spans="5:14">
      <c r="E525" s="448"/>
      <c r="N525" s="448"/>
    </row>
    <row r="526" spans="5:14">
      <c r="E526" s="448"/>
      <c r="N526" s="448"/>
    </row>
    <row r="527" spans="5:14">
      <c r="E527" s="448"/>
      <c r="N527" s="448"/>
    </row>
    <row r="528" spans="5:14">
      <c r="E528" s="448"/>
      <c r="N528" s="448"/>
    </row>
    <row r="529" spans="1:25">
      <c r="E529" s="448"/>
      <c r="N529" s="448"/>
    </row>
    <row r="530" spans="1:25">
      <c r="E530" s="448"/>
      <c r="N530" s="448"/>
    </row>
    <row r="531" spans="1:25">
      <c r="E531" s="448"/>
      <c r="N531" s="448"/>
    </row>
    <row r="532" spans="1:25">
      <c r="E532" s="448"/>
      <c r="N532" s="448"/>
    </row>
    <row r="533" spans="1:25">
      <c r="E533" s="448"/>
      <c r="N533" s="448"/>
    </row>
    <row r="534" spans="1:25">
      <c r="E534" s="448"/>
      <c r="N534" s="448"/>
    </row>
    <row r="535" spans="1:25">
      <c r="E535" s="448"/>
      <c r="N535" s="448"/>
    </row>
    <row r="536" spans="1:25" ht="13.5" thickBot="1">
      <c r="E536" s="448"/>
      <c r="N536" s="448"/>
    </row>
    <row r="537" spans="1:25" ht="33.75">
      <c r="A537" s="589"/>
      <c r="B537" s="590" t="s">
        <v>83</v>
      </c>
      <c r="C537" s="590"/>
      <c r="D537" s="591"/>
      <c r="E537" s="591"/>
      <c r="F537" s="591"/>
      <c r="G537" s="591"/>
      <c r="H537" s="591"/>
      <c r="I537" s="591"/>
      <c r="J537" s="591"/>
      <c r="K537" s="591"/>
      <c r="L537" s="591"/>
      <c r="M537" s="591"/>
      <c r="N537" s="591"/>
      <c r="O537" s="591"/>
      <c r="P537" s="591"/>
      <c r="Q537" s="591"/>
      <c r="R537" s="591"/>
      <c r="S537" s="591"/>
      <c r="T537" s="591"/>
      <c r="U537" s="591"/>
      <c r="V537" s="591"/>
      <c r="W537" s="591"/>
      <c r="X537" s="591"/>
      <c r="Y537" s="595"/>
    </row>
    <row r="538" spans="1:25">
      <c r="A538" s="596"/>
      <c r="E538" s="448"/>
      <c r="N538" s="448"/>
      <c r="Y538" s="597"/>
    </row>
    <row r="539" spans="1:25">
      <c r="A539" s="596"/>
      <c r="E539" s="448"/>
      <c r="N539" s="448"/>
      <c r="Y539" s="597"/>
    </row>
    <row r="540" spans="1:25">
      <c r="A540" s="596"/>
      <c r="E540" s="448"/>
      <c r="N540" s="448"/>
      <c r="Y540" s="597"/>
    </row>
    <row r="541" spans="1:25">
      <c r="A541" s="596"/>
      <c r="E541" s="448"/>
      <c r="N541" s="448"/>
      <c r="Y541" s="597"/>
    </row>
    <row r="542" spans="1:25">
      <c r="A542" s="596"/>
      <c r="E542" s="448"/>
      <c r="N542" s="448"/>
      <c r="Y542" s="597"/>
    </row>
    <row r="543" spans="1:25">
      <c r="A543" s="596"/>
      <c r="E543" s="448"/>
      <c r="N543" s="448"/>
      <c r="Y543" s="597"/>
    </row>
    <row r="544" spans="1:25">
      <c r="A544" s="596"/>
      <c r="E544" s="448"/>
      <c r="N544" s="448"/>
      <c r="Y544" s="597"/>
    </row>
    <row r="545" spans="1:25">
      <c r="A545" s="596"/>
      <c r="E545" s="448"/>
      <c r="N545" s="448"/>
      <c r="Y545" s="597"/>
    </row>
    <row r="546" spans="1:25">
      <c r="A546" s="596"/>
      <c r="E546" s="448"/>
      <c r="N546" s="448"/>
      <c r="Y546" s="597"/>
    </row>
    <row r="547" spans="1:25">
      <c r="A547" s="596"/>
      <c r="E547" s="448"/>
      <c r="N547" s="448"/>
      <c r="Y547" s="597"/>
    </row>
    <row r="548" spans="1:25" ht="13.5" thickBot="1">
      <c r="A548" s="598"/>
      <c r="B548" s="599"/>
      <c r="C548" s="599"/>
      <c r="D548" s="599"/>
      <c r="E548" s="599"/>
      <c r="F548" s="599"/>
      <c r="G548" s="599"/>
      <c r="H548" s="599"/>
      <c r="I548" s="599"/>
      <c r="J548" s="599"/>
      <c r="K548" s="599"/>
      <c r="L548" s="599"/>
      <c r="M548" s="599"/>
      <c r="N548" s="599"/>
      <c r="O548" s="599"/>
      <c r="P548" s="599"/>
      <c r="Q548" s="599"/>
      <c r="R548" s="599"/>
      <c r="S548" s="599"/>
      <c r="T548" s="599"/>
      <c r="U548" s="599"/>
      <c r="V548" s="599"/>
      <c r="W548" s="599"/>
      <c r="X548" s="599"/>
      <c r="Y548" s="603"/>
    </row>
    <row r="549" spans="1:25">
      <c r="E549" s="448"/>
      <c r="N549" s="448"/>
    </row>
    <row r="550" spans="1:25">
      <c r="E550" s="448"/>
      <c r="N550" s="448"/>
    </row>
    <row r="551" spans="1:25">
      <c r="E551" s="448"/>
      <c r="N551" s="448"/>
    </row>
    <row r="552" spans="1:25">
      <c r="E552" s="448"/>
      <c r="N552" s="448"/>
    </row>
    <row r="553" spans="1:25">
      <c r="E553" s="448"/>
      <c r="N553" s="448"/>
    </row>
    <row r="554" spans="1:25">
      <c r="E554" s="448"/>
      <c r="N554" s="448"/>
    </row>
    <row r="555" spans="1:25">
      <c r="E555" s="448"/>
      <c r="N555" s="448"/>
    </row>
    <row r="556" spans="1:25">
      <c r="E556" s="448"/>
      <c r="N556" s="448"/>
    </row>
    <row r="557" spans="1:25">
      <c r="E557" s="448"/>
      <c r="N557" s="448"/>
    </row>
    <row r="558" spans="1:25">
      <c r="E558" s="448"/>
      <c r="N558" s="448"/>
    </row>
    <row r="559" spans="1:25">
      <c r="E559" s="448"/>
      <c r="N559" s="448"/>
    </row>
    <row r="560" spans="1:25">
      <c r="E560" s="448"/>
      <c r="N560" s="448"/>
    </row>
    <row r="561" spans="5:14">
      <c r="E561" s="448"/>
      <c r="N561" s="448"/>
    </row>
    <row r="562" spans="5:14">
      <c r="E562" s="448"/>
      <c r="N562" s="448"/>
    </row>
    <row r="563" spans="5:14">
      <c r="E563" s="448"/>
      <c r="N563" s="448"/>
    </row>
    <row r="564" spans="5:14">
      <c r="E564" s="448"/>
      <c r="N564" s="448"/>
    </row>
    <row r="565" spans="5:14">
      <c r="E565" s="448"/>
      <c r="N565" s="448"/>
    </row>
    <row r="566" spans="5:14">
      <c r="E566" s="448"/>
      <c r="N566" s="448"/>
    </row>
    <row r="567" spans="5:14">
      <c r="E567" s="448"/>
      <c r="N567" s="448"/>
    </row>
    <row r="568" spans="5:14">
      <c r="E568" s="448"/>
      <c r="N568" s="448"/>
    </row>
    <row r="569" spans="5:14">
      <c r="E569" s="448"/>
      <c r="N569" s="448"/>
    </row>
    <row r="570" spans="5:14">
      <c r="E570" s="448"/>
      <c r="N570" s="448"/>
    </row>
    <row r="571" spans="5:14">
      <c r="E571" s="448"/>
      <c r="N571" s="448"/>
    </row>
    <row r="572" spans="5:14">
      <c r="E572" s="448"/>
      <c r="N572" s="448"/>
    </row>
    <row r="573" spans="5:14">
      <c r="E573" s="448"/>
      <c r="N573" s="448"/>
    </row>
    <row r="574" spans="5:14">
      <c r="E574" s="448"/>
      <c r="N574" s="448"/>
    </row>
    <row r="575" spans="5:14">
      <c r="E575" s="448"/>
      <c r="N575" s="448"/>
    </row>
    <row r="576" spans="5:14">
      <c r="E576" s="448"/>
      <c r="N576" s="448"/>
    </row>
    <row r="577" spans="5:14">
      <c r="E577" s="448"/>
      <c r="N577" s="448"/>
    </row>
    <row r="578" spans="5:14">
      <c r="E578" s="448"/>
      <c r="N578" s="448"/>
    </row>
    <row r="579" spans="5:14">
      <c r="E579" s="448"/>
      <c r="N579" s="448"/>
    </row>
    <row r="580" spans="5:14">
      <c r="E580" s="448"/>
      <c r="N580" s="448"/>
    </row>
    <row r="581" spans="5:14">
      <c r="E581" s="448"/>
      <c r="N581" s="448"/>
    </row>
    <row r="582" spans="5:14">
      <c r="E582" s="448"/>
      <c r="N582" s="448"/>
    </row>
    <row r="583" spans="5:14">
      <c r="E583" s="448"/>
      <c r="N583" s="448"/>
    </row>
    <row r="584" spans="5:14">
      <c r="E584" s="448"/>
      <c r="N584" s="448"/>
    </row>
    <row r="585" spans="5:14">
      <c r="E585" s="448"/>
      <c r="N585" s="448"/>
    </row>
    <row r="586" spans="5:14">
      <c r="E586" s="448"/>
      <c r="N586" s="448"/>
    </row>
    <row r="587" spans="5:14">
      <c r="E587" s="448"/>
      <c r="N587" s="448"/>
    </row>
    <row r="588" spans="5:14">
      <c r="E588" s="448"/>
      <c r="N588" s="448"/>
    </row>
    <row r="589" spans="5:14">
      <c r="E589" s="448"/>
      <c r="N589" s="448"/>
    </row>
    <row r="590" spans="5:14">
      <c r="E590" s="448"/>
      <c r="N590" s="448"/>
    </row>
    <row r="591" spans="5:14">
      <c r="E591" s="448"/>
      <c r="N591" s="448"/>
    </row>
    <row r="592" spans="5:14">
      <c r="E592" s="448"/>
      <c r="N592" s="448"/>
    </row>
    <row r="593" spans="5:14">
      <c r="E593" s="448"/>
      <c r="N593" s="448"/>
    </row>
    <row r="594" spans="5:14">
      <c r="E594" s="448"/>
      <c r="N594" s="448"/>
    </row>
    <row r="595" spans="5:14">
      <c r="E595" s="448"/>
      <c r="N595" s="448"/>
    </row>
    <row r="596" spans="5:14">
      <c r="E596" s="448"/>
      <c r="N596" s="448"/>
    </row>
    <row r="597" spans="5:14">
      <c r="E597" s="448"/>
      <c r="N597" s="448"/>
    </row>
    <row r="598" spans="5:14">
      <c r="E598" s="448"/>
      <c r="N598" s="448"/>
    </row>
    <row r="599" spans="5:14">
      <c r="E599" s="448"/>
      <c r="N599" s="448"/>
    </row>
    <row r="600" spans="5:14">
      <c r="E600" s="448"/>
      <c r="N600" s="448"/>
    </row>
    <row r="601" spans="5:14">
      <c r="E601" s="448"/>
      <c r="N601" s="448"/>
    </row>
    <row r="602" spans="5:14">
      <c r="E602" s="448"/>
      <c r="N602" s="448"/>
    </row>
    <row r="603" spans="5:14">
      <c r="E603" s="448"/>
      <c r="N603" s="448"/>
    </row>
    <row r="604" spans="5:14">
      <c r="E604" s="448"/>
      <c r="N604" s="448"/>
    </row>
    <row r="605" spans="5:14">
      <c r="E605" s="448"/>
      <c r="N605" s="448"/>
    </row>
    <row r="606" spans="5:14">
      <c r="E606" s="448"/>
      <c r="N606" s="448"/>
    </row>
    <row r="607" spans="5:14">
      <c r="E607" s="448"/>
      <c r="N607" s="448"/>
    </row>
    <row r="608" spans="5:14">
      <c r="E608" s="448"/>
      <c r="N608" s="448"/>
    </row>
    <row r="609" spans="5:14">
      <c r="E609" s="448"/>
      <c r="N609" s="448"/>
    </row>
    <row r="610" spans="5:14">
      <c r="E610" s="448"/>
      <c r="N610" s="448"/>
    </row>
    <row r="611" spans="5:14">
      <c r="E611" s="448"/>
      <c r="N611" s="448"/>
    </row>
    <row r="612" spans="5:14">
      <c r="E612" s="448"/>
      <c r="N612" s="448"/>
    </row>
    <row r="613" spans="5:14">
      <c r="E613" s="448"/>
      <c r="N613" s="448"/>
    </row>
    <row r="614" spans="5:14">
      <c r="E614" s="448"/>
      <c r="N614" s="448"/>
    </row>
    <row r="615" spans="5:14">
      <c r="E615" s="448"/>
      <c r="N615" s="448"/>
    </row>
    <row r="616" spans="5:14">
      <c r="E616" s="448"/>
      <c r="N616" s="448"/>
    </row>
    <row r="617" spans="5:14">
      <c r="E617" s="448"/>
      <c r="N617" s="448"/>
    </row>
    <row r="618" spans="5:14">
      <c r="E618" s="448"/>
      <c r="N618" s="448"/>
    </row>
    <row r="619" spans="5:14">
      <c r="E619" s="448"/>
      <c r="N619" s="448"/>
    </row>
    <row r="620" spans="5:14">
      <c r="E620" s="448"/>
      <c r="N620" s="448"/>
    </row>
    <row r="621" spans="5:14">
      <c r="E621" s="448"/>
      <c r="N621" s="448"/>
    </row>
    <row r="622" spans="5:14">
      <c r="E622" s="448"/>
      <c r="N622" s="448"/>
    </row>
    <row r="623" spans="5:14">
      <c r="E623" s="448"/>
      <c r="N623" s="448"/>
    </row>
    <row r="624" spans="5:14">
      <c r="E624" s="448"/>
      <c r="N624" s="448"/>
    </row>
    <row r="625" spans="5:14">
      <c r="E625" s="448"/>
      <c r="N625" s="448"/>
    </row>
    <row r="626" spans="5:14">
      <c r="E626" s="448"/>
      <c r="N626" s="448"/>
    </row>
    <row r="627" spans="5:14">
      <c r="E627" s="448"/>
      <c r="N627" s="448"/>
    </row>
    <row r="628" spans="5:14">
      <c r="E628" s="448"/>
      <c r="N628" s="448"/>
    </row>
    <row r="629" spans="5:14">
      <c r="E629" s="448"/>
      <c r="N629" s="448"/>
    </row>
    <row r="630" spans="5:14">
      <c r="E630" s="448"/>
      <c r="N630" s="448"/>
    </row>
    <row r="631" spans="5:14">
      <c r="E631" s="448"/>
      <c r="N631" s="448"/>
    </row>
    <row r="632" spans="5:14">
      <c r="E632" s="448"/>
      <c r="N632" s="448"/>
    </row>
    <row r="633" spans="5:14">
      <c r="E633" s="448"/>
      <c r="N633" s="448"/>
    </row>
    <row r="634" spans="5:14">
      <c r="E634" s="448"/>
      <c r="N634" s="448"/>
    </row>
    <row r="635" spans="5:14">
      <c r="E635" s="448"/>
      <c r="N635" s="448"/>
    </row>
    <row r="636" spans="5:14">
      <c r="E636" s="448"/>
      <c r="N636" s="448"/>
    </row>
    <row r="637" spans="5:14">
      <c r="E637" s="448"/>
      <c r="N637" s="448"/>
    </row>
    <row r="638" spans="5:14">
      <c r="E638" s="448"/>
      <c r="N638" s="448"/>
    </row>
    <row r="639" spans="5:14">
      <c r="E639" s="448"/>
      <c r="N639" s="448"/>
    </row>
    <row r="640" spans="5:14">
      <c r="E640" s="448"/>
      <c r="N640" s="448"/>
    </row>
    <row r="641" spans="5:14">
      <c r="E641" s="448"/>
      <c r="N641" s="448"/>
    </row>
    <row r="642" spans="5:14">
      <c r="E642" s="448"/>
      <c r="N642" s="448"/>
    </row>
    <row r="643" spans="5:14">
      <c r="E643" s="448"/>
      <c r="N643" s="448"/>
    </row>
    <row r="644" spans="5:14">
      <c r="E644" s="448"/>
      <c r="N644" s="448"/>
    </row>
    <row r="645" spans="5:14">
      <c r="E645" s="448"/>
      <c r="N645" s="448"/>
    </row>
    <row r="646" spans="5:14">
      <c r="E646" s="448"/>
      <c r="N646" s="448"/>
    </row>
    <row r="647" spans="5:14">
      <c r="E647" s="448"/>
      <c r="N647" s="448"/>
    </row>
    <row r="648" spans="5:14">
      <c r="E648" s="448"/>
      <c r="N648" s="448"/>
    </row>
    <row r="649" spans="5:14">
      <c r="E649" s="448"/>
      <c r="N649" s="448"/>
    </row>
    <row r="650" spans="5:14">
      <c r="E650" s="448"/>
      <c r="N650" s="448"/>
    </row>
    <row r="651" spans="5:14">
      <c r="E651" s="448"/>
      <c r="N651" s="448"/>
    </row>
    <row r="652" spans="5:14">
      <c r="E652" s="448"/>
      <c r="N652" s="448"/>
    </row>
    <row r="653" spans="5:14">
      <c r="E653" s="448"/>
      <c r="N653" s="448"/>
    </row>
    <row r="654" spans="5:14">
      <c r="E654" s="448"/>
      <c r="N654" s="448"/>
    </row>
    <row r="655" spans="5:14">
      <c r="E655" s="448"/>
      <c r="N655" s="448"/>
    </row>
    <row r="656" spans="5:14">
      <c r="E656" s="448"/>
      <c r="N656" s="448"/>
    </row>
    <row r="657" spans="5:14">
      <c r="E657" s="448"/>
      <c r="N657" s="448"/>
    </row>
    <row r="658" spans="5:14">
      <c r="E658" s="448"/>
      <c r="N658" s="448"/>
    </row>
    <row r="659" spans="5:14">
      <c r="E659" s="448"/>
      <c r="N659" s="448"/>
    </row>
    <row r="660" spans="5:14">
      <c r="E660" s="448"/>
      <c r="N660" s="448"/>
    </row>
    <row r="661" spans="5:14">
      <c r="E661" s="448"/>
      <c r="N661" s="448"/>
    </row>
    <row r="662" spans="5:14">
      <c r="E662" s="448"/>
      <c r="N662" s="448"/>
    </row>
    <row r="663" spans="5:14">
      <c r="E663" s="448"/>
      <c r="N663" s="448"/>
    </row>
    <row r="664" spans="5:14">
      <c r="E664" s="448"/>
      <c r="N664" s="448"/>
    </row>
    <row r="665" spans="5:14">
      <c r="E665" s="448"/>
      <c r="N665" s="448"/>
    </row>
    <row r="666" spans="5:14">
      <c r="E666" s="448"/>
      <c r="N666" s="448"/>
    </row>
    <row r="667" spans="5:14">
      <c r="E667" s="448"/>
      <c r="N667" s="448"/>
    </row>
    <row r="668" spans="5:14">
      <c r="E668" s="448"/>
      <c r="N668" s="448"/>
    </row>
    <row r="669" spans="5:14">
      <c r="E669" s="448"/>
      <c r="N669" s="448"/>
    </row>
    <row r="670" spans="5:14">
      <c r="E670" s="448"/>
      <c r="N670" s="448"/>
    </row>
    <row r="671" spans="5:14">
      <c r="E671" s="448"/>
      <c r="N671" s="448"/>
    </row>
    <row r="672" spans="5:14">
      <c r="E672" s="448"/>
      <c r="N672" s="448"/>
    </row>
    <row r="673" spans="5:14">
      <c r="E673" s="448"/>
      <c r="N673" s="448"/>
    </row>
    <row r="674" spans="5:14">
      <c r="E674" s="448"/>
      <c r="N674" s="448"/>
    </row>
    <row r="675" spans="5:14">
      <c r="E675" s="448"/>
      <c r="N675" s="448"/>
    </row>
    <row r="676" spans="5:14">
      <c r="E676" s="448"/>
      <c r="N676" s="448"/>
    </row>
    <row r="677" spans="5:14">
      <c r="E677" s="448"/>
      <c r="N677" s="448"/>
    </row>
    <row r="678" spans="5:14">
      <c r="E678" s="448"/>
      <c r="N678" s="448"/>
    </row>
    <row r="679" spans="5:14">
      <c r="E679" s="448"/>
      <c r="N679" s="448"/>
    </row>
    <row r="680" spans="5:14">
      <c r="E680" s="448"/>
      <c r="N680" s="448"/>
    </row>
    <row r="681" spans="5:14">
      <c r="E681" s="448"/>
      <c r="N681" s="448"/>
    </row>
    <row r="682" spans="5:14">
      <c r="E682" s="448"/>
      <c r="N682" s="448"/>
    </row>
    <row r="683" spans="5:14">
      <c r="E683" s="448"/>
      <c r="N683" s="448"/>
    </row>
    <row r="684" spans="5:14">
      <c r="E684" s="448"/>
      <c r="N684" s="448"/>
    </row>
    <row r="685" spans="5:14">
      <c r="E685" s="448"/>
      <c r="N685" s="448"/>
    </row>
    <row r="686" spans="5:14">
      <c r="E686" s="448"/>
      <c r="N686" s="448"/>
    </row>
    <row r="687" spans="5:14">
      <c r="E687" s="448"/>
      <c r="N687" s="448"/>
    </row>
    <row r="688" spans="5:14">
      <c r="E688" s="448"/>
      <c r="N688" s="448"/>
    </row>
    <row r="689" spans="5:14">
      <c r="E689" s="448"/>
      <c r="N689" s="448"/>
    </row>
    <row r="690" spans="5:14">
      <c r="E690" s="448"/>
      <c r="N690" s="448"/>
    </row>
    <row r="691" spans="5:14">
      <c r="E691" s="448"/>
      <c r="N691" s="448"/>
    </row>
    <row r="692" spans="5:14">
      <c r="E692" s="448"/>
      <c r="N692" s="448"/>
    </row>
    <row r="693" spans="5:14">
      <c r="E693" s="448"/>
      <c r="N693" s="448"/>
    </row>
    <row r="694" spans="5:14">
      <c r="E694" s="448"/>
      <c r="N694" s="448"/>
    </row>
    <row r="695" spans="5:14">
      <c r="E695" s="448"/>
      <c r="N695" s="448"/>
    </row>
    <row r="696" spans="5:14">
      <c r="E696" s="448"/>
      <c r="N696" s="448"/>
    </row>
    <row r="697" spans="5:14">
      <c r="E697" s="448"/>
      <c r="N697" s="448"/>
    </row>
    <row r="698" spans="5:14">
      <c r="E698" s="448"/>
      <c r="N698" s="448"/>
    </row>
    <row r="699" spans="5:14">
      <c r="E699" s="448"/>
      <c r="N699" s="448"/>
    </row>
    <row r="700" spans="5:14">
      <c r="E700" s="448"/>
      <c r="N700" s="448"/>
    </row>
    <row r="701" spans="5:14">
      <c r="E701" s="448"/>
      <c r="N701" s="448"/>
    </row>
    <row r="702" spans="5:14">
      <c r="E702" s="448"/>
      <c r="N702" s="448"/>
    </row>
    <row r="703" spans="5:14">
      <c r="E703" s="448"/>
      <c r="N703" s="448"/>
    </row>
    <row r="704" spans="5:14">
      <c r="E704" s="448"/>
      <c r="N704" s="448"/>
    </row>
    <row r="705" spans="5:14">
      <c r="E705" s="448"/>
      <c r="N705" s="448"/>
    </row>
    <row r="706" spans="5:14">
      <c r="E706" s="448"/>
      <c r="N706" s="448"/>
    </row>
    <row r="707" spans="5:14">
      <c r="E707" s="448"/>
      <c r="N707" s="448"/>
    </row>
    <row r="708" spans="5:14">
      <c r="E708" s="448"/>
      <c r="N708" s="448"/>
    </row>
    <row r="709" spans="5:14">
      <c r="E709" s="448"/>
      <c r="N709" s="448"/>
    </row>
    <row r="710" spans="5:14">
      <c r="E710" s="448"/>
      <c r="N710" s="448"/>
    </row>
    <row r="711" spans="5:14">
      <c r="E711" s="448"/>
      <c r="N711" s="448"/>
    </row>
    <row r="712" spans="5:14">
      <c r="E712" s="448"/>
      <c r="N712" s="448"/>
    </row>
    <row r="713" spans="5:14">
      <c r="E713" s="448"/>
      <c r="N713" s="448"/>
    </row>
    <row r="714" spans="5:14">
      <c r="E714" s="448"/>
      <c r="N714" s="448"/>
    </row>
    <row r="715" spans="5:14">
      <c r="E715" s="448"/>
      <c r="N715" s="448"/>
    </row>
    <row r="716" spans="5:14">
      <c r="E716" s="448"/>
      <c r="N716" s="448"/>
    </row>
    <row r="717" spans="5:14">
      <c r="E717" s="448"/>
      <c r="N717" s="448"/>
    </row>
    <row r="718" spans="5:14">
      <c r="E718" s="448"/>
      <c r="N718" s="448"/>
    </row>
    <row r="719" spans="5:14">
      <c r="E719" s="448"/>
      <c r="N719" s="448"/>
    </row>
    <row r="720" spans="5:14">
      <c r="E720" s="448"/>
      <c r="N720" s="448"/>
    </row>
    <row r="721" spans="5:14">
      <c r="E721" s="448"/>
      <c r="N721" s="448"/>
    </row>
    <row r="722" spans="5:14">
      <c r="E722" s="448"/>
      <c r="N722" s="448"/>
    </row>
    <row r="723" spans="5:14">
      <c r="E723" s="448"/>
      <c r="N723" s="448"/>
    </row>
    <row r="724" spans="5:14">
      <c r="E724" s="448"/>
      <c r="N724" s="448"/>
    </row>
    <row r="725" spans="5:14">
      <c r="E725" s="448"/>
      <c r="N725" s="448"/>
    </row>
    <row r="726" spans="5:14">
      <c r="E726" s="448"/>
      <c r="N726" s="448"/>
    </row>
    <row r="727" spans="5:14">
      <c r="E727" s="448"/>
      <c r="N727" s="448"/>
    </row>
    <row r="728" spans="5:14">
      <c r="E728" s="448"/>
      <c r="N728" s="448"/>
    </row>
    <row r="729" spans="5:14">
      <c r="E729" s="448"/>
      <c r="N729" s="448"/>
    </row>
    <row r="730" spans="5:14">
      <c r="E730" s="448"/>
      <c r="N730" s="448"/>
    </row>
    <row r="731" spans="5:14">
      <c r="E731" s="448"/>
      <c r="N731" s="448"/>
    </row>
    <row r="732" spans="5:14">
      <c r="E732" s="448"/>
      <c r="N732" s="448"/>
    </row>
    <row r="733" spans="5:14">
      <c r="E733" s="448"/>
      <c r="N733" s="448"/>
    </row>
    <row r="734" spans="5:14">
      <c r="E734" s="448"/>
      <c r="N734" s="448"/>
    </row>
    <row r="735" spans="5:14">
      <c r="E735" s="448"/>
      <c r="N735" s="448"/>
    </row>
    <row r="736" spans="5:14">
      <c r="E736" s="448"/>
      <c r="N736" s="448"/>
    </row>
    <row r="737" spans="5:14">
      <c r="E737" s="448"/>
      <c r="N737" s="448"/>
    </row>
    <row r="738" spans="5:14">
      <c r="E738" s="448"/>
      <c r="N738" s="448"/>
    </row>
    <row r="739" spans="5:14">
      <c r="E739" s="448"/>
      <c r="N739" s="448"/>
    </row>
    <row r="740" spans="5:14">
      <c r="E740" s="448"/>
      <c r="N740" s="448"/>
    </row>
    <row r="741" spans="5:14">
      <c r="E741" s="448"/>
      <c r="N741" s="448"/>
    </row>
    <row r="742" spans="5:14">
      <c r="E742" s="448"/>
      <c r="N742" s="448"/>
    </row>
    <row r="743" spans="5:14">
      <c r="E743" s="448"/>
      <c r="N743" s="448"/>
    </row>
    <row r="744" spans="5:14">
      <c r="E744" s="448"/>
      <c r="N744" s="448"/>
    </row>
    <row r="745" spans="5:14">
      <c r="E745" s="448"/>
      <c r="N745" s="448"/>
    </row>
    <row r="746" spans="5:14">
      <c r="E746" s="448"/>
      <c r="N746" s="448"/>
    </row>
    <row r="747" spans="5:14">
      <c r="E747" s="448"/>
      <c r="N747" s="448"/>
    </row>
    <row r="748" spans="5:14">
      <c r="E748" s="448"/>
      <c r="N748" s="448"/>
    </row>
    <row r="749" spans="5:14">
      <c r="E749" s="448"/>
      <c r="N749" s="448"/>
    </row>
    <row r="750" spans="5:14">
      <c r="E750" s="448"/>
      <c r="N750" s="448"/>
    </row>
    <row r="751" spans="5:14">
      <c r="E751" s="448"/>
      <c r="N751" s="448"/>
    </row>
    <row r="752" spans="5:14">
      <c r="E752" s="448"/>
      <c r="N752" s="448"/>
    </row>
    <row r="753" spans="5:14">
      <c r="E753" s="448"/>
      <c r="N753" s="448"/>
    </row>
    <row r="754" spans="5:14">
      <c r="E754" s="448"/>
      <c r="N754" s="448"/>
    </row>
    <row r="755" spans="5:14">
      <c r="E755" s="448"/>
      <c r="N755" s="448"/>
    </row>
    <row r="756" spans="5:14">
      <c r="E756" s="448"/>
      <c r="N756" s="448"/>
    </row>
    <row r="757" spans="5:14">
      <c r="E757" s="448"/>
      <c r="N757" s="448"/>
    </row>
    <row r="758" spans="5:14">
      <c r="E758" s="448"/>
      <c r="N758" s="448"/>
    </row>
    <row r="759" spans="5:14">
      <c r="E759" s="448"/>
      <c r="N759" s="448"/>
    </row>
    <row r="760" spans="5:14">
      <c r="E760" s="448"/>
      <c r="N760" s="448"/>
    </row>
    <row r="761" spans="5:14">
      <c r="E761" s="448"/>
      <c r="N761" s="448"/>
    </row>
    <row r="762" spans="5:14">
      <c r="E762" s="448"/>
      <c r="N762" s="448"/>
    </row>
    <row r="763" spans="5:14">
      <c r="E763" s="448"/>
      <c r="N763" s="448"/>
    </row>
    <row r="764" spans="5:14">
      <c r="E764" s="448"/>
      <c r="N764" s="448"/>
    </row>
    <row r="765" spans="5:14">
      <c r="E765" s="448"/>
      <c r="N765" s="448"/>
    </row>
    <row r="766" spans="5:14">
      <c r="E766" s="448"/>
      <c r="N766" s="448"/>
    </row>
    <row r="767" spans="5:14">
      <c r="E767" s="448"/>
      <c r="N767" s="448"/>
    </row>
    <row r="768" spans="5:14">
      <c r="E768" s="448"/>
      <c r="N768" s="448"/>
    </row>
    <row r="769" spans="5:14">
      <c r="E769" s="448"/>
      <c r="N769" s="448"/>
    </row>
    <row r="770" spans="5:14">
      <c r="E770" s="448"/>
      <c r="N770" s="448"/>
    </row>
    <row r="771" spans="5:14">
      <c r="E771" s="448"/>
      <c r="N771" s="448"/>
    </row>
    <row r="772" spans="5:14">
      <c r="E772" s="448"/>
      <c r="N772" s="448"/>
    </row>
    <row r="773" spans="5:14">
      <c r="E773" s="448"/>
      <c r="N773" s="448"/>
    </row>
    <row r="774" spans="5:14">
      <c r="E774" s="448"/>
      <c r="N774" s="448"/>
    </row>
    <row r="775" spans="5:14">
      <c r="E775" s="448"/>
      <c r="N775" s="448"/>
    </row>
    <row r="776" spans="5:14">
      <c r="E776" s="448"/>
      <c r="N776" s="448"/>
    </row>
    <row r="777" spans="5:14">
      <c r="E777" s="448"/>
      <c r="N777" s="448"/>
    </row>
    <row r="778" spans="5:14">
      <c r="E778" s="448"/>
      <c r="N778" s="448"/>
    </row>
    <row r="779" spans="5:14">
      <c r="E779" s="448"/>
      <c r="N779" s="448"/>
    </row>
    <row r="780" spans="5:14">
      <c r="E780" s="448"/>
      <c r="N780" s="448"/>
    </row>
    <row r="781" spans="5:14">
      <c r="E781" s="448"/>
      <c r="N781" s="448"/>
    </row>
    <row r="782" spans="5:14">
      <c r="E782" s="448"/>
      <c r="N782" s="448"/>
    </row>
    <row r="783" spans="5:14">
      <c r="E783" s="448"/>
      <c r="N783" s="448"/>
    </row>
    <row r="784" spans="5:14">
      <c r="E784" s="448"/>
      <c r="N784" s="448"/>
    </row>
    <row r="785" spans="5:14">
      <c r="E785" s="448"/>
      <c r="N785" s="448"/>
    </row>
    <row r="786" spans="5:14">
      <c r="E786" s="448"/>
      <c r="N786" s="448"/>
    </row>
    <row r="787" spans="5:14">
      <c r="E787" s="448"/>
      <c r="N787" s="448"/>
    </row>
    <row r="788" spans="5:14">
      <c r="E788" s="448"/>
      <c r="N788" s="448"/>
    </row>
    <row r="789" spans="5:14">
      <c r="E789" s="448"/>
      <c r="N789" s="448"/>
    </row>
    <row r="790" spans="5:14">
      <c r="E790" s="448"/>
      <c r="N790" s="448"/>
    </row>
    <row r="791" spans="5:14">
      <c r="E791" s="448"/>
      <c r="N791" s="448"/>
    </row>
    <row r="792" spans="5:14">
      <c r="E792" s="448"/>
      <c r="N792" s="448"/>
    </row>
    <row r="793" spans="5:14">
      <c r="E793" s="448"/>
      <c r="N793" s="448"/>
    </row>
    <row r="794" spans="5:14">
      <c r="E794" s="448"/>
      <c r="N794" s="448"/>
    </row>
    <row r="795" spans="5:14">
      <c r="E795" s="448"/>
      <c r="N795" s="448"/>
    </row>
    <row r="796" spans="5:14">
      <c r="E796" s="448"/>
      <c r="N796" s="448"/>
    </row>
    <row r="797" spans="5:14">
      <c r="E797" s="448"/>
      <c r="N797" s="448"/>
    </row>
    <row r="798" spans="5:14">
      <c r="E798" s="448"/>
      <c r="N798" s="448"/>
    </row>
    <row r="799" spans="5:14">
      <c r="E799" s="448"/>
      <c r="N799" s="448"/>
    </row>
    <row r="800" spans="5:14">
      <c r="E800" s="448"/>
      <c r="N800" s="448"/>
    </row>
    <row r="801" spans="5:14">
      <c r="E801" s="448"/>
      <c r="N801" s="448"/>
    </row>
    <row r="802" spans="5:14">
      <c r="E802" s="448"/>
      <c r="N802" s="448"/>
    </row>
    <row r="803" spans="5:14">
      <c r="E803" s="448"/>
      <c r="N803" s="448"/>
    </row>
    <row r="804" spans="5:14">
      <c r="E804" s="448"/>
      <c r="N804" s="448"/>
    </row>
    <row r="805" spans="5:14">
      <c r="E805" s="448"/>
      <c r="N805" s="448"/>
    </row>
    <row r="806" spans="5:14">
      <c r="E806" s="448"/>
      <c r="N806" s="448"/>
    </row>
    <row r="807" spans="5:14">
      <c r="E807" s="448"/>
      <c r="N807" s="448"/>
    </row>
    <row r="808" spans="5:14">
      <c r="E808" s="448"/>
      <c r="N808" s="448"/>
    </row>
    <row r="809" spans="5:14">
      <c r="E809" s="448"/>
      <c r="N809" s="448"/>
    </row>
    <row r="810" spans="5:14">
      <c r="E810" s="448"/>
      <c r="N810" s="448"/>
    </row>
    <row r="811" spans="5:14">
      <c r="E811" s="448"/>
      <c r="N811" s="448"/>
    </row>
    <row r="812" spans="5:14">
      <c r="E812" s="448"/>
      <c r="N812" s="448"/>
    </row>
    <row r="813" spans="5:14">
      <c r="E813" s="448"/>
      <c r="N813" s="448"/>
    </row>
    <row r="814" spans="5:14">
      <c r="E814" s="448"/>
      <c r="N814" s="448"/>
    </row>
    <row r="815" spans="5:14">
      <c r="E815" s="448"/>
      <c r="N815" s="448"/>
    </row>
    <row r="816" spans="5:14">
      <c r="E816" s="448"/>
      <c r="N816" s="448"/>
    </row>
    <row r="817" spans="5:14">
      <c r="E817" s="448"/>
      <c r="N817" s="448"/>
    </row>
    <row r="818" spans="5:14">
      <c r="E818" s="448"/>
      <c r="N818" s="448"/>
    </row>
    <row r="819" spans="5:14">
      <c r="E819" s="448"/>
      <c r="N819" s="448"/>
    </row>
    <row r="820" spans="5:14">
      <c r="E820" s="448"/>
      <c r="N820" s="448"/>
    </row>
    <row r="821" spans="5:14">
      <c r="E821" s="448"/>
      <c r="N821" s="448"/>
    </row>
    <row r="822" spans="5:14">
      <c r="E822" s="448"/>
      <c r="N822" s="448"/>
    </row>
    <row r="823" spans="5:14">
      <c r="E823" s="448"/>
      <c r="N823" s="448"/>
    </row>
    <row r="824" spans="5:14">
      <c r="E824" s="448"/>
      <c r="N824" s="448"/>
    </row>
    <row r="825" spans="5:14">
      <c r="E825" s="448"/>
      <c r="N825" s="448"/>
    </row>
    <row r="826" spans="5:14">
      <c r="E826" s="448"/>
      <c r="N826" s="448"/>
    </row>
    <row r="827" spans="5:14">
      <c r="E827" s="448"/>
      <c r="N827" s="448"/>
    </row>
    <row r="828" spans="5:14">
      <c r="E828" s="448"/>
      <c r="N828" s="448"/>
    </row>
    <row r="829" spans="5:14">
      <c r="E829" s="448"/>
      <c r="N829" s="448"/>
    </row>
    <row r="830" spans="5:14">
      <c r="E830" s="448"/>
      <c r="N830" s="448"/>
    </row>
    <row r="831" spans="5:14">
      <c r="E831" s="448"/>
      <c r="N831" s="448"/>
    </row>
    <row r="832" spans="5:14">
      <c r="E832" s="448"/>
      <c r="N832" s="448"/>
    </row>
    <row r="833" spans="5:14">
      <c r="E833" s="448"/>
      <c r="N833" s="448"/>
    </row>
    <row r="834" spans="5:14">
      <c r="E834" s="448"/>
      <c r="N834" s="448"/>
    </row>
    <row r="835" spans="5:14">
      <c r="E835" s="448"/>
      <c r="N835" s="448"/>
    </row>
    <row r="836" spans="5:14">
      <c r="E836" s="448"/>
      <c r="N836" s="448"/>
    </row>
    <row r="837" spans="5:14">
      <c r="E837" s="448"/>
      <c r="N837" s="448"/>
    </row>
    <row r="838" spans="5:14">
      <c r="E838" s="448"/>
      <c r="N838" s="448"/>
    </row>
    <row r="839" spans="5:14">
      <c r="E839" s="448"/>
      <c r="N839" s="448"/>
    </row>
    <row r="840" spans="5:14">
      <c r="E840" s="448"/>
      <c r="N840" s="448"/>
    </row>
    <row r="841" spans="5:14">
      <c r="E841" s="448"/>
      <c r="N841" s="448"/>
    </row>
    <row r="842" spans="5:14">
      <c r="E842" s="448"/>
      <c r="N842" s="448"/>
    </row>
    <row r="843" spans="5:14">
      <c r="E843" s="448"/>
      <c r="N843" s="448"/>
    </row>
    <row r="844" spans="5:14">
      <c r="E844" s="448"/>
      <c r="N844" s="448"/>
    </row>
    <row r="845" spans="5:14">
      <c r="E845" s="448"/>
      <c r="N845" s="448"/>
    </row>
    <row r="846" spans="5:14">
      <c r="E846" s="448"/>
      <c r="N846" s="448"/>
    </row>
    <row r="847" spans="5:14">
      <c r="E847" s="448"/>
      <c r="N847" s="448"/>
    </row>
    <row r="848" spans="5:14">
      <c r="E848" s="448"/>
      <c r="N848" s="448"/>
    </row>
    <row r="849" spans="5:14">
      <c r="E849" s="448"/>
      <c r="N849" s="448"/>
    </row>
    <row r="850" spans="5:14">
      <c r="E850" s="448"/>
      <c r="N850" s="448"/>
    </row>
    <row r="851" spans="5:14">
      <c r="E851" s="448"/>
      <c r="N851" s="448"/>
    </row>
    <row r="852" spans="5:14">
      <c r="E852" s="448"/>
      <c r="N852" s="448"/>
    </row>
    <row r="853" spans="5:14">
      <c r="E853" s="448"/>
      <c r="N853" s="448"/>
    </row>
    <row r="854" spans="5:14">
      <c r="E854" s="448"/>
      <c r="N854" s="448"/>
    </row>
    <row r="855" spans="5:14">
      <c r="E855" s="448"/>
      <c r="N855" s="448"/>
    </row>
    <row r="856" spans="5:14">
      <c r="E856" s="448"/>
      <c r="N856" s="448"/>
    </row>
    <row r="857" spans="5:14">
      <c r="E857" s="448"/>
      <c r="N857" s="448"/>
    </row>
    <row r="858" spans="5:14">
      <c r="E858" s="448"/>
      <c r="N858" s="448"/>
    </row>
    <row r="859" spans="5:14">
      <c r="E859" s="448"/>
      <c r="N859" s="448"/>
    </row>
    <row r="860" spans="5:14">
      <c r="E860" s="448"/>
      <c r="N860" s="448"/>
    </row>
    <row r="861" spans="5:14">
      <c r="E861" s="448"/>
      <c r="N861" s="448"/>
    </row>
    <row r="862" spans="5:14">
      <c r="E862" s="448"/>
      <c r="N862" s="448"/>
    </row>
    <row r="863" spans="5:14">
      <c r="E863" s="448"/>
      <c r="N863" s="448"/>
    </row>
    <row r="864" spans="5:14">
      <c r="E864" s="448"/>
      <c r="N864" s="448"/>
    </row>
    <row r="865" spans="5:14">
      <c r="E865" s="448"/>
      <c r="N865" s="448"/>
    </row>
    <row r="866" spans="5:14">
      <c r="E866" s="448"/>
      <c r="N866" s="448"/>
    </row>
    <row r="867" spans="5:14">
      <c r="E867" s="448"/>
      <c r="N867" s="448"/>
    </row>
    <row r="868" spans="5:14">
      <c r="E868" s="448"/>
      <c r="N868" s="448"/>
    </row>
    <row r="869" spans="5:14">
      <c r="E869" s="448"/>
      <c r="N869" s="448"/>
    </row>
    <row r="870" spans="5:14">
      <c r="E870" s="448"/>
      <c r="N870" s="448"/>
    </row>
    <row r="871" spans="5:14">
      <c r="E871" s="448"/>
      <c r="N871" s="448"/>
    </row>
    <row r="872" spans="5:14">
      <c r="E872" s="448"/>
      <c r="N872" s="448"/>
    </row>
    <row r="873" spans="5:14">
      <c r="E873" s="448"/>
      <c r="N873" s="448"/>
    </row>
    <row r="874" spans="5:14">
      <c r="E874" s="448"/>
      <c r="N874" s="448"/>
    </row>
    <row r="875" spans="5:14">
      <c r="E875" s="448"/>
      <c r="N875" s="448"/>
    </row>
    <row r="876" spans="5:14">
      <c r="E876" s="448"/>
      <c r="N876" s="448"/>
    </row>
    <row r="877" spans="5:14">
      <c r="E877" s="448"/>
      <c r="N877" s="448"/>
    </row>
    <row r="878" spans="5:14">
      <c r="E878" s="448"/>
      <c r="N878" s="448"/>
    </row>
    <row r="879" spans="5:14">
      <c r="E879" s="448"/>
      <c r="N879" s="448"/>
    </row>
    <row r="880" spans="5:14">
      <c r="E880" s="448"/>
      <c r="N880" s="448"/>
    </row>
    <row r="881" spans="5:14">
      <c r="E881" s="448"/>
      <c r="N881" s="448"/>
    </row>
    <row r="882" spans="5:14">
      <c r="E882" s="448"/>
      <c r="N882" s="448"/>
    </row>
    <row r="883" spans="5:14">
      <c r="E883" s="448"/>
      <c r="N883" s="448"/>
    </row>
    <row r="884" spans="5:14">
      <c r="E884" s="448"/>
      <c r="N884" s="448"/>
    </row>
    <row r="885" spans="5:14">
      <c r="E885" s="448"/>
      <c r="N885" s="448"/>
    </row>
    <row r="886" spans="5:14">
      <c r="E886" s="448"/>
      <c r="N886" s="448"/>
    </row>
    <row r="887" spans="5:14">
      <c r="E887" s="448"/>
      <c r="N887" s="448"/>
    </row>
    <row r="888" spans="5:14">
      <c r="E888" s="448"/>
      <c r="N888" s="448"/>
    </row>
    <row r="889" spans="5:14">
      <c r="E889" s="448"/>
      <c r="N889" s="448"/>
    </row>
    <row r="890" spans="5:14">
      <c r="E890" s="448"/>
      <c r="N890" s="448"/>
    </row>
    <row r="891" spans="5:14">
      <c r="E891" s="448"/>
      <c r="N891" s="448"/>
    </row>
    <row r="892" spans="5:14">
      <c r="E892" s="448"/>
      <c r="N892" s="448"/>
    </row>
    <row r="893" spans="5:14">
      <c r="E893" s="448"/>
      <c r="N893" s="448"/>
    </row>
    <row r="894" spans="5:14">
      <c r="E894" s="448"/>
      <c r="N894" s="448"/>
    </row>
    <row r="895" spans="5:14">
      <c r="E895" s="448"/>
      <c r="N895" s="448"/>
    </row>
    <row r="896" spans="5:14">
      <c r="E896" s="448"/>
      <c r="N896" s="448"/>
    </row>
    <row r="897" spans="5:14">
      <c r="E897" s="448"/>
      <c r="N897" s="448"/>
    </row>
    <row r="898" spans="5:14">
      <c r="E898" s="448"/>
      <c r="N898" s="448"/>
    </row>
    <row r="899" spans="5:14">
      <c r="E899" s="448"/>
      <c r="N899" s="448"/>
    </row>
    <row r="900" spans="5:14">
      <c r="E900" s="448"/>
      <c r="N900" s="448"/>
    </row>
    <row r="901" spans="5:14">
      <c r="E901" s="448"/>
      <c r="N901" s="448"/>
    </row>
    <row r="902" spans="5:14">
      <c r="E902" s="448"/>
      <c r="N902" s="448"/>
    </row>
    <row r="903" spans="5:14">
      <c r="E903" s="448"/>
      <c r="N903" s="448"/>
    </row>
    <row r="904" spans="5:14">
      <c r="E904" s="448"/>
      <c r="N904" s="448"/>
    </row>
    <row r="905" spans="5:14">
      <c r="E905" s="448"/>
      <c r="N905" s="448"/>
    </row>
    <row r="906" spans="5:14">
      <c r="E906" s="448"/>
      <c r="N906" s="448"/>
    </row>
    <row r="907" spans="5:14">
      <c r="E907" s="448"/>
      <c r="N907" s="448"/>
    </row>
    <row r="908" spans="5:14">
      <c r="E908" s="448"/>
      <c r="N908" s="448"/>
    </row>
    <row r="909" spans="5:14">
      <c r="E909" s="448"/>
      <c r="N909" s="448"/>
    </row>
    <row r="910" spans="5:14">
      <c r="E910" s="448"/>
      <c r="N910" s="448"/>
    </row>
    <row r="911" spans="5:14">
      <c r="E911" s="448"/>
      <c r="N911" s="448"/>
    </row>
    <row r="912" spans="5:14">
      <c r="E912" s="448"/>
      <c r="N912" s="448"/>
    </row>
    <row r="913" spans="5:14">
      <c r="E913" s="448"/>
      <c r="N913" s="448"/>
    </row>
    <row r="914" spans="5:14">
      <c r="E914" s="448"/>
      <c r="N914" s="448"/>
    </row>
    <row r="915" spans="5:14">
      <c r="E915" s="448"/>
      <c r="N915" s="448"/>
    </row>
    <row r="916" spans="5:14">
      <c r="E916" s="448"/>
      <c r="N916" s="448"/>
    </row>
    <row r="917" spans="5:14">
      <c r="E917" s="448"/>
      <c r="N917" s="448"/>
    </row>
    <row r="918" spans="5:14">
      <c r="E918" s="448"/>
      <c r="N918" s="448"/>
    </row>
    <row r="919" spans="5:14">
      <c r="E919" s="448"/>
      <c r="N919" s="448"/>
    </row>
    <row r="920" spans="5:14">
      <c r="E920" s="448"/>
      <c r="N920" s="448"/>
    </row>
    <row r="921" spans="5:14">
      <c r="E921" s="448"/>
      <c r="N921" s="448"/>
    </row>
    <row r="922" spans="5:14">
      <c r="E922" s="448"/>
      <c r="N922" s="448"/>
    </row>
    <row r="923" spans="5:14">
      <c r="E923" s="448"/>
      <c r="N923" s="448"/>
    </row>
    <row r="924" spans="5:14">
      <c r="E924" s="448"/>
      <c r="N924" s="448"/>
    </row>
    <row r="925" spans="5:14">
      <c r="E925" s="448"/>
      <c r="N925" s="448"/>
    </row>
    <row r="926" spans="5:14">
      <c r="E926" s="448"/>
      <c r="N926" s="448"/>
    </row>
    <row r="927" spans="5:14">
      <c r="E927" s="448"/>
      <c r="N927" s="448"/>
    </row>
    <row r="928" spans="5:14">
      <c r="E928" s="448"/>
      <c r="N928" s="448"/>
    </row>
    <row r="929" spans="5:14">
      <c r="E929" s="448"/>
      <c r="N929" s="448"/>
    </row>
    <row r="930" spans="5:14">
      <c r="E930" s="448"/>
      <c r="N930" s="448"/>
    </row>
    <row r="931" spans="5:14">
      <c r="E931" s="448"/>
      <c r="N931" s="448"/>
    </row>
    <row r="932" spans="5:14">
      <c r="E932" s="448"/>
      <c r="N932" s="448"/>
    </row>
    <row r="933" spans="5:14">
      <c r="E933" s="448"/>
      <c r="N933" s="448"/>
    </row>
    <row r="934" spans="5:14">
      <c r="E934" s="448"/>
      <c r="N934" s="448"/>
    </row>
    <row r="935" spans="5:14">
      <c r="E935" s="448"/>
      <c r="N935" s="448"/>
    </row>
    <row r="936" spans="5:14">
      <c r="E936" s="448"/>
      <c r="N936" s="448"/>
    </row>
    <row r="937" spans="5:14">
      <c r="E937" s="448"/>
      <c r="N937" s="448"/>
    </row>
    <row r="938" spans="5:14">
      <c r="E938" s="448"/>
      <c r="N938" s="448"/>
    </row>
    <row r="939" spans="5:14">
      <c r="E939" s="448"/>
      <c r="N939" s="448"/>
    </row>
    <row r="940" spans="5:14">
      <c r="E940" s="448"/>
      <c r="N940" s="448"/>
    </row>
    <row r="941" spans="5:14">
      <c r="E941" s="448"/>
      <c r="N941" s="448"/>
    </row>
    <row r="942" spans="5:14">
      <c r="E942" s="448"/>
      <c r="N942" s="448"/>
    </row>
    <row r="943" spans="5:14">
      <c r="E943" s="448"/>
      <c r="N943" s="448"/>
    </row>
    <row r="944" spans="5:14">
      <c r="E944" s="448"/>
      <c r="N944" s="448"/>
    </row>
    <row r="945" spans="5:14">
      <c r="E945" s="448"/>
      <c r="N945" s="448"/>
    </row>
    <row r="946" spans="5:14">
      <c r="E946" s="448"/>
      <c r="N946" s="448"/>
    </row>
    <row r="947" spans="5:14">
      <c r="E947" s="448"/>
      <c r="N947" s="448"/>
    </row>
    <row r="948" spans="5:14">
      <c r="E948" s="448"/>
      <c r="N948" s="448"/>
    </row>
    <row r="949" spans="5:14">
      <c r="E949" s="448"/>
      <c r="N949" s="448"/>
    </row>
    <row r="950" spans="5:14">
      <c r="E950" s="448"/>
      <c r="N950" s="448"/>
    </row>
    <row r="951" spans="5:14">
      <c r="E951" s="448"/>
      <c r="N951" s="448"/>
    </row>
    <row r="952" spans="5:14">
      <c r="E952" s="448"/>
      <c r="N952" s="448"/>
    </row>
    <row r="953" spans="5:14">
      <c r="E953" s="448"/>
      <c r="N953" s="448"/>
    </row>
    <row r="954" spans="5:14">
      <c r="E954" s="448"/>
      <c r="N954" s="448"/>
    </row>
    <row r="955" spans="5:14">
      <c r="E955" s="448"/>
      <c r="N955" s="448"/>
    </row>
    <row r="956" spans="5:14">
      <c r="E956" s="448"/>
      <c r="N956" s="448"/>
    </row>
    <row r="957" spans="5:14">
      <c r="E957" s="448"/>
      <c r="N957" s="448"/>
    </row>
    <row r="958" spans="5:14">
      <c r="E958" s="448"/>
      <c r="N958" s="448"/>
    </row>
    <row r="959" spans="5:14">
      <c r="E959" s="448"/>
      <c r="N959" s="448"/>
    </row>
    <row r="960" spans="5:14">
      <c r="E960" s="448"/>
      <c r="N960" s="448"/>
    </row>
    <row r="961" spans="5:14">
      <c r="E961" s="448"/>
      <c r="N961" s="448"/>
    </row>
    <row r="962" spans="5:14">
      <c r="E962" s="448"/>
      <c r="N962" s="448"/>
    </row>
    <row r="963" spans="5:14">
      <c r="E963" s="448"/>
      <c r="N963" s="448"/>
    </row>
    <row r="964" spans="5:14">
      <c r="E964" s="448"/>
      <c r="N964" s="448"/>
    </row>
    <row r="965" spans="5:14">
      <c r="E965" s="448"/>
      <c r="N965" s="448"/>
    </row>
    <row r="966" spans="5:14">
      <c r="E966" s="448"/>
      <c r="N966" s="448"/>
    </row>
    <row r="967" spans="5:14">
      <c r="E967" s="448"/>
      <c r="N967" s="448"/>
    </row>
    <row r="968" spans="5:14">
      <c r="E968" s="448"/>
      <c r="N968" s="448"/>
    </row>
    <row r="969" spans="5:14">
      <c r="E969" s="448"/>
      <c r="N969" s="448"/>
    </row>
    <row r="970" spans="5:14">
      <c r="E970" s="448"/>
      <c r="N970" s="448"/>
    </row>
    <row r="971" spans="5:14">
      <c r="E971" s="448"/>
      <c r="N971" s="448"/>
    </row>
    <row r="972" spans="5:14">
      <c r="E972" s="448"/>
      <c r="N972" s="448"/>
    </row>
    <row r="973" spans="5:14">
      <c r="E973" s="448"/>
      <c r="N973" s="448"/>
    </row>
    <row r="974" spans="5:14">
      <c r="E974" s="448"/>
      <c r="N974" s="448"/>
    </row>
    <row r="975" spans="5:14">
      <c r="E975" s="448"/>
      <c r="N975" s="448"/>
    </row>
    <row r="976" spans="5:14">
      <c r="E976" s="448"/>
      <c r="N976" s="448"/>
    </row>
    <row r="977" spans="5:14">
      <c r="E977" s="448"/>
      <c r="N977" s="448"/>
    </row>
    <row r="978" spans="5:14">
      <c r="E978" s="448"/>
      <c r="N978" s="448"/>
    </row>
    <row r="979" spans="5:14">
      <c r="E979" s="448"/>
      <c r="N979" s="448"/>
    </row>
    <row r="980" spans="5:14">
      <c r="E980" s="448"/>
      <c r="N980" s="448"/>
    </row>
    <row r="981" spans="5:14">
      <c r="E981" s="448"/>
      <c r="N981" s="448"/>
    </row>
    <row r="982" spans="5:14">
      <c r="E982" s="448"/>
      <c r="N982" s="448"/>
    </row>
    <row r="983" spans="5:14">
      <c r="E983" s="448"/>
      <c r="N983" s="448"/>
    </row>
    <row r="984" spans="5:14">
      <c r="E984" s="448"/>
      <c r="N984" s="448"/>
    </row>
    <row r="985" spans="5:14">
      <c r="E985" s="448"/>
      <c r="N985" s="448"/>
    </row>
    <row r="986" spans="5:14">
      <c r="E986" s="448"/>
      <c r="N986" s="448"/>
    </row>
    <row r="987" spans="5:14">
      <c r="E987" s="448"/>
      <c r="N987" s="448"/>
    </row>
    <row r="988" spans="5:14">
      <c r="E988" s="448"/>
      <c r="N988" s="448"/>
    </row>
    <row r="989" spans="5:14">
      <c r="E989" s="448"/>
      <c r="N989" s="448"/>
    </row>
    <row r="990" spans="5:14">
      <c r="E990" s="448"/>
      <c r="N990" s="448"/>
    </row>
    <row r="991" spans="5:14">
      <c r="E991" s="448"/>
      <c r="N991" s="448"/>
    </row>
    <row r="992" spans="5:14">
      <c r="E992" s="448"/>
      <c r="N992" s="448"/>
    </row>
    <row r="993" spans="5:14">
      <c r="E993" s="448"/>
      <c r="N993" s="448"/>
    </row>
    <row r="994" spans="5:14">
      <c r="E994" s="448"/>
      <c r="N994" s="448"/>
    </row>
    <row r="995" spans="5:14">
      <c r="E995" s="448"/>
      <c r="N995" s="448"/>
    </row>
    <row r="996" spans="5:14">
      <c r="E996" s="448"/>
      <c r="N996" s="448"/>
    </row>
    <row r="997" spans="5:14">
      <c r="E997" s="448"/>
      <c r="N997" s="448"/>
    </row>
    <row r="998" spans="5:14">
      <c r="E998" s="448"/>
      <c r="N998" s="448"/>
    </row>
    <row r="999" spans="5:14">
      <c r="E999" s="448"/>
      <c r="N999" s="448"/>
    </row>
    <row r="1000" spans="5:14">
      <c r="E1000" s="448"/>
      <c r="N1000" s="448"/>
    </row>
    <row r="1001" spans="5:14">
      <c r="E1001" s="448"/>
      <c r="N1001" s="448"/>
    </row>
    <row r="1002" spans="5:14">
      <c r="E1002" s="448"/>
      <c r="N1002" s="448"/>
    </row>
    <row r="1003" spans="5:14">
      <c r="E1003" s="448"/>
      <c r="N1003" s="448"/>
    </row>
    <row r="1004" spans="5:14">
      <c r="E1004" s="448"/>
      <c r="N1004" s="448"/>
    </row>
    <row r="1005" spans="5:14">
      <c r="E1005" s="448"/>
      <c r="N1005" s="448"/>
    </row>
    <row r="1006" spans="5:14">
      <c r="E1006" s="448"/>
      <c r="N1006" s="448"/>
    </row>
    <row r="1007" spans="5:14">
      <c r="E1007" s="448"/>
      <c r="N1007" s="448"/>
    </row>
    <row r="1008" spans="5:14">
      <c r="E1008" s="448"/>
      <c r="N1008" s="448"/>
    </row>
    <row r="1009" spans="5:14">
      <c r="E1009" s="448"/>
      <c r="N1009" s="448"/>
    </row>
    <row r="1010" spans="5:14">
      <c r="E1010" s="448"/>
      <c r="N1010" s="448"/>
    </row>
    <row r="1011" spans="5:14">
      <c r="E1011" s="448"/>
      <c r="N1011" s="448"/>
    </row>
    <row r="1012" spans="5:14">
      <c r="E1012" s="448"/>
      <c r="N1012" s="448"/>
    </row>
    <row r="1013" spans="5:14">
      <c r="E1013" s="448"/>
      <c r="N1013" s="448"/>
    </row>
    <row r="1014" spans="5:14">
      <c r="E1014" s="448"/>
      <c r="N1014" s="448"/>
    </row>
    <row r="1015" spans="5:14">
      <c r="E1015" s="448"/>
      <c r="N1015" s="448"/>
    </row>
    <row r="1016" spans="5:14">
      <c r="E1016" s="448"/>
      <c r="N1016" s="448"/>
    </row>
    <row r="1017" spans="5:14">
      <c r="E1017" s="448"/>
      <c r="N1017" s="448"/>
    </row>
    <row r="1018" spans="5:14">
      <c r="E1018" s="448"/>
      <c r="N1018" s="448"/>
    </row>
    <row r="1019" spans="5:14">
      <c r="E1019" s="448"/>
      <c r="N1019" s="448"/>
    </row>
    <row r="1020" spans="5:14">
      <c r="E1020" s="448"/>
      <c r="N1020" s="448"/>
    </row>
    <row r="1021" spans="5:14">
      <c r="E1021" s="448"/>
      <c r="N1021" s="448"/>
    </row>
    <row r="1022" spans="5:14">
      <c r="E1022" s="448"/>
      <c r="N1022" s="448"/>
    </row>
    <row r="1023" spans="5:14">
      <c r="E1023" s="448"/>
      <c r="N1023" s="448"/>
    </row>
    <row r="1024" spans="5:14">
      <c r="E1024" s="448"/>
      <c r="N1024" s="448"/>
    </row>
    <row r="1025" spans="5:14">
      <c r="E1025" s="448"/>
      <c r="N1025" s="448"/>
    </row>
    <row r="1026" spans="5:14">
      <c r="E1026" s="448"/>
      <c r="N1026" s="448"/>
    </row>
    <row r="1027" spans="5:14">
      <c r="E1027" s="448"/>
      <c r="N1027" s="448"/>
    </row>
    <row r="1028" spans="5:14">
      <c r="E1028" s="448"/>
      <c r="N1028" s="448"/>
    </row>
    <row r="1029" spans="5:14">
      <c r="E1029" s="448"/>
      <c r="N1029" s="448"/>
    </row>
    <row r="1030" spans="5:14">
      <c r="E1030" s="448"/>
      <c r="N1030" s="448"/>
    </row>
    <row r="1031" spans="5:14">
      <c r="E1031" s="448"/>
      <c r="N1031" s="448"/>
    </row>
    <row r="1032" spans="5:14">
      <c r="E1032" s="448"/>
      <c r="N1032" s="448"/>
    </row>
    <row r="1033" spans="5:14">
      <c r="E1033" s="448"/>
      <c r="N1033" s="448"/>
    </row>
    <row r="1034" spans="5:14">
      <c r="E1034" s="448"/>
      <c r="N1034" s="448"/>
    </row>
    <row r="1035" spans="5:14">
      <c r="E1035" s="448"/>
      <c r="N1035" s="448"/>
    </row>
    <row r="1036" spans="5:14">
      <c r="E1036" s="448"/>
      <c r="N1036" s="448"/>
    </row>
    <row r="1037" spans="5:14">
      <c r="E1037" s="448"/>
      <c r="N1037" s="448"/>
    </row>
    <row r="1038" spans="5:14">
      <c r="E1038" s="448"/>
      <c r="N1038" s="448"/>
    </row>
    <row r="1039" spans="5:14">
      <c r="E1039" s="448"/>
      <c r="N1039" s="448"/>
    </row>
    <row r="1040" spans="5:14">
      <c r="E1040" s="448"/>
      <c r="N1040" s="448"/>
    </row>
    <row r="1041" spans="5:14">
      <c r="E1041" s="448"/>
      <c r="N1041" s="448"/>
    </row>
    <row r="1042" spans="5:14">
      <c r="E1042" s="448"/>
      <c r="N1042" s="448"/>
    </row>
    <row r="1043" spans="5:14">
      <c r="E1043" s="448"/>
      <c r="N1043" s="448"/>
    </row>
    <row r="1044" spans="5:14">
      <c r="E1044" s="448"/>
      <c r="N1044" s="448"/>
    </row>
    <row r="1045" spans="5:14">
      <c r="E1045" s="448"/>
      <c r="N1045" s="448"/>
    </row>
    <row r="1046" spans="5:14">
      <c r="E1046" s="448"/>
      <c r="N1046" s="448"/>
    </row>
    <row r="1047" spans="5:14">
      <c r="E1047" s="448"/>
      <c r="N1047" s="448"/>
    </row>
    <row r="1048" spans="5:14">
      <c r="E1048" s="448"/>
      <c r="N1048" s="448"/>
    </row>
    <row r="1049" spans="5:14">
      <c r="E1049" s="448"/>
      <c r="N1049" s="448"/>
    </row>
    <row r="1050" spans="5:14">
      <c r="E1050" s="448"/>
      <c r="N1050" s="448"/>
    </row>
    <row r="1051" spans="5:14">
      <c r="E1051" s="448"/>
      <c r="N1051" s="448"/>
    </row>
    <row r="1052" spans="5:14">
      <c r="E1052" s="448"/>
      <c r="N1052" s="448"/>
    </row>
    <row r="1053" spans="5:14">
      <c r="E1053" s="448"/>
      <c r="N1053" s="448"/>
    </row>
    <row r="1054" spans="5:14">
      <c r="E1054" s="448"/>
      <c r="N1054" s="448"/>
    </row>
    <row r="1055" spans="5:14">
      <c r="E1055" s="448"/>
      <c r="N1055" s="448"/>
    </row>
    <row r="1056" spans="5:14">
      <c r="E1056" s="448"/>
      <c r="N1056" s="448"/>
    </row>
    <row r="1057" spans="5:14">
      <c r="E1057" s="448"/>
      <c r="N1057" s="448"/>
    </row>
    <row r="1058" spans="5:14">
      <c r="E1058" s="448"/>
      <c r="N1058" s="448"/>
    </row>
    <row r="1059" spans="5:14">
      <c r="E1059" s="448"/>
      <c r="N1059" s="448"/>
    </row>
    <row r="1060" spans="5:14">
      <c r="E1060" s="448"/>
      <c r="N1060" s="448"/>
    </row>
    <row r="1061" spans="5:14">
      <c r="E1061" s="448"/>
      <c r="N1061" s="448"/>
    </row>
    <row r="1062" spans="5:14">
      <c r="E1062" s="448"/>
      <c r="N1062" s="448"/>
    </row>
    <row r="1063" spans="5:14">
      <c r="E1063" s="448"/>
      <c r="N1063" s="448"/>
    </row>
    <row r="1064" spans="5:14">
      <c r="E1064" s="448"/>
      <c r="N1064" s="448"/>
    </row>
    <row r="1065" spans="5:14">
      <c r="E1065" s="448"/>
      <c r="N1065" s="448"/>
    </row>
    <row r="1066" spans="5:14">
      <c r="E1066" s="448"/>
      <c r="N1066" s="448"/>
    </row>
    <row r="1067" spans="5:14">
      <c r="E1067" s="448"/>
      <c r="N1067" s="448"/>
    </row>
    <row r="1068" spans="5:14">
      <c r="E1068" s="448"/>
      <c r="N1068" s="448"/>
    </row>
    <row r="1069" spans="5:14">
      <c r="E1069" s="448"/>
      <c r="N1069" s="448"/>
    </row>
    <row r="1070" spans="5:14">
      <c r="E1070" s="448"/>
      <c r="N1070" s="448"/>
    </row>
    <row r="1071" spans="5:14">
      <c r="E1071" s="448"/>
      <c r="N1071" s="448"/>
    </row>
    <row r="1072" spans="5:14">
      <c r="E1072" s="448"/>
      <c r="N1072" s="448"/>
    </row>
    <row r="1073" spans="5:14">
      <c r="E1073" s="448"/>
      <c r="N1073" s="448"/>
    </row>
    <row r="1074" spans="5:14">
      <c r="E1074" s="448"/>
      <c r="N1074" s="448"/>
    </row>
    <row r="1075" spans="5:14">
      <c r="E1075" s="448"/>
      <c r="N1075" s="448"/>
    </row>
    <row r="1076" spans="5:14">
      <c r="E1076" s="448"/>
      <c r="N1076" s="448"/>
    </row>
    <row r="1077" spans="5:14">
      <c r="E1077" s="448"/>
      <c r="N1077" s="448"/>
    </row>
    <row r="1078" spans="5:14">
      <c r="E1078" s="448"/>
      <c r="N1078" s="448"/>
    </row>
    <row r="1079" spans="5:14">
      <c r="E1079" s="448"/>
      <c r="N1079" s="448"/>
    </row>
    <row r="1080" spans="5:14">
      <c r="E1080" s="448"/>
      <c r="N1080" s="448"/>
    </row>
    <row r="1081" spans="5:14">
      <c r="E1081" s="448"/>
      <c r="N1081" s="448"/>
    </row>
    <row r="1082" spans="5:14">
      <c r="E1082" s="448"/>
      <c r="N1082" s="448"/>
    </row>
    <row r="1083" spans="5:14">
      <c r="E1083" s="448"/>
      <c r="N1083" s="448"/>
    </row>
    <row r="1084" spans="5:14">
      <c r="E1084" s="448"/>
      <c r="N1084" s="448"/>
    </row>
    <row r="1085" spans="5:14">
      <c r="E1085" s="448"/>
      <c r="N1085" s="448"/>
    </row>
    <row r="1086" spans="5:14">
      <c r="E1086" s="448"/>
      <c r="N1086" s="448"/>
    </row>
    <row r="1087" spans="5:14">
      <c r="E1087" s="448"/>
      <c r="N1087" s="448"/>
    </row>
    <row r="1088" spans="5:14">
      <c r="E1088" s="448"/>
      <c r="N1088" s="448"/>
    </row>
    <row r="1089" spans="5:14">
      <c r="E1089" s="448"/>
      <c r="N1089" s="448"/>
    </row>
    <row r="1090" spans="5:14">
      <c r="E1090" s="448"/>
      <c r="N1090" s="448"/>
    </row>
    <row r="1091" spans="5:14">
      <c r="E1091" s="448"/>
      <c r="N1091" s="448"/>
    </row>
    <row r="1092" spans="5:14">
      <c r="E1092" s="448"/>
      <c r="N1092" s="448"/>
    </row>
    <row r="1093" spans="5:14">
      <c r="E1093" s="448"/>
      <c r="N1093" s="448"/>
    </row>
    <row r="1094" spans="5:14">
      <c r="E1094" s="448"/>
      <c r="N1094" s="448"/>
    </row>
    <row r="1095" spans="5:14">
      <c r="E1095" s="448"/>
      <c r="N1095" s="448"/>
    </row>
    <row r="1096" spans="5:14">
      <c r="E1096" s="448"/>
      <c r="N1096" s="448"/>
    </row>
    <row r="1097" spans="5:14">
      <c r="E1097" s="448"/>
      <c r="N1097" s="448"/>
    </row>
    <row r="1098" spans="5:14">
      <c r="E1098" s="448"/>
      <c r="N1098" s="448"/>
    </row>
    <row r="1099" spans="5:14">
      <c r="E1099" s="448"/>
      <c r="N1099" s="448"/>
    </row>
    <row r="1100" spans="5:14">
      <c r="E1100" s="448"/>
      <c r="N1100" s="448"/>
    </row>
    <row r="1101" spans="5:14">
      <c r="E1101" s="448"/>
      <c r="N1101" s="448"/>
    </row>
    <row r="1102" spans="5:14">
      <c r="E1102" s="448"/>
      <c r="N1102" s="448"/>
    </row>
    <row r="1103" spans="5:14">
      <c r="E1103" s="448"/>
      <c r="N1103" s="448"/>
    </row>
    <row r="1104" spans="5:14">
      <c r="E1104" s="448"/>
      <c r="N1104" s="448"/>
    </row>
    <row r="1105" spans="5:14">
      <c r="E1105" s="448"/>
      <c r="N1105" s="448"/>
    </row>
    <row r="1106" spans="5:14">
      <c r="E1106" s="448"/>
      <c r="N1106" s="448"/>
    </row>
    <row r="1107" spans="5:14">
      <c r="E1107" s="448"/>
      <c r="N1107" s="448"/>
    </row>
    <row r="1108" spans="5:14">
      <c r="E1108" s="448"/>
      <c r="N1108" s="448"/>
    </row>
    <row r="1109" spans="5:14">
      <c r="E1109" s="448"/>
      <c r="N1109" s="448"/>
    </row>
    <row r="1110" spans="5:14">
      <c r="E1110" s="448"/>
      <c r="N1110" s="448"/>
    </row>
    <row r="1111" spans="5:14">
      <c r="E1111" s="448"/>
      <c r="N1111" s="448"/>
    </row>
    <row r="1112" spans="5:14">
      <c r="E1112" s="448"/>
      <c r="N1112" s="448"/>
    </row>
    <row r="1113" spans="5:14">
      <c r="E1113" s="448"/>
      <c r="N1113" s="448"/>
    </row>
    <row r="1114" spans="5:14">
      <c r="E1114" s="448"/>
      <c r="N1114" s="448"/>
    </row>
    <row r="1115" spans="5:14">
      <c r="E1115" s="448"/>
      <c r="N1115" s="448"/>
    </row>
    <row r="1116" spans="5:14">
      <c r="E1116" s="448"/>
      <c r="N1116" s="448"/>
    </row>
    <row r="1117" spans="5:14">
      <c r="E1117" s="448"/>
      <c r="N1117" s="448"/>
    </row>
    <row r="1118" spans="5:14">
      <c r="E1118" s="448"/>
      <c r="N1118" s="448"/>
    </row>
    <row r="1119" spans="5:14">
      <c r="E1119" s="448"/>
      <c r="N1119" s="448"/>
    </row>
    <row r="1120" spans="5:14">
      <c r="E1120" s="448"/>
      <c r="N1120" s="448"/>
    </row>
    <row r="1121" spans="5:14">
      <c r="E1121" s="448"/>
      <c r="N1121" s="448"/>
    </row>
    <row r="1122" spans="5:14">
      <c r="E1122" s="448"/>
      <c r="N1122" s="448"/>
    </row>
    <row r="1123" spans="5:14">
      <c r="E1123" s="448"/>
      <c r="N1123" s="448"/>
    </row>
    <row r="1124" spans="5:14">
      <c r="E1124" s="448"/>
      <c r="N1124" s="448"/>
    </row>
    <row r="1125" spans="5:14">
      <c r="E1125" s="448"/>
      <c r="N1125" s="448"/>
    </row>
    <row r="1126" spans="5:14">
      <c r="E1126" s="448"/>
      <c r="N1126" s="448"/>
    </row>
    <row r="1127" spans="5:14">
      <c r="E1127" s="448"/>
      <c r="N1127" s="448"/>
    </row>
    <row r="1128" spans="5:14">
      <c r="E1128" s="448"/>
      <c r="N1128" s="448"/>
    </row>
    <row r="1129" spans="5:14">
      <c r="E1129" s="448"/>
      <c r="N1129" s="448"/>
    </row>
    <row r="1130" spans="5:14">
      <c r="E1130" s="448"/>
      <c r="N1130" s="448"/>
    </row>
    <row r="1131" spans="5:14">
      <c r="E1131" s="448"/>
      <c r="N1131" s="448"/>
    </row>
    <row r="1132" spans="5:14">
      <c r="E1132" s="448"/>
      <c r="N1132" s="448"/>
    </row>
    <row r="1133" spans="5:14">
      <c r="E1133" s="448"/>
      <c r="N1133" s="448"/>
    </row>
    <row r="1134" spans="5:14">
      <c r="E1134" s="448"/>
      <c r="N1134" s="448"/>
    </row>
    <row r="1135" spans="5:14">
      <c r="E1135" s="448"/>
      <c r="N1135" s="448"/>
    </row>
    <row r="1136" spans="5:14">
      <c r="E1136" s="448"/>
      <c r="N1136" s="448"/>
    </row>
    <row r="1137" spans="5:14">
      <c r="E1137" s="448"/>
      <c r="N1137" s="448"/>
    </row>
    <row r="1138" spans="5:14">
      <c r="E1138" s="448"/>
      <c r="N1138" s="448"/>
    </row>
    <row r="1139" spans="5:14">
      <c r="E1139" s="448"/>
      <c r="N1139" s="448"/>
    </row>
    <row r="1140" spans="5:14">
      <c r="E1140" s="448"/>
      <c r="N1140" s="448"/>
    </row>
    <row r="1141" spans="5:14">
      <c r="E1141" s="448"/>
      <c r="N1141" s="448"/>
    </row>
    <row r="1142" spans="5:14">
      <c r="E1142" s="448"/>
      <c r="N1142" s="448"/>
    </row>
    <row r="1143" spans="5:14">
      <c r="E1143" s="448"/>
      <c r="N1143" s="448"/>
    </row>
    <row r="1144" spans="5:14">
      <c r="E1144" s="448"/>
      <c r="N1144" s="448"/>
    </row>
    <row r="1145" spans="5:14">
      <c r="E1145" s="448"/>
      <c r="N1145" s="448"/>
    </row>
    <row r="1146" spans="5:14">
      <c r="E1146" s="448"/>
      <c r="N1146" s="448"/>
    </row>
    <row r="1147" spans="5:14">
      <c r="E1147" s="448"/>
      <c r="N1147" s="448"/>
    </row>
    <row r="1148" spans="5:14">
      <c r="E1148" s="448"/>
      <c r="N1148" s="448"/>
    </row>
    <row r="1149" spans="5:14">
      <c r="E1149" s="448"/>
      <c r="N1149" s="448"/>
    </row>
    <row r="1150" spans="5:14">
      <c r="E1150" s="448"/>
      <c r="N1150" s="448"/>
    </row>
    <row r="1151" spans="5:14">
      <c r="E1151" s="448"/>
      <c r="N1151" s="448"/>
    </row>
    <row r="1152" spans="5:14">
      <c r="E1152" s="448"/>
      <c r="N1152" s="448"/>
    </row>
    <row r="1153" spans="5:14">
      <c r="E1153" s="448"/>
      <c r="N1153" s="448"/>
    </row>
    <row r="1154" spans="5:14">
      <c r="E1154" s="448"/>
      <c r="N1154" s="448"/>
    </row>
    <row r="1155" spans="5:14">
      <c r="E1155" s="448"/>
      <c r="N1155" s="448"/>
    </row>
    <row r="1156" spans="5:14">
      <c r="E1156" s="448"/>
      <c r="N1156" s="448"/>
    </row>
    <row r="1157" spans="5:14">
      <c r="E1157" s="448"/>
      <c r="N1157" s="448"/>
    </row>
    <row r="1158" spans="5:14">
      <c r="E1158" s="448"/>
      <c r="N1158" s="448"/>
    </row>
    <row r="1159" spans="5:14">
      <c r="E1159" s="448"/>
      <c r="N1159" s="448"/>
    </row>
    <row r="1160" spans="5:14">
      <c r="E1160" s="448"/>
      <c r="N1160" s="448"/>
    </row>
    <row r="1161" spans="5:14">
      <c r="E1161" s="448"/>
      <c r="N1161" s="448"/>
    </row>
    <row r="1162" spans="5:14">
      <c r="E1162" s="448"/>
      <c r="N1162" s="448"/>
    </row>
    <row r="1163" spans="5:14">
      <c r="E1163" s="448"/>
      <c r="N1163" s="448"/>
    </row>
    <row r="1164" spans="5:14">
      <c r="E1164" s="448"/>
      <c r="N1164" s="448"/>
    </row>
    <row r="1165" spans="5:14">
      <c r="E1165" s="448"/>
      <c r="N1165" s="448"/>
    </row>
    <row r="1166" spans="5:14">
      <c r="E1166" s="448"/>
      <c r="N1166" s="448"/>
    </row>
    <row r="1167" spans="5:14">
      <c r="E1167" s="448"/>
      <c r="N1167" s="448"/>
    </row>
    <row r="1168" spans="5:14">
      <c r="E1168" s="448"/>
      <c r="N1168" s="448"/>
    </row>
    <row r="1169" spans="5:14">
      <c r="E1169" s="448"/>
      <c r="N1169" s="448"/>
    </row>
    <row r="1170" spans="5:14">
      <c r="E1170" s="448"/>
      <c r="N1170" s="448"/>
    </row>
    <row r="1171" spans="5:14">
      <c r="E1171" s="448"/>
      <c r="N1171" s="448"/>
    </row>
    <row r="1172" spans="5:14">
      <c r="E1172" s="448"/>
      <c r="N1172" s="448"/>
    </row>
    <row r="1173" spans="5:14">
      <c r="E1173" s="448"/>
      <c r="N1173" s="448"/>
    </row>
    <row r="1174" spans="5:14">
      <c r="E1174" s="448"/>
      <c r="N1174" s="448"/>
    </row>
    <row r="1175" spans="5:14">
      <c r="E1175" s="448"/>
      <c r="N1175" s="448"/>
    </row>
    <row r="1176" spans="5:14">
      <c r="E1176" s="448"/>
      <c r="N1176" s="448"/>
    </row>
    <row r="1177" spans="5:14">
      <c r="E1177" s="448"/>
      <c r="N1177" s="448"/>
    </row>
    <row r="1178" spans="5:14">
      <c r="E1178" s="448"/>
      <c r="N1178" s="448"/>
    </row>
    <row r="1179" spans="5:14">
      <c r="E1179" s="448"/>
      <c r="N1179" s="448"/>
    </row>
    <row r="1180" spans="5:14">
      <c r="E1180" s="448"/>
      <c r="N1180" s="448"/>
    </row>
    <row r="1181" spans="5:14">
      <c r="E1181" s="448"/>
      <c r="N1181" s="448"/>
    </row>
    <row r="1182" spans="5:14">
      <c r="E1182" s="448"/>
      <c r="N1182" s="448"/>
    </row>
    <row r="1183" spans="5:14">
      <c r="E1183" s="448"/>
      <c r="N1183" s="448"/>
    </row>
    <row r="1184" spans="5:14">
      <c r="E1184" s="448"/>
      <c r="N1184" s="448"/>
    </row>
    <row r="1185" spans="5:14">
      <c r="E1185" s="448"/>
      <c r="N1185" s="448"/>
    </row>
    <row r="1186" spans="5:14">
      <c r="E1186" s="448"/>
      <c r="N1186" s="448"/>
    </row>
    <row r="1187" spans="5:14">
      <c r="E1187" s="448"/>
      <c r="N1187" s="448"/>
    </row>
    <row r="1188" spans="5:14">
      <c r="E1188" s="448"/>
      <c r="N1188" s="448"/>
    </row>
    <row r="1189" spans="5:14">
      <c r="E1189" s="448"/>
      <c r="N1189" s="448"/>
    </row>
    <row r="1190" spans="5:14">
      <c r="E1190" s="448"/>
      <c r="N1190" s="448"/>
    </row>
    <row r="1191" spans="5:14">
      <c r="E1191" s="448"/>
      <c r="N1191" s="448"/>
    </row>
    <row r="1192" spans="5:14">
      <c r="E1192" s="448"/>
      <c r="N1192" s="448"/>
    </row>
    <row r="1193" spans="5:14">
      <c r="E1193" s="448"/>
      <c r="N1193" s="448"/>
    </row>
    <row r="1194" spans="5:14">
      <c r="E1194" s="448"/>
      <c r="N1194" s="448"/>
    </row>
    <row r="1195" spans="5:14">
      <c r="E1195" s="448"/>
      <c r="N1195" s="448"/>
    </row>
    <row r="1196" spans="5:14">
      <c r="E1196" s="448"/>
      <c r="N1196" s="448"/>
    </row>
    <row r="1197" spans="5:14">
      <c r="E1197" s="448"/>
      <c r="N1197" s="448"/>
    </row>
    <row r="1198" spans="5:14">
      <c r="E1198" s="448"/>
      <c r="N1198" s="448"/>
    </row>
    <row r="1199" spans="5:14">
      <c r="E1199" s="448"/>
      <c r="N1199" s="448"/>
    </row>
    <row r="1200" spans="5:14">
      <c r="E1200" s="448"/>
      <c r="N1200" s="448"/>
    </row>
    <row r="1201" spans="5:14">
      <c r="E1201" s="448"/>
      <c r="N1201" s="448"/>
    </row>
    <row r="1202" spans="5:14">
      <c r="E1202" s="448"/>
      <c r="N1202" s="448"/>
    </row>
    <row r="1203" spans="5:14">
      <c r="E1203" s="448"/>
      <c r="N1203" s="448"/>
    </row>
    <row r="1204" spans="5:14">
      <c r="E1204" s="448"/>
      <c r="N1204" s="448"/>
    </row>
    <row r="1205" spans="5:14">
      <c r="E1205" s="448"/>
      <c r="N1205" s="448"/>
    </row>
    <row r="1206" spans="5:14">
      <c r="E1206" s="448"/>
      <c r="N1206" s="448"/>
    </row>
    <row r="1207" spans="5:14">
      <c r="E1207" s="448"/>
      <c r="N1207" s="448"/>
    </row>
    <row r="1208" spans="5:14">
      <c r="E1208" s="448"/>
      <c r="N1208" s="448"/>
    </row>
    <row r="1209" spans="5:14">
      <c r="E1209" s="448"/>
      <c r="N1209" s="448"/>
    </row>
    <row r="1210" spans="5:14">
      <c r="E1210" s="448"/>
      <c r="N1210" s="448"/>
    </row>
    <row r="1211" spans="5:14">
      <c r="E1211" s="448"/>
      <c r="N1211" s="448"/>
    </row>
    <row r="1212" spans="5:14">
      <c r="E1212" s="448"/>
      <c r="N1212" s="448"/>
    </row>
    <row r="1213" spans="5:14">
      <c r="E1213" s="448"/>
      <c r="N1213" s="448"/>
    </row>
    <row r="1214" spans="5:14">
      <c r="E1214" s="448"/>
      <c r="N1214" s="448"/>
    </row>
    <row r="1215" spans="5:14">
      <c r="E1215" s="448"/>
      <c r="N1215" s="448"/>
    </row>
    <row r="1216" spans="5:14">
      <c r="E1216" s="448"/>
      <c r="N1216" s="448"/>
    </row>
    <row r="1217" spans="5:14">
      <c r="E1217" s="448"/>
      <c r="N1217" s="448"/>
    </row>
    <row r="1218" spans="5:14">
      <c r="E1218" s="448"/>
      <c r="N1218" s="448"/>
    </row>
    <row r="1219" spans="5:14">
      <c r="E1219" s="448"/>
      <c r="N1219" s="448"/>
    </row>
    <row r="1220" spans="5:14">
      <c r="E1220" s="448"/>
      <c r="N1220" s="448"/>
    </row>
    <row r="1221" spans="5:14">
      <c r="E1221" s="448"/>
      <c r="N1221" s="448"/>
    </row>
    <row r="1222" spans="5:14">
      <c r="E1222" s="448"/>
      <c r="N1222" s="448"/>
    </row>
    <row r="1223" spans="5:14">
      <c r="E1223" s="448"/>
      <c r="N1223" s="448"/>
    </row>
    <row r="1224" spans="5:14">
      <c r="E1224" s="448"/>
      <c r="N1224" s="448"/>
    </row>
    <row r="1225" spans="5:14">
      <c r="E1225" s="448"/>
      <c r="N1225" s="448"/>
    </row>
    <row r="1226" spans="5:14">
      <c r="E1226" s="448"/>
      <c r="N1226" s="448"/>
    </row>
    <row r="1227" spans="5:14">
      <c r="E1227" s="448"/>
      <c r="N1227" s="448"/>
    </row>
    <row r="1228" spans="5:14">
      <c r="E1228" s="448"/>
      <c r="N1228" s="448"/>
    </row>
    <row r="1229" spans="5:14">
      <c r="E1229" s="448"/>
      <c r="N1229" s="448"/>
    </row>
    <row r="1230" spans="5:14">
      <c r="E1230" s="448"/>
      <c r="N1230" s="448"/>
    </row>
    <row r="1231" spans="5:14">
      <c r="E1231" s="448"/>
      <c r="N1231" s="448"/>
    </row>
    <row r="1232" spans="5:14">
      <c r="E1232" s="448"/>
      <c r="N1232" s="448"/>
    </row>
    <row r="1233" spans="5:14">
      <c r="E1233" s="448"/>
      <c r="N1233" s="448"/>
    </row>
    <row r="1234" spans="5:14">
      <c r="E1234" s="448"/>
      <c r="N1234" s="448"/>
    </row>
    <row r="1235" spans="5:14">
      <c r="E1235" s="448"/>
      <c r="N1235" s="448"/>
    </row>
    <row r="1236" spans="5:14">
      <c r="E1236" s="448"/>
      <c r="N1236" s="448"/>
    </row>
    <row r="1237" spans="5:14">
      <c r="E1237" s="448"/>
      <c r="N1237" s="448"/>
    </row>
    <row r="1238" spans="5:14">
      <c r="E1238" s="448"/>
      <c r="N1238" s="448"/>
    </row>
    <row r="1239" spans="5:14">
      <c r="E1239" s="448"/>
      <c r="N1239" s="448"/>
    </row>
    <row r="1240" spans="5:14">
      <c r="E1240" s="448"/>
      <c r="N1240" s="448"/>
    </row>
    <row r="1241" spans="5:14">
      <c r="E1241" s="448"/>
      <c r="N1241" s="448"/>
    </row>
    <row r="1242" spans="5:14">
      <c r="E1242" s="448"/>
      <c r="N1242" s="448"/>
    </row>
    <row r="1243" spans="5:14">
      <c r="E1243" s="448"/>
      <c r="N1243" s="448"/>
    </row>
    <row r="1244" spans="5:14">
      <c r="E1244" s="448"/>
      <c r="N1244" s="448"/>
    </row>
    <row r="1245" spans="5:14">
      <c r="E1245" s="448"/>
      <c r="N1245" s="448"/>
    </row>
    <row r="1246" spans="5:14">
      <c r="E1246" s="448"/>
      <c r="N1246" s="448"/>
    </row>
    <row r="1247" spans="5:14">
      <c r="E1247" s="448"/>
      <c r="N1247" s="448"/>
    </row>
    <row r="1248" spans="5:14">
      <c r="E1248" s="448"/>
      <c r="N1248" s="448"/>
    </row>
    <row r="1249" spans="5:14">
      <c r="E1249" s="448"/>
      <c r="N1249" s="448"/>
    </row>
    <row r="1250" spans="5:14">
      <c r="E1250" s="448"/>
      <c r="N1250" s="448"/>
    </row>
    <row r="1251" spans="5:14">
      <c r="E1251" s="448"/>
      <c r="N1251" s="448"/>
    </row>
    <row r="1252" spans="5:14">
      <c r="E1252" s="448"/>
      <c r="N1252" s="448"/>
    </row>
    <row r="1253" spans="5:14">
      <c r="E1253" s="448"/>
      <c r="N1253" s="448"/>
    </row>
    <row r="1254" spans="5:14">
      <c r="E1254" s="448"/>
      <c r="N1254" s="448"/>
    </row>
    <row r="1255" spans="5:14">
      <c r="E1255" s="448"/>
      <c r="N1255" s="448"/>
    </row>
    <row r="1256" spans="5:14">
      <c r="E1256" s="448"/>
      <c r="N1256" s="448"/>
    </row>
    <row r="1257" spans="5:14">
      <c r="E1257" s="448"/>
      <c r="N1257" s="448"/>
    </row>
    <row r="1258" spans="5:14">
      <c r="E1258" s="448"/>
      <c r="N1258" s="448"/>
    </row>
    <row r="1259" spans="5:14">
      <c r="E1259" s="448"/>
      <c r="N1259" s="448"/>
    </row>
    <row r="1260" spans="5:14">
      <c r="E1260" s="448"/>
      <c r="N1260" s="448"/>
    </row>
    <row r="1261" spans="5:14">
      <c r="E1261" s="448"/>
      <c r="N1261" s="448"/>
    </row>
    <row r="1262" spans="5:14">
      <c r="E1262" s="448"/>
      <c r="N1262" s="448"/>
    </row>
    <row r="1263" spans="5:14">
      <c r="E1263" s="448"/>
      <c r="N1263" s="448"/>
    </row>
    <row r="1264" spans="5:14">
      <c r="E1264" s="448"/>
      <c r="N1264" s="448"/>
    </row>
    <row r="1265" spans="5:14">
      <c r="E1265" s="448"/>
      <c r="N1265" s="448"/>
    </row>
    <row r="1266" spans="5:14">
      <c r="E1266" s="448"/>
      <c r="N1266" s="448"/>
    </row>
    <row r="1267" spans="5:14">
      <c r="E1267" s="448"/>
      <c r="N1267" s="448"/>
    </row>
    <row r="1268" spans="5:14">
      <c r="E1268" s="448"/>
      <c r="N1268" s="448"/>
    </row>
    <row r="1269" spans="5:14">
      <c r="E1269" s="448"/>
      <c r="N1269" s="448"/>
    </row>
    <row r="1270" spans="5:14">
      <c r="E1270" s="448"/>
      <c r="N1270" s="448"/>
    </row>
    <row r="1271" spans="5:14">
      <c r="E1271" s="448"/>
      <c r="N1271" s="448"/>
    </row>
    <row r="1272" spans="5:14">
      <c r="E1272" s="448"/>
      <c r="N1272" s="448"/>
    </row>
    <row r="1273" spans="5:14">
      <c r="E1273" s="448"/>
      <c r="N1273" s="448"/>
    </row>
    <row r="1274" spans="5:14">
      <c r="E1274" s="448"/>
      <c r="N1274" s="448"/>
    </row>
    <row r="1275" spans="5:14">
      <c r="E1275" s="448"/>
      <c r="N1275" s="448"/>
    </row>
    <row r="1276" spans="5:14">
      <c r="E1276" s="448"/>
      <c r="N1276" s="448"/>
    </row>
    <row r="1277" spans="5:14">
      <c r="E1277" s="448"/>
      <c r="N1277" s="448"/>
    </row>
    <row r="1278" spans="5:14">
      <c r="E1278" s="448"/>
      <c r="N1278" s="448"/>
    </row>
    <row r="1279" spans="5:14">
      <c r="E1279" s="448"/>
      <c r="N1279" s="448"/>
    </row>
    <row r="1280" spans="5:14">
      <c r="E1280" s="448"/>
      <c r="N1280" s="448"/>
    </row>
    <row r="1281" spans="5:14">
      <c r="E1281" s="448"/>
      <c r="N1281" s="448"/>
    </row>
    <row r="1282" spans="5:14">
      <c r="E1282" s="448"/>
      <c r="N1282" s="448"/>
    </row>
    <row r="1283" spans="5:14">
      <c r="E1283" s="448"/>
      <c r="N1283" s="448"/>
    </row>
    <row r="1284" spans="5:14">
      <c r="E1284" s="448"/>
      <c r="N1284" s="448"/>
    </row>
    <row r="1285" spans="5:14">
      <c r="E1285" s="448"/>
      <c r="N1285" s="448"/>
    </row>
    <row r="1286" spans="5:14">
      <c r="E1286" s="448"/>
      <c r="N1286" s="448"/>
    </row>
    <row r="1287" spans="5:14">
      <c r="E1287" s="448"/>
      <c r="N1287" s="448"/>
    </row>
    <row r="1288" spans="5:14">
      <c r="E1288" s="448"/>
      <c r="N1288" s="448"/>
    </row>
    <row r="1289" spans="5:14">
      <c r="E1289" s="448"/>
      <c r="N1289" s="448"/>
    </row>
    <row r="1290" spans="5:14">
      <c r="E1290" s="448"/>
      <c r="N1290" s="448"/>
    </row>
    <row r="1291" spans="5:14">
      <c r="E1291" s="448"/>
      <c r="N1291" s="448"/>
    </row>
    <row r="1292" spans="5:14">
      <c r="E1292" s="448"/>
      <c r="N1292" s="448"/>
    </row>
    <row r="1293" spans="5:14">
      <c r="E1293" s="448"/>
      <c r="N1293" s="448"/>
    </row>
    <row r="1294" spans="5:14">
      <c r="E1294" s="448"/>
      <c r="N1294" s="448"/>
    </row>
    <row r="1295" spans="5:14">
      <c r="E1295" s="448"/>
      <c r="N1295" s="448"/>
    </row>
    <row r="1296" spans="5:14">
      <c r="E1296" s="448"/>
      <c r="N1296" s="448"/>
    </row>
    <row r="1297" spans="5:14">
      <c r="E1297" s="448"/>
      <c r="N1297" s="448"/>
    </row>
    <row r="1298" spans="5:14">
      <c r="E1298" s="448"/>
      <c r="N1298" s="448"/>
    </row>
    <row r="1299" spans="5:14">
      <c r="E1299" s="448"/>
      <c r="N1299" s="448"/>
    </row>
    <row r="1300" spans="5:14">
      <c r="E1300" s="448"/>
      <c r="N1300" s="448"/>
    </row>
    <row r="1301" spans="5:14">
      <c r="E1301" s="448"/>
      <c r="N1301" s="448"/>
    </row>
    <row r="1302" spans="5:14">
      <c r="E1302" s="448"/>
      <c r="N1302" s="448"/>
    </row>
    <row r="1303" spans="5:14">
      <c r="E1303" s="448"/>
      <c r="N1303" s="448"/>
    </row>
    <row r="1304" spans="5:14">
      <c r="E1304" s="448"/>
      <c r="N1304" s="448"/>
    </row>
    <row r="1305" spans="5:14">
      <c r="E1305" s="448"/>
      <c r="N1305" s="448"/>
    </row>
    <row r="1306" spans="5:14">
      <c r="E1306" s="448"/>
      <c r="N1306" s="448"/>
    </row>
    <row r="1307" spans="5:14">
      <c r="E1307" s="448"/>
      <c r="N1307" s="448"/>
    </row>
    <row r="1308" spans="5:14">
      <c r="E1308" s="448"/>
      <c r="N1308" s="448"/>
    </row>
    <row r="1309" spans="5:14">
      <c r="E1309" s="448"/>
      <c r="N1309" s="448"/>
    </row>
    <row r="1310" spans="5:14">
      <c r="E1310" s="448"/>
      <c r="N1310" s="448"/>
    </row>
    <row r="1311" spans="5:14">
      <c r="E1311" s="448"/>
      <c r="N1311" s="448"/>
    </row>
    <row r="1312" spans="5:14">
      <c r="E1312" s="448"/>
      <c r="N1312" s="448"/>
    </row>
    <row r="1313" spans="5:14">
      <c r="E1313" s="448"/>
      <c r="N1313" s="448"/>
    </row>
    <row r="1314" spans="5:14">
      <c r="E1314" s="448"/>
      <c r="N1314" s="448"/>
    </row>
    <row r="1315" spans="5:14">
      <c r="E1315" s="448"/>
      <c r="N1315" s="448"/>
    </row>
    <row r="1316" spans="5:14">
      <c r="E1316" s="448"/>
      <c r="N1316" s="448"/>
    </row>
    <row r="1317" spans="5:14">
      <c r="E1317" s="448"/>
      <c r="N1317" s="448"/>
    </row>
    <row r="1318" spans="5:14">
      <c r="E1318" s="448"/>
      <c r="N1318" s="448"/>
    </row>
    <row r="1319" spans="5:14">
      <c r="E1319" s="448"/>
      <c r="N1319" s="448"/>
    </row>
    <row r="1320" spans="5:14">
      <c r="E1320" s="448"/>
      <c r="N1320" s="448"/>
    </row>
    <row r="1321" spans="5:14">
      <c r="E1321" s="448"/>
      <c r="N1321" s="448"/>
    </row>
    <row r="1322" spans="5:14">
      <c r="E1322" s="448"/>
      <c r="N1322" s="448"/>
    </row>
    <row r="1323" spans="5:14">
      <c r="E1323" s="448"/>
      <c r="N1323" s="448"/>
    </row>
    <row r="1324" spans="5:14">
      <c r="E1324" s="448"/>
      <c r="N1324" s="448"/>
    </row>
    <row r="1325" spans="5:14">
      <c r="E1325" s="448"/>
      <c r="N1325" s="448"/>
    </row>
    <row r="1326" spans="5:14">
      <c r="E1326" s="448"/>
      <c r="N1326" s="448"/>
    </row>
    <row r="1327" spans="5:14">
      <c r="E1327" s="448"/>
      <c r="N1327" s="448"/>
    </row>
    <row r="1328" spans="5:14">
      <c r="E1328" s="448"/>
      <c r="N1328" s="448"/>
    </row>
    <row r="1329" spans="5:14">
      <c r="E1329" s="448"/>
      <c r="N1329" s="448"/>
    </row>
    <row r="1330" spans="5:14">
      <c r="E1330" s="448"/>
      <c r="N1330" s="448"/>
    </row>
    <row r="1331" spans="5:14">
      <c r="E1331" s="448"/>
      <c r="N1331" s="448"/>
    </row>
    <row r="1332" spans="5:14">
      <c r="E1332" s="448"/>
      <c r="N1332" s="448"/>
    </row>
    <row r="1333" spans="5:14">
      <c r="E1333" s="448"/>
      <c r="N1333" s="448"/>
    </row>
    <row r="1334" spans="5:14">
      <c r="E1334" s="448"/>
      <c r="N1334" s="448"/>
    </row>
    <row r="1335" spans="5:14">
      <c r="E1335" s="448"/>
      <c r="N1335" s="448"/>
    </row>
    <row r="1336" spans="5:14">
      <c r="E1336" s="448"/>
      <c r="N1336" s="448"/>
    </row>
    <row r="1337" spans="5:14">
      <c r="E1337" s="448"/>
      <c r="N1337" s="448"/>
    </row>
    <row r="1338" spans="5:14">
      <c r="E1338" s="448"/>
      <c r="N1338" s="448"/>
    </row>
    <row r="1339" spans="5:14">
      <c r="E1339" s="448"/>
      <c r="N1339" s="448"/>
    </row>
    <row r="1340" spans="5:14">
      <c r="E1340" s="448"/>
      <c r="N1340" s="448"/>
    </row>
    <row r="1341" spans="5:14">
      <c r="E1341" s="448"/>
      <c r="N1341" s="448"/>
    </row>
    <row r="1342" spans="5:14">
      <c r="E1342" s="448"/>
      <c r="N1342" s="448"/>
    </row>
    <row r="1343" spans="5:14">
      <c r="E1343" s="448"/>
      <c r="N1343" s="448"/>
    </row>
    <row r="1344" spans="5:14">
      <c r="E1344" s="448"/>
      <c r="N1344" s="448"/>
    </row>
    <row r="1345" spans="5:14">
      <c r="E1345" s="448"/>
      <c r="N1345" s="448"/>
    </row>
    <row r="1346" spans="5:14">
      <c r="E1346" s="448"/>
      <c r="N1346" s="448"/>
    </row>
    <row r="1347" spans="5:14">
      <c r="E1347" s="448"/>
      <c r="N1347" s="448"/>
    </row>
    <row r="1348" spans="5:14">
      <c r="E1348" s="448"/>
      <c r="N1348" s="448"/>
    </row>
    <row r="1349" spans="5:14">
      <c r="E1349" s="448"/>
      <c r="N1349" s="448"/>
    </row>
    <row r="1350" spans="5:14">
      <c r="E1350" s="448"/>
      <c r="N1350" s="448"/>
    </row>
    <row r="1351" spans="5:14">
      <c r="E1351" s="448"/>
      <c r="N1351" s="448"/>
    </row>
    <row r="1352" spans="5:14">
      <c r="E1352" s="448"/>
      <c r="N1352" s="448"/>
    </row>
    <row r="1353" spans="5:14">
      <c r="E1353" s="448"/>
      <c r="N1353" s="448"/>
    </row>
    <row r="1354" spans="5:14">
      <c r="E1354" s="448"/>
      <c r="N1354" s="448"/>
    </row>
    <row r="1355" spans="5:14">
      <c r="E1355" s="448"/>
      <c r="N1355" s="448"/>
    </row>
    <row r="1356" spans="5:14">
      <c r="E1356" s="448"/>
      <c r="N1356" s="448"/>
    </row>
    <row r="1357" spans="5:14">
      <c r="E1357" s="448"/>
      <c r="N1357" s="448"/>
    </row>
    <row r="1358" spans="5:14">
      <c r="E1358" s="448"/>
      <c r="N1358" s="448"/>
    </row>
    <row r="1359" spans="5:14">
      <c r="E1359" s="448"/>
      <c r="N1359" s="448"/>
    </row>
    <row r="1360" spans="5:14">
      <c r="E1360" s="448"/>
      <c r="N1360" s="448"/>
    </row>
    <row r="1361" spans="5:14">
      <c r="E1361" s="448"/>
      <c r="N1361" s="448"/>
    </row>
    <row r="1362" spans="5:14">
      <c r="E1362" s="448"/>
      <c r="N1362" s="448"/>
    </row>
    <row r="1363" spans="5:14">
      <c r="E1363" s="448"/>
      <c r="N1363" s="448"/>
    </row>
    <row r="1364" spans="5:14">
      <c r="E1364" s="448"/>
      <c r="N1364" s="448"/>
    </row>
    <row r="1365" spans="5:14">
      <c r="E1365" s="448"/>
      <c r="N1365" s="448"/>
    </row>
    <row r="1366" spans="5:14">
      <c r="E1366" s="448"/>
      <c r="N1366" s="448"/>
    </row>
    <row r="1367" spans="5:14">
      <c r="E1367" s="448"/>
      <c r="N1367" s="448"/>
    </row>
    <row r="1368" spans="5:14">
      <c r="E1368" s="448"/>
      <c r="N1368" s="448"/>
    </row>
    <row r="1369" spans="5:14">
      <c r="E1369" s="448"/>
      <c r="N1369" s="448"/>
    </row>
    <row r="1370" spans="5:14">
      <c r="E1370" s="448"/>
      <c r="N1370" s="448"/>
    </row>
    <row r="1371" spans="5:14">
      <c r="E1371" s="448"/>
      <c r="N1371" s="448"/>
    </row>
    <row r="1372" spans="5:14">
      <c r="E1372" s="448"/>
      <c r="N1372" s="448"/>
    </row>
    <row r="1373" spans="5:14">
      <c r="E1373" s="448"/>
      <c r="N1373" s="448"/>
    </row>
    <row r="1374" spans="5:14">
      <c r="E1374" s="448"/>
      <c r="N1374" s="448"/>
    </row>
    <row r="1375" spans="5:14">
      <c r="E1375" s="448"/>
      <c r="N1375" s="448"/>
    </row>
    <row r="1376" spans="5:14">
      <c r="E1376" s="448"/>
      <c r="N1376" s="448"/>
    </row>
    <row r="1377" spans="5:14">
      <c r="E1377" s="448"/>
      <c r="N1377" s="448"/>
    </row>
    <row r="1378" spans="5:14">
      <c r="E1378" s="448"/>
      <c r="N1378" s="448"/>
    </row>
    <row r="1379" spans="5:14">
      <c r="E1379" s="448"/>
      <c r="N1379" s="448"/>
    </row>
    <row r="1380" spans="5:14">
      <c r="E1380" s="448"/>
      <c r="N1380" s="448"/>
    </row>
    <row r="1381" spans="5:14">
      <c r="E1381" s="448"/>
      <c r="N1381" s="448"/>
    </row>
    <row r="1382" spans="5:14">
      <c r="E1382" s="448"/>
      <c r="N1382" s="448"/>
    </row>
    <row r="1383" spans="5:14">
      <c r="E1383" s="448"/>
      <c r="N1383" s="448"/>
    </row>
    <row r="1384" spans="5:14">
      <c r="E1384" s="448"/>
      <c r="N1384" s="448"/>
    </row>
    <row r="1385" spans="5:14">
      <c r="E1385" s="448"/>
      <c r="N1385" s="448"/>
    </row>
    <row r="1386" spans="5:14">
      <c r="E1386" s="448"/>
      <c r="N1386" s="448"/>
    </row>
    <row r="1387" spans="5:14">
      <c r="E1387" s="448"/>
      <c r="N1387" s="448"/>
    </row>
    <row r="1388" spans="5:14">
      <c r="E1388" s="448"/>
      <c r="N1388" s="448"/>
    </row>
    <row r="1389" spans="5:14">
      <c r="E1389" s="448"/>
      <c r="N1389" s="448"/>
    </row>
    <row r="1390" spans="5:14">
      <c r="E1390" s="448"/>
      <c r="N1390" s="448"/>
    </row>
    <row r="1391" spans="5:14">
      <c r="E1391" s="448"/>
      <c r="N1391" s="448"/>
    </row>
    <row r="1392" spans="5:14">
      <c r="E1392" s="448"/>
      <c r="N1392" s="448"/>
    </row>
    <row r="1393" spans="5:14">
      <c r="E1393" s="448"/>
      <c r="N1393" s="448"/>
    </row>
    <row r="1394" spans="5:14">
      <c r="E1394" s="448"/>
      <c r="N1394" s="448"/>
    </row>
    <row r="1395" spans="5:14">
      <c r="E1395" s="448"/>
      <c r="N1395" s="448"/>
    </row>
    <row r="1396" spans="5:14">
      <c r="E1396" s="448"/>
      <c r="N1396" s="448"/>
    </row>
    <row r="1397" spans="5:14">
      <c r="E1397" s="448"/>
      <c r="N1397" s="448"/>
    </row>
    <row r="1398" spans="5:14">
      <c r="E1398" s="448"/>
      <c r="N1398" s="448"/>
    </row>
    <row r="1399" spans="5:14">
      <c r="E1399" s="448"/>
      <c r="N1399" s="448"/>
    </row>
    <row r="1400" spans="5:14">
      <c r="E1400" s="448"/>
      <c r="N1400" s="448"/>
    </row>
    <row r="1401" spans="5:14">
      <c r="E1401" s="448"/>
      <c r="N1401" s="448"/>
    </row>
    <row r="1402" spans="5:14">
      <c r="E1402" s="448"/>
      <c r="N1402" s="448"/>
    </row>
    <row r="1403" spans="5:14">
      <c r="E1403" s="448"/>
      <c r="N1403" s="448"/>
    </row>
    <row r="1404" spans="5:14">
      <c r="E1404" s="448"/>
      <c r="N1404" s="448"/>
    </row>
    <row r="1405" spans="5:14">
      <c r="E1405" s="448"/>
      <c r="N1405" s="448"/>
    </row>
    <row r="1406" spans="5:14">
      <c r="E1406" s="448"/>
      <c r="N1406" s="448"/>
    </row>
    <row r="1407" spans="5:14">
      <c r="E1407" s="448"/>
      <c r="N1407" s="448"/>
    </row>
    <row r="1408" spans="5:14">
      <c r="E1408" s="448"/>
      <c r="N1408" s="448"/>
    </row>
    <row r="1409" spans="5:14">
      <c r="E1409" s="448"/>
      <c r="N1409" s="448"/>
    </row>
    <row r="1410" spans="5:14">
      <c r="E1410" s="448"/>
      <c r="N1410" s="448"/>
    </row>
    <row r="1411" spans="5:14">
      <c r="E1411" s="448"/>
      <c r="N1411" s="448"/>
    </row>
    <row r="1412" spans="5:14">
      <c r="E1412" s="448"/>
      <c r="N1412" s="448"/>
    </row>
    <row r="1413" spans="5:14">
      <c r="E1413" s="448"/>
      <c r="N1413" s="448"/>
    </row>
    <row r="1414" spans="5:14">
      <c r="E1414" s="448"/>
      <c r="N1414" s="448"/>
    </row>
    <row r="1415" spans="5:14">
      <c r="E1415" s="448"/>
      <c r="N1415" s="448"/>
    </row>
    <row r="1416" spans="5:14">
      <c r="E1416" s="448"/>
      <c r="N1416" s="448"/>
    </row>
    <row r="1417" spans="5:14">
      <c r="E1417" s="448"/>
      <c r="N1417" s="448"/>
    </row>
    <row r="1418" spans="5:14">
      <c r="E1418" s="448"/>
      <c r="N1418" s="448"/>
    </row>
    <row r="1419" spans="5:14">
      <c r="E1419" s="448"/>
      <c r="N1419" s="448"/>
    </row>
    <row r="1420" spans="5:14">
      <c r="E1420" s="448"/>
      <c r="N1420" s="448"/>
    </row>
    <row r="1421" spans="5:14">
      <c r="E1421" s="448"/>
      <c r="N1421" s="448"/>
    </row>
    <row r="1422" spans="5:14">
      <c r="E1422" s="448"/>
      <c r="N1422" s="448"/>
    </row>
    <row r="1423" spans="5:14">
      <c r="E1423" s="448"/>
      <c r="N1423" s="448"/>
    </row>
    <row r="1424" spans="5:14">
      <c r="E1424" s="448"/>
      <c r="N1424" s="448"/>
    </row>
    <row r="1425" spans="5:14">
      <c r="E1425" s="448"/>
      <c r="N1425" s="448"/>
    </row>
    <row r="1426" spans="5:14">
      <c r="E1426" s="448"/>
      <c r="N1426" s="448"/>
    </row>
    <row r="1427" spans="5:14">
      <c r="E1427" s="448"/>
      <c r="N1427" s="448"/>
    </row>
    <row r="1428" spans="5:14">
      <c r="E1428" s="448"/>
      <c r="N1428" s="448"/>
    </row>
    <row r="1429" spans="5:14">
      <c r="E1429" s="448"/>
      <c r="N1429" s="448"/>
    </row>
    <row r="1430" spans="5:14">
      <c r="E1430" s="448"/>
      <c r="N1430" s="448"/>
    </row>
    <row r="1431" spans="5:14">
      <c r="E1431" s="448"/>
      <c r="N1431" s="448"/>
    </row>
    <row r="1432" spans="5:14">
      <c r="E1432" s="448"/>
      <c r="N1432" s="448"/>
    </row>
    <row r="1433" spans="5:14">
      <c r="E1433" s="448"/>
      <c r="N1433" s="448"/>
    </row>
    <row r="1434" spans="5:14">
      <c r="E1434" s="448"/>
      <c r="N1434" s="448"/>
    </row>
    <row r="1435" spans="5:14">
      <c r="E1435" s="448"/>
      <c r="N1435" s="448"/>
    </row>
    <row r="1436" spans="5:14">
      <c r="E1436" s="448"/>
      <c r="N1436" s="448"/>
    </row>
    <row r="1437" spans="5:14">
      <c r="E1437" s="448"/>
      <c r="N1437" s="448"/>
    </row>
    <row r="1438" spans="5:14">
      <c r="E1438" s="448"/>
      <c r="N1438" s="448"/>
    </row>
    <row r="1439" spans="5:14">
      <c r="E1439" s="448"/>
      <c r="N1439" s="448"/>
    </row>
    <row r="1440" spans="5:14">
      <c r="E1440" s="448"/>
      <c r="N1440" s="448"/>
    </row>
    <row r="1441" spans="5:14">
      <c r="E1441" s="448"/>
      <c r="N1441" s="448"/>
    </row>
    <row r="1442" spans="5:14">
      <c r="E1442" s="448"/>
      <c r="N1442" s="448"/>
    </row>
    <row r="1443" spans="5:14">
      <c r="E1443" s="448"/>
      <c r="N1443" s="448"/>
    </row>
    <row r="1444" spans="5:14">
      <c r="E1444" s="448"/>
      <c r="N1444" s="448"/>
    </row>
    <row r="1445" spans="5:14">
      <c r="E1445" s="448"/>
      <c r="N1445" s="448"/>
    </row>
    <row r="1446" spans="5:14">
      <c r="E1446" s="448"/>
      <c r="N1446" s="448"/>
    </row>
    <row r="1447" spans="5:14">
      <c r="E1447" s="448"/>
      <c r="N1447" s="448"/>
    </row>
    <row r="1448" spans="5:14">
      <c r="E1448" s="448"/>
      <c r="N1448" s="448"/>
    </row>
    <row r="1449" spans="5:14">
      <c r="E1449" s="448"/>
      <c r="N1449" s="448"/>
    </row>
    <row r="1450" spans="5:14">
      <c r="E1450" s="448"/>
      <c r="N1450" s="448"/>
    </row>
    <row r="1451" spans="5:14">
      <c r="E1451" s="448"/>
      <c r="N1451" s="448"/>
    </row>
    <row r="1452" spans="5:14">
      <c r="E1452" s="448"/>
      <c r="N1452" s="448"/>
    </row>
    <row r="1453" spans="5:14">
      <c r="E1453" s="448"/>
      <c r="N1453" s="448"/>
    </row>
    <row r="1454" spans="5:14">
      <c r="E1454" s="448"/>
      <c r="N1454" s="448"/>
    </row>
    <row r="1455" spans="5:14">
      <c r="E1455" s="448"/>
      <c r="N1455" s="448"/>
    </row>
    <row r="1456" spans="5:14">
      <c r="E1456" s="448"/>
      <c r="N1456" s="448"/>
    </row>
    <row r="1457" spans="5:14">
      <c r="E1457" s="448"/>
      <c r="N1457" s="448"/>
    </row>
    <row r="1458" spans="5:14">
      <c r="E1458" s="448"/>
      <c r="N1458" s="448"/>
    </row>
    <row r="1459" spans="5:14">
      <c r="E1459" s="448"/>
      <c r="N1459" s="448"/>
    </row>
    <row r="1460" spans="5:14">
      <c r="E1460" s="448"/>
      <c r="N1460" s="448"/>
    </row>
    <row r="1461" spans="5:14">
      <c r="E1461" s="448"/>
      <c r="N1461" s="448"/>
    </row>
    <row r="1462" spans="5:14">
      <c r="E1462" s="448"/>
      <c r="N1462" s="448"/>
    </row>
    <row r="1463" spans="5:14">
      <c r="E1463" s="448"/>
      <c r="N1463" s="448"/>
    </row>
    <row r="1464" spans="5:14">
      <c r="E1464" s="448"/>
      <c r="N1464" s="448"/>
    </row>
    <row r="1465" spans="5:14">
      <c r="E1465" s="448"/>
      <c r="N1465" s="448"/>
    </row>
    <row r="1466" spans="5:14">
      <c r="E1466" s="448"/>
      <c r="N1466" s="448"/>
    </row>
    <row r="1467" spans="5:14">
      <c r="E1467" s="448"/>
      <c r="N1467" s="448"/>
    </row>
    <row r="1468" spans="5:14">
      <c r="E1468" s="448"/>
      <c r="N1468" s="448"/>
    </row>
    <row r="1469" spans="5:14">
      <c r="E1469" s="448"/>
      <c r="N1469" s="448"/>
    </row>
    <row r="1470" spans="5:14">
      <c r="E1470" s="448"/>
      <c r="N1470" s="448"/>
    </row>
    <row r="1471" spans="5:14">
      <c r="E1471" s="448"/>
      <c r="N1471" s="448"/>
    </row>
    <row r="1472" spans="5:14">
      <c r="E1472" s="448"/>
      <c r="N1472" s="448"/>
    </row>
    <row r="1473" spans="5:14">
      <c r="E1473" s="448"/>
      <c r="N1473" s="448"/>
    </row>
    <row r="1474" spans="5:14">
      <c r="E1474" s="448"/>
      <c r="N1474" s="448"/>
    </row>
    <row r="1475" spans="5:14">
      <c r="E1475" s="448"/>
      <c r="N1475" s="448"/>
    </row>
    <row r="1476" spans="5:14">
      <c r="E1476" s="448"/>
      <c r="N1476" s="448"/>
    </row>
    <row r="1477" spans="5:14">
      <c r="E1477" s="448"/>
      <c r="N1477" s="448"/>
    </row>
    <row r="1478" spans="5:14">
      <c r="E1478" s="448"/>
      <c r="N1478" s="448"/>
    </row>
    <row r="1479" spans="5:14">
      <c r="E1479" s="448"/>
      <c r="N1479" s="448"/>
    </row>
    <row r="1480" spans="5:14">
      <c r="E1480" s="448"/>
      <c r="N1480" s="448"/>
    </row>
    <row r="1481" spans="5:14">
      <c r="E1481" s="448"/>
      <c r="N1481" s="448"/>
    </row>
    <row r="1482" spans="5:14">
      <c r="E1482" s="448"/>
      <c r="N1482" s="448"/>
    </row>
    <row r="1483" spans="5:14">
      <c r="E1483" s="448"/>
      <c r="N1483" s="448"/>
    </row>
    <row r="1484" spans="5:14">
      <c r="E1484" s="448"/>
      <c r="N1484" s="448"/>
    </row>
    <row r="1485" spans="5:14">
      <c r="E1485" s="448"/>
      <c r="N1485" s="448"/>
    </row>
    <row r="1486" spans="5:14">
      <c r="E1486" s="448"/>
      <c r="N1486" s="448"/>
    </row>
    <row r="1487" spans="5:14">
      <c r="E1487" s="448"/>
      <c r="N1487" s="448"/>
    </row>
    <row r="1488" spans="5:14">
      <c r="E1488" s="448"/>
      <c r="N1488" s="448"/>
    </row>
    <row r="1489" spans="5:14">
      <c r="E1489" s="448"/>
      <c r="N1489" s="448"/>
    </row>
    <row r="1490" spans="5:14">
      <c r="E1490" s="448"/>
      <c r="N1490" s="448"/>
    </row>
    <row r="1491" spans="5:14">
      <c r="E1491" s="448"/>
      <c r="N1491" s="448"/>
    </row>
    <row r="1492" spans="5:14">
      <c r="E1492" s="448"/>
      <c r="N1492" s="448"/>
    </row>
    <row r="1493" spans="5:14">
      <c r="E1493" s="448"/>
      <c r="N1493" s="448"/>
    </row>
    <row r="1494" spans="5:14">
      <c r="E1494" s="448"/>
      <c r="N1494" s="448"/>
    </row>
    <row r="1495" spans="5:14">
      <c r="E1495" s="448"/>
      <c r="N1495" s="448"/>
    </row>
    <row r="1496" spans="5:14">
      <c r="E1496" s="448"/>
      <c r="N1496" s="448"/>
    </row>
    <row r="1497" spans="5:14">
      <c r="E1497" s="448"/>
      <c r="N1497" s="448"/>
    </row>
    <row r="1498" spans="5:14">
      <c r="E1498" s="448"/>
      <c r="N1498" s="448"/>
    </row>
    <row r="1499" spans="5:14">
      <c r="E1499" s="448"/>
      <c r="N1499" s="448"/>
    </row>
    <row r="1500" spans="5:14">
      <c r="E1500" s="448"/>
      <c r="N1500" s="448"/>
    </row>
    <row r="1501" spans="5:14">
      <c r="E1501" s="448"/>
      <c r="N1501" s="448"/>
    </row>
    <row r="1502" spans="5:14">
      <c r="E1502" s="448"/>
      <c r="N1502" s="448"/>
    </row>
    <row r="1503" spans="5:14">
      <c r="E1503" s="448"/>
      <c r="N1503" s="448"/>
    </row>
    <row r="1504" spans="5:14">
      <c r="E1504" s="448"/>
      <c r="N1504" s="448"/>
    </row>
    <row r="1505" spans="5:14">
      <c r="E1505" s="448"/>
      <c r="N1505" s="448"/>
    </row>
    <row r="1506" spans="5:14">
      <c r="E1506" s="448"/>
      <c r="N1506" s="448"/>
    </row>
    <row r="1507" spans="5:14">
      <c r="E1507" s="448"/>
      <c r="N1507" s="448"/>
    </row>
    <row r="1508" spans="5:14">
      <c r="E1508" s="448"/>
      <c r="N1508" s="448"/>
    </row>
    <row r="1509" spans="5:14">
      <c r="E1509" s="448"/>
      <c r="N1509" s="448"/>
    </row>
    <row r="1510" spans="5:14">
      <c r="E1510" s="448"/>
      <c r="N1510" s="448"/>
    </row>
    <row r="1511" spans="5:14">
      <c r="E1511" s="448"/>
      <c r="N1511" s="448"/>
    </row>
    <row r="1512" spans="5:14">
      <c r="E1512" s="448"/>
      <c r="N1512" s="448"/>
    </row>
    <row r="1513" spans="5:14">
      <c r="E1513" s="448"/>
      <c r="N1513" s="448"/>
    </row>
    <row r="1514" spans="5:14">
      <c r="E1514" s="448"/>
      <c r="N1514" s="448"/>
    </row>
    <row r="1515" spans="5:14">
      <c r="E1515" s="448"/>
      <c r="N1515" s="448"/>
    </row>
    <row r="1516" spans="5:14">
      <c r="E1516" s="448"/>
      <c r="N1516" s="448"/>
    </row>
    <row r="1517" spans="5:14">
      <c r="E1517" s="448"/>
      <c r="N1517" s="448"/>
    </row>
    <row r="1518" spans="5:14">
      <c r="E1518" s="448"/>
      <c r="N1518" s="448"/>
    </row>
    <row r="1519" spans="5:14">
      <c r="E1519" s="448"/>
      <c r="N1519" s="448"/>
    </row>
    <row r="1520" spans="5:14">
      <c r="E1520" s="448"/>
      <c r="N1520" s="448"/>
    </row>
    <row r="1521" spans="5:14">
      <c r="E1521" s="448"/>
      <c r="N1521" s="448"/>
    </row>
    <row r="1522" spans="5:14">
      <c r="E1522" s="448"/>
      <c r="N1522" s="448"/>
    </row>
    <row r="1523" spans="5:14">
      <c r="E1523" s="448"/>
      <c r="N1523" s="448"/>
    </row>
    <row r="1524" spans="5:14">
      <c r="E1524" s="448"/>
      <c r="N1524" s="448"/>
    </row>
    <row r="1525" spans="5:14">
      <c r="E1525" s="448"/>
      <c r="N1525" s="448"/>
    </row>
    <row r="1526" spans="5:14">
      <c r="E1526" s="448"/>
      <c r="N1526" s="448"/>
    </row>
    <row r="1527" spans="5:14">
      <c r="E1527" s="448"/>
      <c r="N1527" s="448"/>
    </row>
    <row r="1528" spans="5:14">
      <c r="E1528" s="448"/>
      <c r="N1528" s="448"/>
    </row>
    <row r="1529" spans="5:14">
      <c r="E1529" s="448"/>
      <c r="N1529" s="448"/>
    </row>
    <row r="1530" spans="5:14">
      <c r="E1530" s="448"/>
      <c r="N1530" s="448"/>
    </row>
    <row r="1531" spans="5:14">
      <c r="E1531" s="448"/>
      <c r="N1531" s="448"/>
    </row>
    <row r="1532" spans="5:14">
      <c r="E1532" s="448"/>
      <c r="N1532" s="448"/>
    </row>
    <row r="1533" spans="5:14">
      <c r="E1533" s="448"/>
      <c r="N1533" s="448"/>
    </row>
    <row r="1534" spans="5:14">
      <c r="E1534" s="448"/>
      <c r="N1534" s="448"/>
    </row>
    <row r="1535" spans="5:14">
      <c r="E1535" s="448"/>
      <c r="N1535" s="448"/>
    </row>
    <row r="1536" spans="5:14">
      <c r="E1536" s="448"/>
      <c r="N1536" s="448"/>
    </row>
    <row r="1537" spans="5:14">
      <c r="E1537" s="448"/>
      <c r="N1537" s="448"/>
    </row>
    <row r="1538" spans="5:14">
      <c r="E1538" s="448"/>
      <c r="N1538" s="448"/>
    </row>
    <row r="1539" spans="5:14">
      <c r="E1539" s="448"/>
      <c r="N1539" s="448"/>
    </row>
    <row r="1540" spans="5:14">
      <c r="E1540" s="448"/>
      <c r="N1540" s="448"/>
    </row>
    <row r="1541" spans="5:14">
      <c r="E1541" s="448"/>
      <c r="N1541" s="448"/>
    </row>
    <row r="1542" spans="5:14">
      <c r="E1542" s="448"/>
      <c r="N1542" s="448"/>
    </row>
    <row r="1543" spans="5:14">
      <c r="E1543" s="448"/>
      <c r="N1543" s="448"/>
    </row>
    <row r="1544" spans="5:14">
      <c r="E1544" s="448"/>
      <c r="N1544" s="448"/>
    </row>
    <row r="1545" spans="5:14">
      <c r="E1545" s="448"/>
      <c r="N1545" s="448"/>
    </row>
    <row r="1546" spans="5:14">
      <c r="E1546" s="448"/>
      <c r="N1546" s="448"/>
    </row>
    <row r="1547" spans="5:14">
      <c r="E1547" s="448"/>
      <c r="N1547" s="448"/>
    </row>
    <row r="1548" spans="5:14">
      <c r="E1548" s="448"/>
      <c r="N1548" s="448"/>
    </row>
    <row r="1549" spans="5:14">
      <c r="E1549" s="448"/>
      <c r="N1549" s="448"/>
    </row>
    <row r="1550" spans="5:14">
      <c r="E1550" s="448"/>
      <c r="N1550" s="448"/>
    </row>
    <row r="1551" spans="5:14">
      <c r="E1551" s="448"/>
      <c r="N1551" s="448"/>
    </row>
    <row r="1552" spans="5:14">
      <c r="E1552" s="448"/>
      <c r="N1552" s="448"/>
    </row>
    <row r="1553" spans="5:14">
      <c r="E1553" s="448"/>
      <c r="N1553" s="448"/>
    </row>
    <row r="1554" spans="5:14">
      <c r="E1554" s="448"/>
      <c r="N1554" s="448"/>
    </row>
    <row r="1555" spans="5:14">
      <c r="E1555" s="448"/>
      <c r="N1555" s="448"/>
    </row>
    <row r="1556" spans="5:14">
      <c r="E1556" s="448"/>
      <c r="N1556" s="448"/>
    </row>
    <row r="1557" spans="5:14">
      <c r="E1557" s="448"/>
      <c r="N1557" s="448"/>
    </row>
    <row r="1558" spans="5:14">
      <c r="E1558" s="448"/>
      <c r="N1558" s="448"/>
    </row>
    <row r="1559" spans="5:14">
      <c r="E1559" s="448"/>
      <c r="N1559" s="448"/>
    </row>
    <row r="1560" spans="5:14">
      <c r="E1560" s="448"/>
      <c r="N1560" s="448"/>
    </row>
    <row r="1561" spans="5:14">
      <c r="E1561" s="448"/>
      <c r="N1561" s="448"/>
    </row>
    <row r="1562" spans="5:14">
      <c r="E1562" s="448"/>
      <c r="N1562" s="448"/>
    </row>
    <row r="1563" spans="5:14">
      <c r="E1563" s="448"/>
      <c r="N1563" s="448"/>
    </row>
    <row r="1564" spans="5:14">
      <c r="E1564" s="448"/>
      <c r="N1564" s="448"/>
    </row>
    <row r="1565" spans="5:14">
      <c r="E1565" s="448"/>
      <c r="N1565" s="448"/>
    </row>
    <row r="1566" spans="5:14">
      <c r="E1566" s="448"/>
      <c r="N1566" s="448"/>
    </row>
    <row r="1567" spans="5:14">
      <c r="E1567" s="448"/>
      <c r="N1567" s="448"/>
    </row>
    <row r="1568" spans="5:14">
      <c r="E1568" s="448"/>
      <c r="N1568" s="448"/>
    </row>
    <row r="1569" spans="5:14">
      <c r="E1569" s="448"/>
      <c r="N1569" s="448"/>
    </row>
    <row r="1570" spans="5:14">
      <c r="E1570" s="448"/>
      <c r="N1570" s="448"/>
    </row>
    <row r="1571" spans="5:14">
      <c r="E1571" s="448"/>
      <c r="N1571" s="448"/>
    </row>
    <row r="1572" spans="5:14">
      <c r="E1572" s="448"/>
      <c r="N1572" s="448"/>
    </row>
    <row r="1573" spans="5:14">
      <c r="E1573" s="448"/>
      <c r="N1573" s="448"/>
    </row>
    <row r="1574" spans="5:14">
      <c r="E1574" s="448"/>
      <c r="N1574" s="448"/>
    </row>
    <row r="1575" spans="5:14">
      <c r="E1575" s="448"/>
      <c r="N1575" s="448"/>
    </row>
    <row r="1576" spans="5:14">
      <c r="E1576" s="448"/>
      <c r="N1576" s="448"/>
    </row>
    <row r="1577" spans="5:14">
      <c r="E1577" s="448"/>
      <c r="N1577" s="448"/>
    </row>
    <row r="1578" spans="5:14">
      <c r="E1578" s="448"/>
      <c r="N1578" s="448"/>
    </row>
    <row r="1579" spans="5:14">
      <c r="E1579" s="448"/>
      <c r="N1579" s="448"/>
    </row>
    <row r="1580" spans="5:14">
      <c r="E1580" s="448"/>
      <c r="N1580" s="448"/>
    </row>
    <row r="1581" spans="5:14">
      <c r="E1581" s="448"/>
      <c r="N1581" s="448"/>
    </row>
    <row r="1582" spans="5:14">
      <c r="E1582" s="448"/>
      <c r="N1582" s="448"/>
    </row>
    <row r="1583" spans="5:14">
      <c r="E1583" s="448"/>
      <c r="N1583" s="448"/>
    </row>
    <row r="1584" spans="5:14">
      <c r="E1584" s="448"/>
      <c r="N1584" s="448"/>
    </row>
    <row r="1585" spans="5:14">
      <c r="E1585" s="448"/>
      <c r="N1585" s="448"/>
    </row>
    <row r="1586" spans="5:14">
      <c r="E1586" s="448"/>
      <c r="N1586" s="448"/>
    </row>
    <row r="1587" spans="5:14">
      <c r="E1587" s="448"/>
      <c r="N1587" s="448"/>
    </row>
    <row r="1588" spans="5:14">
      <c r="E1588" s="448"/>
      <c r="N1588" s="448"/>
    </row>
    <row r="1589" spans="5:14">
      <c r="E1589" s="448"/>
      <c r="N1589" s="448"/>
    </row>
    <row r="1590" spans="5:14">
      <c r="E1590" s="448"/>
      <c r="N1590" s="448"/>
    </row>
    <row r="1591" spans="5:14">
      <c r="E1591" s="448"/>
      <c r="N1591" s="448"/>
    </row>
    <row r="1592" spans="5:14">
      <c r="E1592" s="448"/>
      <c r="N1592" s="448"/>
    </row>
    <row r="1593" spans="5:14">
      <c r="E1593" s="448"/>
      <c r="N1593" s="448"/>
    </row>
    <row r="1594" spans="5:14">
      <c r="E1594" s="448"/>
      <c r="N1594" s="448"/>
    </row>
    <row r="1595" spans="5:14">
      <c r="E1595" s="448"/>
      <c r="N1595" s="448"/>
    </row>
    <row r="1596" spans="5:14">
      <c r="E1596" s="448"/>
      <c r="N1596" s="448"/>
    </row>
    <row r="1597" spans="5:14">
      <c r="E1597" s="448"/>
      <c r="N1597" s="448"/>
    </row>
    <row r="1598" spans="5:14">
      <c r="E1598" s="448"/>
      <c r="N1598" s="448"/>
    </row>
    <row r="1599" spans="5:14">
      <c r="E1599" s="448"/>
      <c r="N1599" s="448"/>
    </row>
    <row r="1600" spans="5:14">
      <c r="E1600" s="448"/>
      <c r="N1600" s="448"/>
    </row>
    <row r="1601" spans="5:14">
      <c r="E1601" s="448"/>
      <c r="N1601" s="448"/>
    </row>
    <row r="1602" spans="5:14">
      <c r="E1602" s="448"/>
      <c r="N1602" s="448"/>
    </row>
    <row r="1603" spans="5:14">
      <c r="E1603" s="448"/>
      <c r="N1603" s="448"/>
    </row>
    <row r="1604" spans="5:14">
      <c r="E1604" s="448"/>
      <c r="N1604" s="448"/>
    </row>
    <row r="1605" spans="5:14">
      <c r="E1605" s="448"/>
      <c r="N1605" s="448"/>
    </row>
    <row r="1606" spans="5:14">
      <c r="E1606" s="448"/>
      <c r="N1606" s="448"/>
    </row>
    <row r="1607" spans="5:14">
      <c r="E1607" s="448"/>
      <c r="N1607" s="448"/>
    </row>
    <row r="1608" spans="5:14">
      <c r="E1608" s="448"/>
      <c r="N1608" s="448"/>
    </row>
    <row r="1609" spans="5:14">
      <c r="E1609" s="448"/>
      <c r="N1609" s="448"/>
    </row>
    <row r="1610" spans="5:14">
      <c r="E1610" s="448"/>
      <c r="N1610" s="448"/>
    </row>
    <row r="1611" spans="5:14">
      <c r="E1611" s="448"/>
      <c r="N1611" s="448"/>
    </row>
    <row r="1612" spans="5:14">
      <c r="E1612" s="448"/>
      <c r="N1612" s="448"/>
    </row>
    <row r="1613" spans="5:14">
      <c r="E1613" s="448"/>
      <c r="N1613" s="448"/>
    </row>
    <row r="1614" spans="5:14">
      <c r="E1614" s="448"/>
      <c r="N1614" s="448"/>
    </row>
    <row r="1615" spans="5:14">
      <c r="E1615" s="448"/>
      <c r="N1615" s="448"/>
    </row>
    <row r="1616" spans="5:14">
      <c r="E1616" s="448"/>
      <c r="N1616" s="448"/>
    </row>
    <row r="1617" spans="5:14">
      <c r="E1617" s="448"/>
      <c r="N1617" s="448"/>
    </row>
    <row r="1618" spans="5:14">
      <c r="E1618" s="448"/>
      <c r="N1618" s="448"/>
    </row>
    <row r="1619" spans="5:14">
      <c r="E1619" s="448"/>
      <c r="N1619" s="448"/>
    </row>
    <row r="1620" spans="5:14">
      <c r="E1620" s="448"/>
      <c r="N1620" s="448"/>
    </row>
    <row r="1621" spans="5:14">
      <c r="E1621" s="448"/>
      <c r="N1621" s="448"/>
    </row>
    <row r="1622" spans="5:14">
      <c r="E1622" s="448"/>
      <c r="N1622" s="448"/>
    </row>
    <row r="1623" spans="5:14">
      <c r="E1623" s="448"/>
      <c r="N1623" s="448"/>
    </row>
    <row r="1624" spans="5:14">
      <c r="E1624" s="448"/>
      <c r="N1624" s="448"/>
    </row>
    <row r="1625" spans="5:14">
      <c r="E1625" s="448"/>
      <c r="N1625" s="448"/>
    </row>
    <row r="1626" spans="5:14">
      <c r="E1626" s="448"/>
      <c r="N1626" s="448"/>
    </row>
    <row r="1627" spans="5:14">
      <c r="E1627" s="448"/>
      <c r="N1627" s="448"/>
    </row>
    <row r="1628" spans="5:14">
      <c r="E1628" s="448"/>
      <c r="N1628" s="448"/>
    </row>
    <row r="1629" spans="5:14">
      <c r="E1629" s="448"/>
      <c r="N1629" s="448"/>
    </row>
    <row r="1630" spans="5:14">
      <c r="E1630" s="448"/>
      <c r="N1630" s="448"/>
    </row>
    <row r="1631" spans="5:14">
      <c r="E1631" s="448"/>
      <c r="N1631" s="448"/>
    </row>
    <row r="1632" spans="5:14">
      <c r="E1632" s="448"/>
      <c r="N1632" s="448"/>
    </row>
    <row r="1633" spans="5:14">
      <c r="E1633" s="448"/>
      <c r="N1633" s="448"/>
    </row>
    <row r="1634" spans="5:14">
      <c r="E1634" s="448"/>
      <c r="N1634" s="448"/>
    </row>
    <row r="1635" spans="5:14">
      <c r="E1635" s="448"/>
      <c r="N1635" s="448"/>
    </row>
    <row r="1636" spans="5:14">
      <c r="E1636" s="448"/>
      <c r="N1636" s="448"/>
    </row>
    <row r="1637" spans="5:14">
      <c r="E1637" s="448"/>
      <c r="N1637" s="448"/>
    </row>
    <row r="1638" spans="5:14">
      <c r="E1638" s="448"/>
      <c r="N1638" s="448"/>
    </row>
    <row r="1639" spans="5:14">
      <c r="E1639" s="448"/>
      <c r="N1639" s="448"/>
    </row>
    <row r="1640" spans="5:14">
      <c r="E1640" s="448"/>
      <c r="N1640" s="448"/>
    </row>
    <row r="1641" spans="5:14">
      <c r="E1641" s="448"/>
      <c r="N1641" s="448"/>
    </row>
    <row r="1642" spans="5:14">
      <c r="E1642" s="448"/>
      <c r="N1642" s="448"/>
    </row>
    <row r="1643" spans="5:14">
      <c r="E1643" s="448"/>
      <c r="N1643" s="448"/>
    </row>
    <row r="1644" spans="5:14">
      <c r="E1644" s="448"/>
      <c r="N1644" s="448"/>
    </row>
    <row r="1645" spans="5:14">
      <c r="E1645" s="448"/>
      <c r="N1645" s="448"/>
    </row>
    <row r="1646" spans="5:14">
      <c r="E1646" s="448"/>
      <c r="N1646" s="448"/>
    </row>
    <row r="1647" spans="5:14">
      <c r="E1647" s="448"/>
      <c r="N1647" s="448"/>
    </row>
    <row r="1648" spans="5:14">
      <c r="E1648" s="448"/>
      <c r="N1648" s="448"/>
    </row>
    <row r="1649" spans="5:14">
      <c r="E1649" s="448"/>
      <c r="N1649" s="448"/>
    </row>
    <row r="1650" spans="5:14">
      <c r="E1650" s="448"/>
      <c r="N1650" s="448"/>
    </row>
    <row r="1651" spans="5:14">
      <c r="E1651" s="448"/>
      <c r="N1651" s="448"/>
    </row>
    <row r="1652" spans="5:14">
      <c r="E1652" s="448"/>
      <c r="N1652" s="448"/>
    </row>
    <row r="1653" spans="5:14">
      <c r="E1653" s="448"/>
      <c r="N1653" s="448"/>
    </row>
    <row r="1654" spans="5:14">
      <c r="E1654" s="448"/>
      <c r="N1654" s="448"/>
    </row>
    <row r="1655" spans="5:14">
      <c r="E1655" s="448"/>
      <c r="N1655" s="448"/>
    </row>
    <row r="1656" spans="5:14">
      <c r="E1656" s="448"/>
      <c r="N1656" s="448"/>
    </row>
    <row r="1657" spans="5:14">
      <c r="E1657" s="448"/>
      <c r="N1657" s="448"/>
    </row>
    <row r="1658" spans="5:14">
      <c r="E1658" s="448"/>
      <c r="N1658" s="448"/>
    </row>
    <row r="1659" spans="5:14">
      <c r="E1659" s="448"/>
      <c r="N1659" s="448"/>
    </row>
    <row r="1660" spans="5:14">
      <c r="E1660" s="448"/>
      <c r="N1660" s="448"/>
    </row>
    <row r="1661" spans="5:14">
      <c r="E1661" s="448"/>
      <c r="N1661" s="448"/>
    </row>
    <row r="1662" spans="5:14">
      <c r="E1662" s="448"/>
      <c r="N1662" s="448"/>
    </row>
    <row r="1663" spans="5:14">
      <c r="E1663" s="448"/>
      <c r="N1663" s="448"/>
    </row>
    <row r="1664" spans="5:14">
      <c r="E1664" s="448"/>
      <c r="N1664" s="448"/>
    </row>
    <row r="1665" spans="5:14">
      <c r="E1665" s="448"/>
      <c r="N1665" s="448"/>
    </row>
    <row r="1666" spans="5:14">
      <c r="E1666" s="448"/>
      <c r="N1666" s="448"/>
    </row>
    <row r="1667" spans="5:14">
      <c r="E1667" s="448"/>
      <c r="N1667" s="448"/>
    </row>
    <row r="1668" spans="5:14">
      <c r="E1668" s="448"/>
      <c r="N1668" s="448"/>
    </row>
    <row r="1669" spans="5:14">
      <c r="E1669" s="448"/>
      <c r="N1669" s="448"/>
    </row>
    <row r="1670" spans="5:14">
      <c r="E1670" s="448"/>
      <c r="N1670" s="448"/>
    </row>
    <row r="1671" spans="5:14">
      <c r="E1671" s="448"/>
      <c r="N1671" s="448"/>
    </row>
    <row r="1672" spans="5:14">
      <c r="E1672" s="448"/>
      <c r="N1672" s="448"/>
    </row>
    <row r="1673" spans="5:14">
      <c r="E1673" s="448"/>
      <c r="N1673" s="448"/>
    </row>
    <row r="1674" spans="5:14">
      <c r="E1674" s="448"/>
      <c r="N1674" s="448"/>
    </row>
    <row r="1675" spans="5:14">
      <c r="E1675" s="448"/>
      <c r="N1675" s="448"/>
    </row>
    <row r="1676" spans="5:14">
      <c r="E1676" s="448"/>
      <c r="N1676" s="448"/>
    </row>
    <row r="1677" spans="5:14">
      <c r="E1677" s="448"/>
      <c r="N1677" s="448"/>
    </row>
    <row r="1678" spans="5:14">
      <c r="E1678" s="448"/>
      <c r="N1678" s="448"/>
    </row>
    <row r="1679" spans="5:14">
      <c r="E1679" s="448"/>
      <c r="N1679" s="448"/>
    </row>
    <row r="1680" spans="5:14">
      <c r="E1680" s="448"/>
      <c r="N1680" s="448"/>
    </row>
    <row r="1681" spans="5:14">
      <c r="E1681" s="448"/>
      <c r="N1681" s="448"/>
    </row>
    <row r="1682" spans="5:14">
      <c r="E1682" s="448"/>
      <c r="N1682" s="448"/>
    </row>
    <row r="1683" spans="5:14">
      <c r="E1683" s="448"/>
      <c r="N1683" s="448"/>
    </row>
    <row r="1684" spans="5:14">
      <c r="E1684" s="448"/>
      <c r="N1684" s="448"/>
    </row>
    <row r="1685" spans="5:14">
      <c r="E1685" s="448"/>
      <c r="N1685" s="448"/>
    </row>
    <row r="1686" spans="5:14">
      <c r="E1686" s="448"/>
      <c r="N1686" s="448"/>
    </row>
    <row r="1687" spans="5:14">
      <c r="E1687" s="448"/>
      <c r="N1687" s="448"/>
    </row>
    <row r="1688" spans="5:14">
      <c r="E1688" s="448"/>
      <c r="N1688" s="448"/>
    </row>
    <row r="1689" spans="5:14">
      <c r="E1689" s="448"/>
      <c r="N1689" s="448"/>
    </row>
    <row r="1690" spans="5:14">
      <c r="E1690" s="448"/>
      <c r="N1690" s="448"/>
    </row>
    <row r="1691" spans="5:14">
      <c r="E1691" s="448"/>
      <c r="N1691" s="448"/>
    </row>
    <row r="1692" spans="5:14">
      <c r="E1692" s="448"/>
      <c r="N1692" s="448"/>
    </row>
    <row r="1693" spans="5:14">
      <c r="E1693" s="448"/>
      <c r="N1693" s="448"/>
    </row>
    <row r="1694" spans="5:14">
      <c r="E1694" s="448"/>
      <c r="N1694" s="448"/>
    </row>
    <row r="1695" spans="5:14">
      <c r="E1695" s="448"/>
      <c r="N1695" s="448"/>
    </row>
    <row r="1696" spans="5:14">
      <c r="E1696" s="448"/>
      <c r="N1696" s="448"/>
    </row>
    <row r="1697" spans="5:14">
      <c r="E1697" s="448"/>
      <c r="N1697" s="448"/>
    </row>
    <row r="1698" spans="5:14">
      <c r="E1698" s="448"/>
      <c r="N1698" s="448"/>
    </row>
    <row r="1699" spans="5:14">
      <c r="E1699" s="448"/>
      <c r="N1699" s="448"/>
    </row>
    <row r="1700" spans="5:14">
      <c r="E1700" s="448"/>
      <c r="N1700" s="448"/>
    </row>
    <row r="1701" spans="5:14">
      <c r="E1701" s="448"/>
      <c r="N1701" s="448"/>
    </row>
    <row r="1702" spans="5:14">
      <c r="E1702" s="448"/>
      <c r="N1702" s="448"/>
    </row>
    <row r="1703" spans="5:14">
      <c r="E1703" s="448"/>
      <c r="N1703" s="448"/>
    </row>
    <row r="1704" spans="5:14">
      <c r="E1704" s="448"/>
      <c r="N1704" s="448"/>
    </row>
    <row r="1705" spans="5:14">
      <c r="E1705" s="448"/>
      <c r="N1705" s="448"/>
    </row>
    <row r="1706" spans="5:14">
      <c r="E1706" s="448"/>
      <c r="N1706" s="448"/>
    </row>
    <row r="1707" spans="5:14">
      <c r="E1707" s="448"/>
      <c r="N1707" s="448"/>
    </row>
    <row r="1708" spans="5:14">
      <c r="E1708" s="448"/>
      <c r="N1708" s="448"/>
    </row>
    <row r="1709" spans="5:14">
      <c r="E1709" s="448"/>
      <c r="N1709" s="448"/>
    </row>
    <row r="1710" spans="5:14">
      <c r="E1710" s="448"/>
      <c r="N1710" s="448"/>
    </row>
    <row r="1711" spans="5:14">
      <c r="E1711" s="448"/>
      <c r="N1711" s="448"/>
    </row>
    <row r="1712" spans="5:14">
      <c r="E1712" s="448"/>
      <c r="N1712" s="448"/>
    </row>
    <row r="1713" spans="5:14">
      <c r="E1713" s="448"/>
      <c r="N1713" s="448"/>
    </row>
    <row r="1714" spans="5:14">
      <c r="E1714" s="448"/>
      <c r="N1714" s="448"/>
    </row>
    <row r="1715" spans="5:14">
      <c r="E1715" s="448"/>
      <c r="N1715" s="448"/>
    </row>
    <row r="1716" spans="5:14">
      <c r="E1716" s="448"/>
      <c r="N1716" s="448"/>
    </row>
    <row r="1717" spans="5:14">
      <c r="E1717" s="448"/>
      <c r="N1717" s="448"/>
    </row>
    <row r="1718" spans="5:14">
      <c r="E1718" s="448"/>
      <c r="N1718" s="448"/>
    </row>
    <row r="1719" spans="5:14">
      <c r="E1719" s="448"/>
      <c r="N1719" s="448"/>
    </row>
    <row r="1720" spans="5:14">
      <c r="E1720" s="448"/>
      <c r="N1720" s="448"/>
    </row>
    <row r="1721" spans="5:14">
      <c r="E1721" s="448"/>
      <c r="N1721" s="448"/>
    </row>
    <row r="1722" spans="5:14">
      <c r="E1722" s="448"/>
      <c r="N1722" s="448"/>
    </row>
    <row r="1723" spans="5:14">
      <c r="E1723" s="448"/>
      <c r="N1723" s="448"/>
    </row>
    <row r="1724" spans="5:14">
      <c r="E1724" s="448"/>
      <c r="N1724" s="448"/>
    </row>
    <row r="1725" spans="5:14">
      <c r="E1725" s="448"/>
      <c r="N1725" s="448"/>
    </row>
    <row r="1726" spans="5:14">
      <c r="E1726" s="448"/>
      <c r="N1726" s="448"/>
    </row>
    <row r="1727" spans="5:14">
      <c r="E1727" s="448"/>
      <c r="N1727" s="448"/>
    </row>
    <row r="1728" spans="5:14">
      <c r="E1728" s="448"/>
      <c r="N1728" s="448"/>
    </row>
    <row r="1729" spans="5:14">
      <c r="E1729" s="448"/>
      <c r="N1729" s="448"/>
    </row>
    <row r="1730" spans="5:14">
      <c r="E1730" s="448"/>
      <c r="N1730" s="448"/>
    </row>
    <row r="1731" spans="5:14">
      <c r="E1731" s="448"/>
      <c r="N1731" s="448"/>
    </row>
    <row r="1732" spans="5:14">
      <c r="E1732" s="448"/>
      <c r="N1732" s="448"/>
    </row>
    <row r="1733" spans="5:14">
      <c r="E1733" s="448"/>
      <c r="N1733" s="448"/>
    </row>
    <row r="1734" spans="5:14">
      <c r="E1734" s="448"/>
      <c r="N1734" s="448"/>
    </row>
    <row r="1735" spans="5:14">
      <c r="E1735" s="448"/>
      <c r="N1735" s="448"/>
    </row>
    <row r="1736" spans="5:14">
      <c r="E1736" s="448"/>
      <c r="N1736" s="448"/>
    </row>
    <row r="1737" spans="5:14">
      <c r="E1737" s="448"/>
      <c r="N1737" s="448"/>
    </row>
    <row r="1738" spans="5:14">
      <c r="E1738" s="448"/>
      <c r="N1738" s="448"/>
    </row>
    <row r="1739" spans="5:14">
      <c r="E1739" s="448"/>
      <c r="N1739" s="448"/>
    </row>
    <row r="1740" spans="5:14">
      <c r="E1740" s="448"/>
      <c r="N1740" s="448"/>
    </row>
    <row r="1741" spans="5:14">
      <c r="E1741" s="448"/>
      <c r="N1741" s="448"/>
    </row>
    <row r="1742" spans="5:14">
      <c r="E1742" s="448"/>
      <c r="N1742" s="448"/>
    </row>
    <row r="1743" spans="5:14">
      <c r="E1743" s="448"/>
      <c r="N1743" s="448"/>
    </row>
    <row r="1744" spans="5:14">
      <c r="E1744" s="448"/>
      <c r="N1744" s="448"/>
    </row>
    <row r="1745" spans="5:14">
      <c r="E1745" s="448"/>
      <c r="N1745" s="448"/>
    </row>
    <row r="1746" spans="5:14">
      <c r="E1746" s="448"/>
      <c r="N1746" s="448"/>
    </row>
    <row r="1747" spans="5:14">
      <c r="E1747" s="448"/>
      <c r="N1747" s="448"/>
    </row>
    <row r="1748" spans="5:14">
      <c r="E1748" s="448"/>
      <c r="N1748" s="448"/>
    </row>
    <row r="1749" spans="5:14">
      <c r="E1749" s="448"/>
      <c r="N1749" s="448"/>
    </row>
    <row r="1750" spans="5:14">
      <c r="E1750" s="448"/>
      <c r="N1750" s="448"/>
    </row>
    <row r="1751" spans="5:14">
      <c r="E1751" s="448"/>
      <c r="N1751" s="448"/>
    </row>
    <row r="1752" spans="5:14">
      <c r="E1752" s="448"/>
      <c r="N1752" s="448"/>
    </row>
    <row r="1753" spans="5:14">
      <c r="E1753" s="448"/>
      <c r="N1753" s="448"/>
    </row>
    <row r="1754" spans="5:14">
      <c r="E1754" s="448"/>
      <c r="N1754" s="448"/>
    </row>
    <row r="1755" spans="5:14">
      <c r="E1755" s="448"/>
      <c r="N1755" s="448"/>
    </row>
    <row r="1756" spans="5:14">
      <c r="E1756" s="448"/>
      <c r="N1756" s="448"/>
    </row>
    <row r="1757" spans="5:14">
      <c r="E1757" s="448"/>
      <c r="N1757" s="448"/>
    </row>
    <row r="1758" spans="5:14">
      <c r="E1758" s="448"/>
      <c r="N1758" s="448"/>
    </row>
    <row r="1759" spans="5:14">
      <c r="E1759" s="448"/>
      <c r="N1759" s="448"/>
    </row>
    <row r="1760" spans="5:14">
      <c r="E1760" s="448"/>
      <c r="N1760" s="448"/>
    </row>
    <row r="1761" spans="5:14">
      <c r="E1761" s="448"/>
      <c r="N1761" s="448"/>
    </row>
    <row r="1762" spans="5:14">
      <c r="E1762" s="448"/>
      <c r="N1762" s="448"/>
    </row>
    <row r="1763" spans="5:14">
      <c r="E1763" s="448"/>
      <c r="N1763" s="448"/>
    </row>
    <row r="1764" spans="5:14">
      <c r="E1764" s="448"/>
      <c r="N1764" s="448"/>
    </row>
    <row r="1765" spans="5:14">
      <c r="E1765" s="448"/>
      <c r="N1765" s="448"/>
    </row>
    <row r="1766" spans="5:14">
      <c r="E1766" s="448"/>
      <c r="N1766" s="448"/>
    </row>
    <row r="1767" spans="5:14">
      <c r="E1767" s="448"/>
      <c r="N1767" s="448"/>
    </row>
    <row r="1768" spans="5:14">
      <c r="E1768" s="448"/>
      <c r="N1768" s="448"/>
    </row>
    <row r="1769" spans="5:14">
      <c r="E1769" s="448"/>
      <c r="N1769" s="448"/>
    </row>
    <row r="1770" spans="5:14">
      <c r="E1770" s="448"/>
      <c r="N1770" s="448"/>
    </row>
    <row r="1771" spans="5:14">
      <c r="E1771" s="448"/>
      <c r="N1771" s="448"/>
    </row>
    <row r="1772" spans="5:14">
      <c r="E1772" s="448"/>
      <c r="N1772" s="448"/>
    </row>
    <row r="1773" spans="5:14">
      <c r="E1773" s="448"/>
      <c r="N1773" s="448"/>
    </row>
    <row r="1774" spans="5:14">
      <c r="E1774" s="448"/>
      <c r="N1774" s="448"/>
    </row>
    <row r="1775" spans="5:14">
      <c r="E1775" s="448"/>
      <c r="N1775" s="448"/>
    </row>
    <row r="1776" spans="5:14">
      <c r="E1776" s="448"/>
      <c r="N1776" s="448"/>
    </row>
    <row r="1777" spans="5:14">
      <c r="E1777" s="448"/>
      <c r="N1777" s="448"/>
    </row>
    <row r="1778" spans="5:14">
      <c r="E1778" s="448"/>
      <c r="N1778" s="448"/>
    </row>
    <row r="1779" spans="5:14">
      <c r="E1779" s="448"/>
      <c r="N1779" s="448"/>
    </row>
    <row r="1780" spans="5:14">
      <c r="E1780" s="448"/>
      <c r="N1780" s="448"/>
    </row>
    <row r="1781" spans="5:14">
      <c r="E1781" s="448"/>
      <c r="N1781" s="448"/>
    </row>
    <row r="1782" spans="5:14">
      <c r="E1782" s="448"/>
      <c r="N1782" s="448"/>
    </row>
    <row r="1783" spans="5:14">
      <c r="E1783" s="448"/>
      <c r="N1783" s="448"/>
    </row>
    <row r="1784" spans="5:14">
      <c r="E1784" s="448"/>
      <c r="N1784" s="448"/>
    </row>
    <row r="1785" spans="5:14">
      <c r="E1785" s="448"/>
      <c r="N1785" s="448"/>
    </row>
    <row r="1786" spans="5:14">
      <c r="E1786" s="448"/>
      <c r="N1786" s="448"/>
    </row>
    <row r="1787" spans="5:14">
      <c r="E1787" s="448"/>
      <c r="N1787" s="448"/>
    </row>
    <row r="1788" spans="5:14">
      <c r="E1788" s="448"/>
      <c r="N1788" s="448"/>
    </row>
    <row r="1789" spans="5:14">
      <c r="E1789" s="448"/>
      <c r="N1789" s="448"/>
    </row>
    <row r="1790" spans="5:14">
      <c r="E1790" s="448"/>
      <c r="N1790" s="448"/>
    </row>
    <row r="1791" spans="5:14">
      <c r="E1791" s="448"/>
      <c r="N1791" s="448"/>
    </row>
    <row r="1792" spans="5:14">
      <c r="E1792" s="448"/>
      <c r="N1792" s="448"/>
    </row>
    <row r="1793" spans="5:14">
      <c r="E1793" s="448"/>
      <c r="N1793" s="448"/>
    </row>
    <row r="1794" spans="5:14">
      <c r="E1794" s="448"/>
      <c r="N1794" s="448"/>
    </row>
    <row r="1795" spans="5:14">
      <c r="E1795" s="448"/>
      <c r="N1795" s="448"/>
    </row>
    <row r="1796" spans="5:14">
      <c r="E1796" s="448"/>
      <c r="N1796" s="448"/>
    </row>
    <row r="1797" spans="5:14">
      <c r="E1797" s="448"/>
      <c r="N1797" s="448"/>
    </row>
    <row r="1798" spans="5:14">
      <c r="E1798" s="448"/>
      <c r="N1798" s="448"/>
    </row>
    <row r="1799" spans="5:14">
      <c r="E1799" s="448"/>
      <c r="N1799" s="448"/>
    </row>
    <row r="1800" spans="5:14">
      <c r="E1800" s="448"/>
      <c r="N1800" s="448"/>
    </row>
    <row r="1801" spans="5:14">
      <c r="E1801" s="448"/>
      <c r="N1801" s="448"/>
    </row>
    <row r="1802" spans="5:14">
      <c r="E1802" s="448"/>
      <c r="N1802" s="448"/>
    </row>
    <row r="1803" spans="5:14">
      <c r="E1803" s="448"/>
      <c r="N1803" s="448"/>
    </row>
    <row r="1804" spans="5:14">
      <c r="E1804" s="448"/>
      <c r="N1804" s="448"/>
    </row>
    <row r="1805" spans="5:14">
      <c r="E1805" s="448"/>
      <c r="N1805" s="448"/>
    </row>
    <row r="1806" spans="5:14">
      <c r="E1806" s="448"/>
      <c r="N1806" s="448"/>
    </row>
    <row r="1807" spans="5:14">
      <c r="E1807" s="448"/>
      <c r="N1807" s="448"/>
    </row>
    <row r="1808" spans="5:14">
      <c r="E1808" s="448"/>
      <c r="N1808" s="448"/>
    </row>
    <row r="1809" spans="5:14">
      <c r="E1809" s="448"/>
      <c r="N1809" s="448"/>
    </row>
    <row r="1810" spans="5:14">
      <c r="E1810" s="448"/>
      <c r="N1810" s="448"/>
    </row>
    <row r="1811" spans="5:14">
      <c r="E1811" s="448"/>
      <c r="N1811" s="448"/>
    </row>
    <row r="1812" spans="5:14">
      <c r="E1812" s="448"/>
      <c r="N1812" s="448"/>
    </row>
    <row r="1813" spans="5:14">
      <c r="E1813" s="448"/>
      <c r="N1813" s="448"/>
    </row>
    <row r="1814" spans="5:14">
      <c r="E1814" s="448"/>
      <c r="N1814" s="448"/>
    </row>
    <row r="1815" spans="5:14">
      <c r="E1815" s="448"/>
      <c r="N1815" s="448"/>
    </row>
    <row r="1816" spans="5:14">
      <c r="E1816" s="448"/>
      <c r="N1816" s="448"/>
    </row>
    <row r="1817" spans="5:14">
      <c r="E1817" s="448"/>
      <c r="N1817" s="448"/>
    </row>
    <row r="1818" spans="5:14">
      <c r="E1818" s="448"/>
      <c r="N1818" s="448"/>
    </row>
    <row r="1819" spans="5:14">
      <c r="E1819" s="448"/>
      <c r="N1819" s="448"/>
    </row>
    <row r="1820" spans="5:14">
      <c r="E1820" s="448"/>
      <c r="N1820" s="448"/>
    </row>
    <row r="1821" spans="5:14">
      <c r="E1821" s="448"/>
      <c r="N1821" s="448"/>
    </row>
    <row r="1822" spans="5:14">
      <c r="E1822" s="448"/>
      <c r="N1822" s="448"/>
    </row>
    <row r="1823" spans="5:14">
      <c r="E1823" s="448"/>
      <c r="N1823" s="448"/>
    </row>
    <row r="1824" spans="5:14">
      <c r="E1824" s="448"/>
      <c r="N1824" s="448"/>
    </row>
    <row r="1825" spans="5:14">
      <c r="E1825" s="448"/>
      <c r="N1825" s="448"/>
    </row>
    <row r="1826" spans="5:14">
      <c r="E1826" s="448"/>
      <c r="N1826" s="448"/>
    </row>
    <row r="1827" spans="5:14">
      <c r="E1827" s="448"/>
      <c r="N1827" s="448"/>
    </row>
    <row r="1828" spans="5:14">
      <c r="E1828" s="448"/>
      <c r="N1828" s="448"/>
    </row>
    <row r="1829" spans="5:14">
      <c r="E1829" s="448"/>
      <c r="N1829" s="448"/>
    </row>
    <row r="1830" spans="5:14">
      <c r="E1830" s="448"/>
      <c r="N1830" s="448"/>
    </row>
    <row r="1831" spans="5:14">
      <c r="E1831" s="448"/>
      <c r="N1831" s="448"/>
    </row>
    <row r="1832" spans="5:14">
      <c r="E1832" s="448"/>
      <c r="N1832" s="448"/>
    </row>
    <row r="1833" spans="5:14">
      <c r="E1833" s="448"/>
      <c r="N1833" s="448"/>
    </row>
    <row r="1834" spans="5:14">
      <c r="E1834" s="448"/>
      <c r="N1834" s="448"/>
    </row>
    <row r="1835" spans="5:14">
      <c r="E1835" s="448"/>
      <c r="N1835" s="448"/>
    </row>
    <row r="1836" spans="5:14">
      <c r="E1836" s="448"/>
      <c r="N1836" s="448"/>
    </row>
    <row r="1837" spans="5:14">
      <c r="E1837" s="448"/>
      <c r="N1837" s="448"/>
    </row>
    <row r="1838" spans="5:14">
      <c r="E1838" s="448"/>
      <c r="N1838" s="448"/>
    </row>
    <row r="1839" spans="5:14">
      <c r="E1839" s="448"/>
      <c r="N1839" s="448"/>
    </row>
    <row r="1840" spans="5:14">
      <c r="E1840" s="448"/>
      <c r="N1840" s="448"/>
    </row>
    <row r="1841" spans="5:14">
      <c r="E1841" s="448"/>
      <c r="N1841" s="448"/>
    </row>
    <row r="1842" spans="5:14">
      <c r="E1842" s="448"/>
      <c r="N1842" s="448"/>
    </row>
    <row r="1843" spans="5:14">
      <c r="E1843" s="448"/>
      <c r="N1843" s="448"/>
    </row>
    <row r="1844" spans="5:14">
      <c r="E1844" s="448"/>
      <c r="N1844" s="448"/>
    </row>
    <row r="1845" spans="5:14">
      <c r="E1845" s="448"/>
      <c r="N1845" s="448"/>
    </row>
    <row r="1846" spans="5:14">
      <c r="E1846" s="448"/>
      <c r="N1846" s="448"/>
    </row>
    <row r="1847" spans="5:14">
      <c r="E1847" s="448"/>
      <c r="N1847" s="448"/>
    </row>
    <row r="1848" spans="5:14">
      <c r="E1848" s="448"/>
      <c r="N1848" s="448"/>
    </row>
    <row r="1849" spans="5:14">
      <c r="E1849" s="448"/>
      <c r="N1849" s="448"/>
    </row>
    <row r="1850" spans="5:14">
      <c r="E1850" s="448"/>
      <c r="N1850" s="448"/>
    </row>
    <row r="1851" spans="5:14">
      <c r="E1851" s="448"/>
      <c r="N1851" s="448"/>
    </row>
    <row r="1852" spans="5:14">
      <c r="E1852" s="448"/>
      <c r="N1852" s="448"/>
    </row>
    <row r="1853" spans="5:14">
      <c r="E1853" s="448"/>
      <c r="N1853" s="448"/>
    </row>
    <row r="1854" spans="5:14">
      <c r="E1854" s="448"/>
      <c r="N1854" s="448"/>
    </row>
    <row r="1855" spans="5:14">
      <c r="E1855" s="448"/>
      <c r="N1855" s="448"/>
    </row>
    <row r="1856" spans="5:14">
      <c r="E1856" s="448"/>
      <c r="N1856" s="448"/>
    </row>
    <row r="1857" spans="5:14">
      <c r="E1857" s="448"/>
      <c r="N1857" s="448"/>
    </row>
    <row r="1858" spans="5:14">
      <c r="E1858" s="448"/>
      <c r="N1858" s="448"/>
    </row>
    <row r="1859" spans="5:14">
      <c r="E1859" s="448"/>
      <c r="N1859" s="448"/>
    </row>
    <row r="1860" spans="5:14">
      <c r="E1860" s="448"/>
      <c r="N1860" s="448"/>
    </row>
    <row r="1861" spans="5:14">
      <c r="E1861" s="448"/>
      <c r="N1861" s="448"/>
    </row>
    <row r="1862" spans="5:14">
      <c r="E1862" s="448"/>
      <c r="N1862" s="448"/>
    </row>
    <row r="1863" spans="5:14">
      <c r="E1863" s="448"/>
      <c r="N1863" s="448"/>
    </row>
    <row r="1864" spans="5:14">
      <c r="E1864" s="448"/>
      <c r="N1864" s="448"/>
    </row>
    <row r="1865" spans="5:14">
      <c r="E1865" s="448"/>
      <c r="N1865" s="448"/>
    </row>
    <row r="1866" spans="5:14">
      <c r="E1866" s="448"/>
      <c r="N1866" s="448"/>
    </row>
    <row r="1867" spans="5:14">
      <c r="E1867" s="448"/>
      <c r="N1867" s="448"/>
    </row>
    <row r="1868" spans="5:14">
      <c r="E1868" s="448"/>
      <c r="N1868" s="448"/>
    </row>
    <row r="1869" spans="5:14">
      <c r="E1869" s="448"/>
      <c r="N1869" s="448"/>
    </row>
    <row r="1870" spans="5:14">
      <c r="E1870" s="448"/>
      <c r="N1870" s="448"/>
    </row>
  </sheetData>
  <mergeCells count="78">
    <mergeCell ref="Y131:Y135"/>
    <mergeCell ref="C133:C135"/>
    <mergeCell ref="Z103:AB103"/>
    <mergeCell ref="A93:A102"/>
    <mergeCell ref="Y93:Y102"/>
    <mergeCell ref="C95:C97"/>
    <mergeCell ref="C98:C99"/>
    <mergeCell ref="X100:X102"/>
    <mergeCell ref="C101:C102"/>
    <mergeCell ref="A103:A115"/>
    <mergeCell ref="Y103:Y115"/>
    <mergeCell ref="C105:C107"/>
    <mergeCell ref="C109:C110"/>
    <mergeCell ref="C114:C115"/>
    <mergeCell ref="C118:C120"/>
    <mergeCell ref="Y126:Y130"/>
    <mergeCell ref="Y83:Y87"/>
    <mergeCell ref="C123:C125"/>
    <mergeCell ref="A116:A119"/>
    <mergeCell ref="A121:A125"/>
    <mergeCell ref="Y116:Y120"/>
    <mergeCell ref="Y121:Y125"/>
    <mergeCell ref="C112:C113"/>
    <mergeCell ref="C85:C87"/>
    <mergeCell ref="A88:A92"/>
    <mergeCell ref="Y88:Y92"/>
    <mergeCell ref="C90:C92"/>
    <mergeCell ref="X111:X115"/>
    <mergeCell ref="A83:A87"/>
    <mergeCell ref="Y78:Y82"/>
    <mergeCell ref="AA53:AC63"/>
    <mergeCell ref="C55:C60"/>
    <mergeCell ref="C63:C65"/>
    <mergeCell ref="A66:A75"/>
    <mergeCell ref="Y66:Y77"/>
    <mergeCell ref="AA66:AC74"/>
    <mergeCell ref="C68:C70"/>
    <mergeCell ref="C71:C72"/>
    <mergeCell ref="C74:C75"/>
    <mergeCell ref="X73:X77"/>
    <mergeCell ref="X62:X65"/>
    <mergeCell ref="C80:C82"/>
    <mergeCell ref="A78:A82"/>
    <mergeCell ref="A53:A65"/>
    <mergeCell ref="Y53:Y65"/>
    <mergeCell ref="Y39:Y52"/>
    <mergeCell ref="C42:C47"/>
    <mergeCell ref="C49:C50"/>
    <mergeCell ref="Y6:Y8"/>
    <mergeCell ref="Y29:Y38"/>
    <mergeCell ref="X6:X8"/>
    <mergeCell ref="X23:X28"/>
    <mergeCell ref="H39:H40"/>
    <mergeCell ref="I39:I40"/>
    <mergeCell ref="J39:J40"/>
    <mergeCell ref="K39:K40"/>
    <mergeCell ref="N39:N40"/>
    <mergeCell ref="C39:C40"/>
    <mergeCell ref="O6:O7"/>
    <mergeCell ref="P6:P7"/>
    <mergeCell ref="Q6:W7"/>
    <mergeCell ref="A5:N5"/>
    <mergeCell ref="C6:C8"/>
    <mergeCell ref="D6:D8"/>
    <mergeCell ref="E6:L7"/>
    <mergeCell ref="A29:A38"/>
    <mergeCell ref="C31:C35"/>
    <mergeCell ref="M6:M7"/>
    <mergeCell ref="A138:T138"/>
    <mergeCell ref="A137:W137"/>
    <mergeCell ref="G39:G40"/>
    <mergeCell ref="A39:A52"/>
    <mergeCell ref="B39:B40"/>
    <mergeCell ref="E39:E40"/>
    <mergeCell ref="F39:F40"/>
    <mergeCell ref="C128:C130"/>
    <mergeCell ref="A126:A130"/>
    <mergeCell ref="A131:A135"/>
  </mergeCells>
  <printOptions horizontalCentered="1"/>
  <pageMargins left="7.874015748031496E-2" right="0.15748031496062992" top="0.51181102362204722" bottom="0.31496062992125984" header="0.15748031496062992" footer="0.15748031496062992"/>
  <pageSetup paperSize="9" scale="72" firstPageNumber="33" orientation="landscape" useFirstPageNumber="1" r:id="rId1"/>
  <headerFooter alignWithMargins="0">
    <oddHeader>&amp;C&amp;"Arial,Kursywa"Wieloletnia prognoza finansowa Województwa Zachodniopomorskiego na lata 2017 - 2038
&amp;"Arial,Normalny"_________________________________________________________________________________________________________________________________</oddHeader>
    <oddFooter>&amp;C&amp;8&amp;P</oddFooter>
  </headerFooter>
  <rowBreaks count="1" manualBreakCount="1">
    <brk id="87" max="24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DO535"/>
  <sheetViews>
    <sheetView showGridLines="0" view="pageBreakPreview" zoomScale="115" zoomScaleNormal="100" zoomScaleSheetLayoutView="115" workbookViewId="0">
      <pane ySplit="8" topLeftCell="A9" activePane="bottomLeft" state="frozen"/>
      <selection pane="bottomLeft" activeCell="A9" sqref="A9"/>
    </sheetView>
  </sheetViews>
  <sheetFormatPr defaultColWidth="9.140625" defaultRowHeight="11.25"/>
  <cols>
    <col min="1" max="1" width="2.85546875" style="473" customWidth="1"/>
    <col min="2" max="2" width="56.28515625" style="243" customWidth="1"/>
    <col min="3" max="3" width="10" style="243" customWidth="1"/>
    <col min="4" max="4" width="14.140625" style="243" customWidth="1"/>
    <col min="5" max="6" width="10.42578125" style="243" hidden="1" customWidth="1"/>
    <col min="7" max="8" width="10.7109375" style="243" hidden="1" customWidth="1"/>
    <col min="9" max="9" width="10.28515625" style="243" hidden="1" customWidth="1"/>
    <col min="10" max="10" width="9.5703125" style="243" hidden="1" customWidth="1"/>
    <col min="11" max="11" width="9.85546875" style="243" hidden="1" customWidth="1"/>
    <col min="12" max="12" width="10.140625" style="243" hidden="1" customWidth="1"/>
    <col min="13" max="13" width="12" style="243" customWidth="1"/>
    <col min="14" max="15" width="10.85546875" style="243" hidden="1" customWidth="1"/>
    <col min="16" max="16" width="13.5703125" style="245" customWidth="1"/>
    <col min="17" max="17" width="9" style="243" customWidth="1"/>
    <col min="18" max="18" width="10.140625" style="243" customWidth="1"/>
    <col min="19" max="19" width="9.28515625" style="243" customWidth="1"/>
    <col min="20" max="23" width="9.5703125" style="243" customWidth="1"/>
    <col min="24" max="24" width="10.5703125" style="243" customWidth="1"/>
    <col min="25" max="25" width="15.7109375" style="244" customWidth="1"/>
    <col min="26" max="16384" width="9.140625" style="243"/>
  </cols>
  <sheetData>
    <row r="1" spans="1:25" ht="18" customHeight="1">
      <c r="O1" s="451"/>
      <c r="P1" s="243"/>
      <c r="S1" s="457" t="s">
        <v>157</v>
      </c>
      <c r="T1" s="457"/>
      <c r="U1" s="457"/>
      <c r="V1" s="457"/>
      <c r="W1" s="457"/>
      <c r="X1" s="6"/>
      <c r="Y1" s="7"/>
    </row>
    <row r="2" spans="1:25" ht="7.5" customHeight="1">
      <c r="N2" s="458"/>
      <c r="O2" s="456"/>
      <c r="P2" s="243"/>
      <c r="T2" s="6"/>
      <c r="U2" s="6"/>
      <c r="V2" s="6"/>
      <c r="W2" s="6"/>
      <c r="X2" s="6"/>
      <c r="Y2" s="7"/>
    </row>
    <row r="3" spans="1:25" ht="14.25" hidden="1" customHeight="1">
      <c r="N3" s="458"/>
      <c r="O3" s="458"/>
      <c r="P3" s="458"/>
      <c r="Q3" s="458"/>
      <c r="R3" s="458"/>
      <c r="S3" s="458"/>
      <c r="T3" s="6"/>
      <c r="U3" s="6"/>
      <c r="V3" s="6"/>
      <c r="W3" s="6"/>
      <c r="X3" s="6"/>
      <c r="Y3" s="7"/>
    </row>
    <row r="4" spans="1:25" ht="9" customHeight="1">
      <c r="N4" s="458"/>
      <c r="O4" s="458"/>
      <c r="P4" s="458"/>
      <c r="Q4" s="458"/>
      <c r="R4" s="458"/>
      <c r="S4" s="458"/>
      <c r="T4" s="6"/>
      <c r="U4" s="6"/>
      <c r="V4" s="6"/>
      <c r="W4" s="6"/>
      <c r="X4" s="6"/>
      <c r="Y4" s="7"/>
    </row>
    <row r="5" spans="1:25" ht="38.25" customHeight="1" thickBot="1">
      <c r="A5" s="3917" t="s">
        <v>158</v>
      </c>
      <c r="B5" s="3917"/>
      <c r="C5" s="3917"/>
      <c r="D5" s="3917"/>
      <c r="E5" s="3917"/>
      <c r="F5" s="3917"/>
      <c r="G5" s="3917"/>
      <c r="H5" s="3917"/>
      <c r="I5" s="3917"/>
      <c r="J5" s="3917"/>
      <c r="K5" s="3917"/>
      <c r="L5" s="3917"/>
      <c r="M5" s="3917"/>
      <c r="N5" s="3917"/>
      <c r="O5" s="3917"/>
      <c r="P5" s="3917"/>
      <c r="Q5" s="3917"/>
      <c r="R5" s="3917"/>
      <c r="S5" s="3917"/>
      <c r="T5" s="3917"/>
      <c r="U5" s="3917"/>
      <c r="V5" s="3917"/>
      <c r="W5" s="3917"/>
      <c r="X5" s="3917"/>
      <c r="Y5" s="3917"/>
    </row>
    <row r="6" spans="1:25" s="3214" customFormat="1" ht="33.75" customHeight="1">
      <c r="A6" s="192"/>
      <c r="B6" s="3918" t="s">
        <v>89</v>
      </c>
      <c r="C6" s="3674" t="s">
        <v>85</v>
      </c>
      <c r="D6" s="3677" t="s">
        <v>159</v>
      </c>
      <c r="E6" s="3582"/>
      <c r="F6" s="3595"/>
      <c r="G6" s="3595"/>
      <c r="H6" s="3595"/>
      <c r="I6" s="3595"/>
      <c r="J6" s="3595"/>
      <c r="K6" s="3595"/>
      <c r="L6" s="3574"/>
      <c r="M6" s="3698" t="s">
        <v>339</v>
      </c>
      <c r="N6" s="425"/>
      <c r="O6" s="3877" t="s">
        <v>347</v>
      </c>
      <c r="P6" s="3925" t="s">
        <v>494</v>
      </c>
      <c r="Q6" s="3694" t="s">
        <v>495</v>
      </c>
      <c r="R6" s="3694"/>
      <c r="S6" s="3694"/>
      <c r="T6" s="3694"/>
      <c r="U6" s="3694"/>
      <c r="V6" s="3694"/>
      <c r="W6" s="3695"/>
      <c r="X6" s="3686" t="s">
        <v>488</v>
      </c>
      <c r="Y6" s="3869" t="s">
        <v>87</v>
      </c>
    </row>
    <row r="7" spans="1:25" s="3214" customFormat="1" ht="25.5" customHeight="1">
      <c r="A7" s="193" t="s">
        <v>88</v>
      </c>
      <c r="B7" s="3919"/>
      <c r="C7" s="3921"/>
      <c r="D7" s="3923"/>
      <c r="E7" s="3583"/>
      <c r="F7" s="3596"/>
      <c r="G7" s="3596"/>
      <c r="H7" s="3596"/>
      <c r="I7" s="3596"/>
      <c r="J7" s="3596"/>
      <c r="K7" s="3596"/>
      <c r="L7" s="3575"/>
      <c r="M7" s="3700"/>
      <c r="N7" s="332"/>
      <c r="O7" s="3878"/>
      <c r="P7" s="3693"/>
      <c r="Q7" s="3696"/>
      <c r="R7" s="3696"/>
      <c r="S7" s="3696"/>
      <c r="T7" s="3696"/>
      <c r="U7" s="3696"/>
      <c r="V7" s="3696"/>
      <c r="W7" s="3697"/>
      <c r="X7" s="3687"/>
      <c r="Y7" s="3870"/>
    </row>
    <row r="8" spans="1:25" s="3214" customFormat="1" ht="20.25" customHeight="1" thickBot="1">
      <c r="A8" s="193"/>
      <c r="B8" s="3920"/>
      <c r="C8" s="3922"/>
      <c r="D8" s="3924"/>
      <c r="E8" s="3213" t="s">
        <v>5</v>
      </c>
      <c r="F8" s="8" t="s">
        <v>6</v>
      </c>
      <c r="G8" s="8" t="s">
        <v>7</v>
      </c>
      <c r="H8" s="8" t="s">
        <v>8</v>
      </c>
      <c r="I8" s="3233" t="s">
        <v>9</v>
      </c>
      <c r="J8" s="3233" t="s">
        <v>10</v>
      </c>
      <c r="K8" s="3233" t="s">
        <v>11</v>
      </c>
      <c r="L8" s="3233" t="s">
        <v>12</v>
      </c>
      <c r="M8" s="2202" t="s">
        <v>493</v>
      </c>
      <c r="N8" s="3233" t="s">
        <v>13</v>
      </c>
      <c r="O8" s="3233" t="s">
        <v>14</v>
      </c>
      <c r="P8" s="3233" t="s">
        <v>15</v>
      </c>
      <c r="Q8" s="3233" t="s">
        <v>16</v>
      </c>
      <c r="R8" s="3233" t="s">
        <v>17</v>
      </c>
      <c r="S8" s="324" t="s">
        <v>259</v>
      </c>
      <c r="T8" s="324" t="s">
        <v>263</v>
      </c>
      <c r="U8" s="324" t="s">
        <v>324</v>
      </c>
      <c r="V8" s="324" t="s">
        <v>325</v>
      </c>
      <c r="W8" s="324" t="s">
        <v>323</v>
      </c>
      <c r="X8" s="3688"/>
      <c r="Y8" s="3871"/>
    </row>
    <row r="9" spans="1:25" s="3214" customFormat="1" ht="13.5" customHeight="1" thickBot="1">
      <c r="A9" s="1468">
        <v>1</v>
      </c>
      <c r="B9" s="1469">
        <v>2</v>
      </c>
      <c r="C9" s="1470" t="s">
        <v>137</v>
      </c>
      <c r="D9" s="1470" t="s">
        <v>138</v>
      </c>
      <c r="E9" s="1470" t="s">
        <v>139</v>
      </c>
      <c r="F9" s="1471">
        <v>8</v>
      </c>
      <c r="G9" s="1471">
        <v>9</v>
      </c>
      <c r="H9" s="1471">
        <v>10</v>
      </c>
      <c r="I9" s="1472" t="s">
        <v>140</v>
      </c>
      <c r="J9" s="1473" t="s">
        <v>141</v>
      </c>
      <c r="K9" s="1472" t="s">
        <v>142</v>
      </c>
      <c r="L9" s="1472" t="s">
        <v>143</v>
      </c>
      <c r="M9" s="16">
        <v>5</v>
      </c>
      <c r="N9" s="16" t="s">
        <v>326</v>
      </c>
      <c r="O9" s="16" t="s">
        <v>326</v>
      </c>
      <c r="P9" s="16">
        <v>6</v>
      </c>
      <c r="Q9" s="16">
        <v>7</v>
      </c>
      <c r="R9" s="17">
        <v>8</v>
      </c>
      <c r="S9" s="17">
        <v>9</v>
      </c>
      <c r="T9" s="17">
        <v>10</v>
      </c>
      <c r="U9" s="17">
        <v>11</v>
      </c>
      <c r="V9" s="17">
        <v>12</v>
      </c>
      <c r="W9" s="17">
        <v>13</v>
      </c>
      <c r="X9" s="18">
        <v>14</v>
      </c>
      <c r="Y9" s="19">
        <v>15</v>
      </c>
    </row>
    <row r="10" spans="1:25" s="3214" customFormat="1" ht="17.25" customHeight="1">
      <c r="A10" s="194"/>
      <c r="B10" s="287" t="s">
        <v>90</v>
      </c>
      <c r="C10" s="288"/>
      <c r="D10" s="289">
        <f>+D11+D12</f>
        <v>783000</v>
      </c>
      <c r="E10" s="289">
        <f t="shared" ref="E10:Q10" si="0">+E11+E12</f>
        <v>0</v>
      </c>
      <c r="F10" s="289">
        <f t="shared" si="0"/>
        <v>0</v>
      </c>
      <c r="G10" s="289">
        <f t="shared" si="0"/>
        <v>0</v>
      </c>
      <c r="H10" s="289">
        <f t="shared" si="0"/>
        <v>0</v>
      </c>
      <c r="I10" s="289">
        <f t="shared" si="0"/>
        <v>0</v>
      </c>
      <c r="J10" s="289">
        <f t="shared" si="0"/>
        <v>0</v>
      </c>
      <c r="K10" s="289">
        <f t="shared" si="0"/>
        <v>0</v>
      </c>
      <c r="L10" s="289">
        <f t="shared" si="0"/>
        <v>131442</v>
      </c>
      <c r="M10" s="289">
        <f t="shared" si="0"/>
        <v>443144</v>
      </c>
      <c r="N10" s="289">
        <f t="shared" si="0"/>
        <v>175457</v>
      </c>
      <c r="O10" s="289">
        <f t="shared" si="0"/>
        <v>156572</v>
      </c>
      <c r="P10" s="289">
        <f t="shared" si="0"/>
        <v>176046</v>
      </c>
      <c r="Q10" s="289">
        <f t="shared" si="0"/>
        <v>163810</v>
      </c>
      <c r="R10" s="289">
        <f t="shared" ref="R10:W10" si="1">+R11+R12</f>
        <v>0</v>
      </c>
      <c r="S10" s="289">
        <f t="shared" si="1"/>
        <v>0</v>
      </c>
      <c r="T10" s="289">
        <f t="shared" si="1"/>
        <v>0</v>
      </c>
      <c r="U10" s="289">
        <f t="shared" si="1"/>
        <v>0</v>
      </c>
      <c r="V10" s="289">
        <f t="shared" si="1"/>
        <v>0</v>
      </c>
      <c r="W10" s="289">
        <f t="shared" si="1"/>
        <v>0</v>
      </c>
      <c r="X10" s="20">
        <f>+X11+X12</f>
        <v>163810</v>
      </c>
      <c r="Y10" s="196"/>
    </row>
    <row r="11" spans="1:25" s="3214" customFormat="1" ht="13.5" customHeight="1">
      <c r="A11" s="194"/>
      <c r="B11" s="279" t="s">
        <v>91</v>
      </c>
      <c r="C11" s="280"/>
      <c r="D11" s="281">
        <f>+D22+D33+D44+D51+D58+D65</f>
        <v>783000</v>
      </c>
      <c r="E11" s="281">
        <f t="shared" ref="E11:N11" si="2">+E22+E33+E44+E51+E58</f>
        <v>0</v>
      </c>
      <c r="F11" s="281">
        <f t="shared" si="2"/>
        <v>0</v>
      </c>
      <c r="G11" s="281">
        <f t="shared" si="2"/>
        <v>0</v>
      </c>
      <c r="H11" s="281">
        <f t="shared" si="2"/>
        <v>0</v>
      </c>
      <c r="I11" s="281">
        <f t="shared" si="2"/>
        <v>0</v>
      </c>
      <c r="J11" s="281">
        <f t="shared" si="2"/>
        <v>0</v>
      </c>
      <c r="K11" s="281">
        <f t="shared" si="2"/>
        <v>0</v>
      </c>
      <c r="L11" s="281">
        <f t="shared" si="2"/>
        <v>131442</v>
      </c>
      <c r="M11" s="281">
        <f>+M22+M33+M44+M51+M58+M65</f>
        <v>443144</v>
      </c>
      <c r="N11" s="281">
        <f t="shared" si="2"/>
        <v>175457</v>
      </c>
      <c r="O11" s="281">
        <f>+O22+O33+O44+O51+O58+O65</f>
        <v>156572</v>
      </c>
      <c r="P11" s="281">
        <f>+P22+P33+P44+P51+P58+P65</f>
        <v>176046</v>
      </c>
      <c r="Q11" s="281">
        <f>+Q22+Q33+Q44+Q51+Q58+Q65</f>
        <v>163810</v>
      </c>
      <c r="R11" s="281">
        <f t="shared" ref="R11:W11" si="3">+R22+R33+R44+R51</f>
        <v>0</v>
      </c>
      <c r="S11" s="281">
        <f t="shared" si="3"/>
        <v>0</v>
      </c>
      <c r="T11" s="281">
        <f t="shared" si="3"/>
        <v>0</v>
      </c>
      <c r="U11" s="281">
        <f t="shared" si="3"/>
        <v>0</v>
      </c>
      <c r="V11" s="281">
        <f t="shared" si="3"/>
        <v>0</v>
      </c>
      <c r="W11" s="281">
        <f t="shared" si="3"/>
        <v>0</v>
      </c>
      <c r="X11" s="22">
        <f>SUM(Q11:W11)</f>
        <v>163810</v>
      </c>
      <c r="Y11" s="196"/>
    </row>
    <row r="12" spans="1:25" s="3214" customFormat="1" ht="13.5" customHeight="1" thickBot="1">
      <c r="A12" s="194"/>
      <c r="B12" s="290" t="s">
        <v>20</v>
      </c>
      <c r="C12" s="280"/>
      <c r="D12" s="281">
        <v>0</v>
      </c>
      <c r="E12" s="281">
        <v>0</v>
      </c>
      <c r="F12" s="281">
        <v>0</v>
      </c>
      <c r="G12" s="281">
        <v>0</v>
      </c>
      <c r="H12" s="281">
        <v>0</v>
      </c>
      <c r="I12" s="281">
        <v>0</v>
      </c>
      <c r="J12" s="281">
        <v>0</v>
      </c>
      <c r="K12" s="281">
        <v>0</v>
      </c>
      <c r="L12" s="281">
        <v>0</v>
      </c>
      <c r="M12" s="281">
        <v>0</v>
      </c>
      <c r="N12" s="281">
        <v>0</v>
      </c>
      <c r="O12" s="281">
        <v>0</v>
      </c>
      <c r="P12" s="281">
        <v>0</v>
      </c>
      <c r="Q12" s="281">
        <v>0</v>
      </c>
      <c r="R12" s="281">
        <v>0</v>
      </c>
      <c r="S12" s="281">
        <v>0</v>
      </c>
      <c r="T12" s="281">
        <v>0</v>
      </c>
      <c r="U12" s="281">
        <v>0</v>
      </c>
      <c r="V12" s="281">
        <v>0</v>
      </c>
      <c r="W12" s="281">
        <v>0</v>
      </c>
      <c r="X12" s="22">
        <f>SUM(Q12:W12)</f>
        <v>0</v>
      </c>
      <c r="Y12" s="196"/>
    </row>
    <row r="13" spans="1:25" ht="14.25" customHeight="1">
      <c r="A13" s="198"/>
      <c r="B13" s="199" t="s">
        <v>21</v>
      </c>
      <c r="C13" s="200"/>
      <c r="D13" s="201">
        <f>+D14+D16</f>
        <v>783000</v>
      </c>
      <c r="E13" s="201">
        <f t="shared" ref="E13:Q13" si="4">+E14+E16</f>
        <v>0</v>
      </c>
      <c r="F13" s="201">
        <f t="shared" si="4"/>
        <v>0</v>
      </c>
      <c r="G13" s="201">
        <f t="shared" si="4"/>
        <v>0</v>
      </c>
      <c r="H13" s="201">
        <f t="shared" si="4"/>
        <v>0</v>
      </c>
      <c r="I13" s="201">
        <f t="shared" si="4"/>
        <v>0</v>
      </c>
      <c r="J13" s="201">
        <f t="shared" si="4"/>
        <v>0</v>
      </c>
      <c r="K13" s="201">
        <f t="shared" si="4"/>
        <v>0</v>
      </c>
      <c r="L13" s="201">
        <f t="shared" si="4"/>
        <v>131442</v>
      </c>
      <c r="M13" s="201">
        <f t="shared" si="4"/>
        <v>443144</v>
      </c>
      <c r="N13" s="201">
        <f t="shared" si="4"/>
        <v>175457</v>
      </c>
      <c r="O13" s="201">
        <f t="shared" si="4"/>
        <v>156572</v>
      </c>
      <c r="P13" s="201">
        <f t="shared" si="4"/>
        <v>176046</v>
      </c>
      <c r="Q13" s="201">
        <f t="shared" si="4"/>
        <v>163810</v>
      </c>
      <c r="R13" s="201">
        <f t="shared" ref="R13:X13" si="5">+R14+R16</f>
        <v>0</v>
      </c>
      <c r="S13" s="201">
        <f t="shared" si="5"/>
        <v>0</v>
      </c>
      <c r="T13" s="201">
        <f t="shared" si="5"/>
        <v>0</v>
      </c>
      <c r="U13" s="201">
        <f t="shared" si="5"/>
        <v>0</v>
      </c>
      <c r="V13" s="201">
        <f t="shared" si="5"/>
        <v>0</v>
      </c>
      <c r="W13" s="201">
        <f t="shared" si="5"/>
        <v>0</v>
      </c>
      <c r="X13" s="247">
        <f t="shared" si="5"/>
        <v>163810</v>
      </c>
      <c r="Y13" s="196"/>
    </row>
    <row r="14" spans="1:25" ht="14.25" customHeight="1">
      <c r="A14" s="194"/>
      <c r="B14" s="202" t="s">
        <v>22</v>
      </c>
      <c r="C14" s="1474"/>
      <c r="D14" s="1475">
        <f>+D15</f>
        <v>349415</v>
      </c>
      <c r="E14" s="1475">
        <f t="shared" ref="E14:W14" si="6">+E15</f>
        <v>0</v>
      </c>
      <c r="F14" s="1475">
        <f t="shared" si="6"/>
        <v>0</v>
      </c>
      <c r="G14" s="1475">
        <f t="shared" si="6"/>
        <v>0</v>
      </c>
      <c r="H14" s="1475">
        <f t="shared" si="6"/>
        <v>0</v>
      </c>
      <c r="I14" s="1475">
        <f t="shared" si="6"/>
        <v>0</v>
      </c>
      <c r="J14" s="1475">
        <f t="shared" si="6"/>
        <v>0</v>
      </c>
      <c r="K14" s="1475">
        <f t="shared" si="6"/>
        <v>0</v>
      </c>
      <c r="L14" s="1475">
        <f t="shared" si="6"/>
        <v>64805</v>
      </c>
      <c r="M14" s="1475">
        <f t="shared" si="6"/>
        <v>206047</v>
      </c>
      <c r="N14" s="1475">
        <f t="shared" si="6"/>
        <v>70472</v>
      </c>
      <c r="O14" s="1475">
        <f t="shared" si="6"/>
        <v>70770</v>
      </c>
      <c r="P14" s="1475">
        <f t="shared" si="6"/>
        <v>68453</v>
      </c>
      <c r="Q14" s="1475">
        <f t="shared" si="6"/>
        <v>74915</v>
      </c>
      <c r="R14" s="1475">
        <f t="shared" si="6"/>
        <v>0</v>
      </c>
      <c r="S14" s="1475">
        <f t="shared" si="6"/>
        <v>0</v>
      </c>
      <c r="T14" s="1475">
        <f t="shared" si="6"/>
        <v>0</v>
      </c>
      <c r="U14" s="1475">
        <f t="shared" si="6"/>
        <v>0</v>
      </c>
      <c r="V14" s="1475">
        <f t="shared" si="6"/>
        <v>0</v>
      </c>
      <c r="W14" s="1475">
        <f t="shared" si="6"/>
        <v>0</v>
      </c>
      <c r="X14" s="1476">
        <f>+X15</f>
        <v>74915</v>
      </c>
      <c r="Y14" s="1316"/>
    </row>
    <row r="15" spans="1:25" ht="13.5" customHeight="1">
      <c r="A15" s="204"/>
      <c r="B15" s="205" t="s">
        <v>23</v>
      </c>
      <c r="C15" s="206"/>
      <c r="D15" s="1477">
        <f>+D24+D35</f>
        <v>349415</v>
      </c>
      <c r="E15" s="1477">
        <f t="shared" ref="E15:Q15" si="7">+E24+E35</f>
        <v>0</v>
      </c>
      <c r="F15" s="1477">
        <f t="shared" si="7"/>
        <v>0</v>
      </c>
      <c r="G15" s="1477">
        <f t="shared" si="7"/>
        <v>0</v>
      </c>
      <c r="H15" s="1477">
        <f t="shared" si="7"/>
        <v>0</v>
      </c>
      <c r="I15" s="1477">
        <f t="shared" si="7"/>
        <v>0</v>
      </c>
      <c r="J15" s="1477">
        <f t="shared" si="7"/>
        <v>0</v>
      </c>
      <c r="K15" s="1477">
        <f t="shared" si="7"/>
        <v>0</v>
      </c>
      <c r="L15" s="1477">
        <f>+L24+L35</f>
        <v>64805</v>
      </c>
      <c r="M15" s="1477">
        <f>+M24+M35</f>
        <v>206047</v>
      </c>
      <c r="N15" s="1477">
        <f t="shared" si="7"/>
        <v>70472</v>
      </c>
      <c r="O15" s="1477">
        <f t="shared" si="7"/>
        <v>70770</v>
      </c>
      <c r="P15" s="1477">
        <f t="shared" si="7"/>
        <v>68453</v>
      </c>
      <c r="Q15" s="1477">
        <f t="shared" si="7"/>
        <v>74915</v>
      </c>
      <c r="R15" s="1477">
        <f t="shared" ref="R15:W15" si="8">+R24+R35</f>
        <v>0</v>
      </c>
      <c r="S15" s="1477">
        <f t="shared" si="8"/>
        <v>0</v>
      </c>
      <c r="T15" s="1477">
        <f t="shared" si="8"/>
        <v>0</v>
      </c>
      <c r="U15" s="1477">
        <f t="shared" si="8"/>
        <v>0</v>
      </c>
      <c r="V15" s="1477">
        <f t="shared" si="8"/>
        <v>0</v>
      </c>
      <c r="W15" s="1477">
        <f t="shared" si="8"/>
        <v>0</v>
      </c>
      <c r="X15" s="1478">
        <f>+T15+S15+R15+Q15+U15+V15+W15</f>
        <v>74915</v>
      </c>
      <c r="Y15" s="196"/>
    </row>
    <row r="16" spans="1:25" ht="14.25" customHeight="1">
      <c r="A16" s="194"/>
      <c r="B16" s="1479" t="s">
        <v>29</v>
      </c>
      <c r="C16" s="1480"/>
      <c r="D16" s="209">
        <f>SUM(D17)</f>
        <v>433585</v>
      </c>
      <c r="E16" s="209">
        <f t="shared" ref="E16:O16" si="9">SUM(E17)</f>
        <v>0</v>
      </c>
      <c r="F16" s="209">
        <f t="shared" si="9"/>
        <v>0</v>
      </c>
      <c r="G16" s="209">
        <f t="shared" si="9"/>
        <v>0</v>
      </c>
      <c r="H16" s="209">
        <f t="shared" si="9"/>
        <v>0</v>
      </c>
      <c r="I16" s="209">
        <f t="shared" si="9"/>
        <v>0</v>
      </c>
      <c r="J16" s="209">
        <f t="shared" si="9"/>
        <v>0</v>
      </c>
      <c r="K16" s="209">
        <f t="shared" si="9"/>
        <v>0</v>
      </c>
      <c r="L16" s="209">
        <f t="shared" si="9"/>
        <v>66637</v>
      </c>
      <c r="M16" s="209">
        <f t="shared" si="9"/>
        <v>237097</v>
      </c>
      <c r="N16" s="209">
        <f t="shared" si="9"/>
        <v>104985</v>
      </c>
      <c r="O16" s="209">
        <f t="shared" si="9"/>
        <v>85802</v>
      </c>
      <c r="P16" s="209">
        <f t="shared" ref="P16:X16" si="10">SUM(P17)</f>
        <v>107593</v>
      </c>
      <c r="Q16" s="209">
        <f t="shared" si="10"/>
        <v>88895</v>
      </c>
      <c r="R16" s="1475">
        <f t="shared" si="10"/>
        <v>0</v>
      </c>
      <c r="S16" s="1475">
        <f t="shared" si="10"/>
        <v>0</v>
      </c>
      <c r="T16" s="1475">
        <f t="shared" si="10"/>
        <v>0</v>
      </c>
      <c r="U16" s="1475">
        <f t="shared" si="10"/>
        <v>0</v>
      </c>
      <c r="V16" s="1475">
        <f t="shared" si="10"/>
        <v>0</v>
      </c>
      <c r="W16" s="1475">
        <f t="shared" si="10"/>
        <v>0</v>
      </c>
      <c r="X16" s="1476">
        <f t="shared" si="10"/>
        <v>88895</v>
      </c>
      <c r="Y16" s="1316"/>
    </row>
    <row r="17" spans="1:26" ht="12" customHeight="1">
      <c r="A17" s="210"/>
      <c r="B17" s="1481" t="s">
        <v>31</v>
      </c>
      <c r="C17" s="1482"/>
      <c r="D17" s="1477">
        <f>+D26+D37+D46+D53+D60+D67</f>
        <v>433585</v>
      </c>
      <c r="E17" s="1477">
        <f t="shared" ref="E17:W17" si="11">+E26+E37+E46+E53+E60+E67</f>
        <v>0</v>
      </c>
      <c r="F17" s="1477">
        <f t="shared" si="11"/>
        <v>0</v>
      </c>
      <c r="G17" s="1477">
        <f t="shared" si="11"/>
        <v>0</v>
      </c>
      <c r="H17" s="1477">
        <f t="shared" si="11"/>
        <v>0</v>
      </c>
      <c r="I17" s="1477">
        <f t="shared" si="11"/>
        <v>0</v>
      </c>
      <c r="J17" s="1477">
        <f t="shared" si="11"/>
        <v>0</v>
      </c>
      <c r="K17" s="1477">
        <f t="shared" si="11"/>
        <v>0</v>
      </c>
      <c r="L17" s="1477">
        <f t="shared" si="11"/>
        <v>66637</v>
      </c>
      <c r="M17" s="1477">
        <f>+M26+M37+M46+M53+M60+M67</f>
        <v>237097</v>
      </c>
      <c r="N17" s="1477">
        <f t="shared" si="11"/>
        <v>104985</v>
      </c>
      <c r="O17" s="1477">
        <f t="shared" si="11"/>
        <v>85802</v>
      </c>
      <c r="P17" s="1477">
        <f t="shared" si="11"/>
        <v>107593</v>
      </c>
      <c r="Q17" s="1477">
        <f t="shared" si="11"/>
        <v>88895</v>
      </c>
      <c r="R17" s="1477">
        <f t="shared" si="11"/>
        <v>0</v>
      </c>
      <c r="S17" s="1477">
        <f t="shared" si="11"/>
        <v>0</v>
      </c>
      <c r="T17" s="1477">
        <f t="shared" si="11"/>
        <v>0</v>
      </c>
      <c r="U17" s="1477">
        <f t="shared" si="11"/>
        <v>0</v>
      </c>
      <c r="V17" s="1477">
        <f t="shared" si="11"/>
        <v>0</v>
      </c>
      <c r="W17" s="1477">
        <f t="shared" si="11"/>
        <v>0</v>
      </c>
      <c r="X17" s="1478">
        <f>+T17+S17+R17+Q17+U17+V17+W17</f>
        <v>88895</v>
      </c>
      <c r="Y17" s="1315"/>
    </row>
    <row r="18" spans="1:26" s="1487" customFormat="1" ht="14.25" customHeight="1">
      <c r="A18" s="194"/>
      <c r="B18" s="1049" t="s">
        <v>33</v>
      </c>
      <c r="C18" s="1484"/>
      <c r="D18" s="651">
        <f>+D19</f>
        <v>433585</v>
      </c>
      <c r="E18" s="651">
        <f t="shared" ref="E18:U19" si="12">+E19</f>
        <v>0</v>
      </c>
      <c r="F18" s="651">
        <f t="shared" si="12"/>
        <v>0</v>
      </c>
      <c r="G18" s="651">
        <f t="shared" si="12"/>
        <v>0</v>
      </c>
      <c r="H18" s="651">
        <f t="shared" si="12"/>
        <v>0</v>
      </c>
      <c r="I18" s="651">
        <f t="shared" si="12"/>
        <v>0</v>
      </c>
      <c r="J18" s="651">
        <f t="shared" si="12"/>
        <v>0</v>
      </c>
      <c r="K18" s="651">
        <f t="shared" si="12"/>
        <v>0</v>
      </c>
      <c r="L18" s="651">
        <f t="shared" si="12"/>
        <v>53066</v>
      </c>
      <c r="M18" s="651">
        <f t="shared" si="12"/>
        <v>212411</v>
      </c>
      <c r="N18" s="651">
        <f t="shared" si="12"/>
        <v>75862</v>
      </c>
      <c r="O18" s="651">
        <f>+O19</f>
        <v>83483</v>
      </c>
      <c r="P18" s="651">
        <f t="shared" si="12"/>
        <v>104204</v>
      </c>
      <c r="Q18" s="651">
        <f t="shared" si="12"/>
        <v>91893</v>
      </c>
      <c r="R18" s="1485">
        <f t="shared" si="12"/>
        <v>25077</v>
      </c>
      <c r="S18" s="1485">
        <f t="shared" si="12"/>
        <v>0</v>
      </c>
      <c r="T18" s="1485">
        <f t="shared" si="12"/>
        <v>0</v>
      </c>
      <c r="U18" s="1485">
        <f t="shared" si="12"/>
        <v>0</v>
      </c>
      <c r="V18" s="1485">
        <f t="shared" ref="U18:W19" si="13">+V19</f>
        <v>0</v>
      </c>
      <c r="W18" s="1485">
        <f t="shared" si="13"/>
        <v>0</v>
      </c>
      <c r="X18" s="3910" t="s">
        <v>75</v>
      </c>
      <c r="Y18" s="1486"/>
    </row>
    <row r="19" spans="1:26" s="1487" customFormat="1" ht="14.25" customHeight="1">
      <c r="A19" s="194"/>
      <c r="B19" s="1479" t="s">
        <v>29</v>
      </c>
      <c r="C19" s="1480"/>
      <c r="D19" s="209">
        <f>+D20</f>
        <v>433585</v>
      </c>
      <c r="E19" s="209">
        <f t="shared" si="12"/>
        <v>0</v>
      </c>
      <c r="F19" s="209">
        <f t="shared" si="12"/>
        <v>0</v>
      </c>
      <c r="G19" s="209">
        <f t="shared" si="12"/>
        <v>0</v>
      </c>
      <c r="H19" s="209">
        <f t="shared" si="12"/>
        <v>0</v>
      </c>
      <c r="I19" s="209">
        <f t="shared" si="12"/>
        <v>0</v>
      </c>
      <c r="J19" s="209">
        <f t="shared" si="12"/>
        <v>0</v>
      </c>
      <c r="K19" s="209">
        <f t="shared" si="12"/>
        <v>0</v>
      </c>
      <c r="L19" s="209">
        <f t="shared" si="12"/>
        <v>53066</v>
      </c>
      <c r="M19" s="209">
        <f t="shared" si="12"/>
        <v>212411</v>
      </c>
      <c r="N19" s="209">
        <f t="shared" si="12"/>
        <v>75862</v>
      </c>
      <c r="O19" s="209">
        <f t="shared" si="12"/>
        <v>83483</v>
      </c>
      <c r="P19" s="209">
        <f t="shared" si="12"/>
        <v>104204</v>
      </c>
      <c r="Q19" s="209">
        <f t="shared" si="12"/>
        <v>91893</v>
      </c>
      <c r="R19" s="1475">
        <f t="shared" si="12"/>
        <v>25077</v>
      </c>
      <c r="S19" s="1475">
        <f t="shared" si="12"/>
        <v>0</v>
      </c>
      <c r="T19" s="1475">
        <f t="shared" si="12"/>
        <v>0</v>
      </c>
      <c r="U19" s="1475">
        <f t="shared" si="13"/>
        <v>0</v>
      </c>
      <c r="V19" s="1475">
        <f t="shared" si="13"/>
        <v>0</v>
      </c>
      <c r="W19" s="1475">
        <f t="shared" si="13"/>
        <v>0</v>
      </c>
      <c r="X19" s="3911"/>
      <c r="Y19" s="1316"/>
    </row>
    <row r="20" spans="1:26" s="1487" customFormat="1" ht="12.75" customHeight="1" thickBot="1">
      <c r="A20" s="1488"/>
      <c r="B20" s="1489" t="s">
        <v>31</v>
      </c>
      <c r="C20" s="1490"/>
      <c r="D20" s="1491">
        <f>+D31+D42+D49+D56+D63+D70</f>
        <v>433585</v>
      </c>
      <c r="E20" s="1491">
        <f t="shared" ref="E20:W20" si="14">+E31+E42+E49+E56+E63+E70</f>
        <v>0</v>
      </c>
      <c r="F20" s="1491">
        <f t="shared" si="14"/>
        <v>0</v>
      </c>
      <c r="G20" s="1491">
        <f t="shared" si="14"/>
        <v>0</v>
      </c>
      <c r="H20" s="1491">
        <f t="shared" si="14"/>
        <v>0</v>
      </c>
      <c r="I20" s="1491">
        <f t="shared" si="14"/>
        <v>0</v>
      </c>
      <c r="J20" s="1491">
        <f t="shared" si="14"/>
        <v>0</v>
      </c>
      <c r="K20" s="1491">
        <f t="shared" si="14"/>
        <v>0</v>
      </c>
      <c r="L20" s="1491">
        <f t="shared" si="14"/>
        <v>53066</v>
      </c>
      <c r="M20" s="1491">
        <f t="shared" si="14"/>
        <v>212411</v>
      </c>
      <c r="N20" s="1491">
        <f t="shared" si="14"/>
        <v>75862</v>
      </c>
      <c r="O20" s="1491">
        <f t="shared" si="14"/>
        <v>83483</v>
      </c>
      <c r="P20" s="1491">
        <f t="shared" si="14"/>
        <v>104204</v>
      </c>
      <c r="Q20" s="1491">
        <f t="shared" si="14"/>
        <v>91893</v>
      </c>
      <c r="R20" s="1491">
        <f t="shared" si="14"/>
        <v>25077</v>
      </c>
      <c r="S20" s="1491">
        <f t="shared" si="14"/>
        <v>0</v>
      </c>
      <c r="T20" s="1491">
        <f t="shared" si="14"/>
        <v>0</v>
      </c>
      <c r="U20" s="1491">
        <f t="shared" si="14"/>
        <v>0</v>
      </c>
      <c r="V20" s="1491">
        <f t="shared" si="14"/>
        <v>0</v>
      </c>
      <c r="W20" s="1491">
        <f t="shared" si="14"/>
        <v>0</v>
      </c>
      <c r="X20" s="3912"/>
      <c r="Y20" s="1492"/>
      <c r="Z20" s="1493">
        <f>D20-D17</f>
        <v>0</v>
      </c>
    </row>
    <row r="21" spans="1:26" ht="39" hidden="1" customHeight="1">
      <c r="A21" s="3929" t="s">
        <v>77</v>
      </c>
      <c r="B21" s="214" t="s">
        <v>296</v>
      </c>
      <c r="C21" s="215" t="s">
        <v>125</v>
      </c>
      <c r="D21" s="1494"/>
      <c r="E21" s="1495"/>
      <c r="F21" s="216"/>
      <c r="G21" s="216"/>
      <c r="H21" s="1495"/>
      <c r="I21" s="1495"/>
      <c r="J21" s="1495"/>
      <c r="K21" s="216"/>
      <c r="L21" s="216"/>
      <c r="M21" s="1496"/>
      <c r="N21" s="1496"/>
      <c r="O21" s="1496"/>
      <c r="P21" s="216"/>
      <c r="Q21" s="1496"/>
      <c r="R21" s="1496"/>
      <c r="S21" s="1496"/>
      <c r="T21" s="1496"/>
      <c r="U21" s="1496"/>
      <c r="V21" s="1496"/>
      <c r="W21" s="1496"/>
      <c r="X21" s="1497"/>
      <c r="Y21" s="3863"/>
    </row>
    <row r="22" spans="1:26" ht="15" hidden="1" customHeight="1">
      <c r="A22" s="3930"/>
      <c r="B22" s="1320" t="s">
        <v>21</v>
      </c>
      <c r="C22" s="1498"/>
      <c r="D22" s="1499">
        <f>+D23+D25</f>
        <v>0</v>
      </c>
      <c r="E22" s="1499">
        <f t="shared" ref="E22:P22" si="15">+E23+E25</f>
        <v>0</v>
      </c>
      <c r="F22" s="1499">
        <f t="shared" si="15"/>
        <v>0</v>
      </c>
      <c r="G22" s="1499">
        <f t="shared" si="15"/>
        <v>0</v>
      </c>
      <c r="H22" s="1499">
        <f t="shared" si="15"/>
        <v>0</v>
      </c>
      <c r="I22" s="1499">
        <f t="shared" si="15"/>
        <v>0</v>
      </c>
      <c r="J22" s="1499">
        <f t="shared" si="15"/>
        <v>0</v>
      </c>
      <c r="K22" s="1499">
        <f t="shared" si="15"/>
        <v>0</v>
      </c>
      <c r="L22" s="1499">
        <f t="shared" si="15"/>
        <v>0</v>
      </c>
      <c r="M22" s="1499">
        <f t="shared" si="15"/>
        <v>0</v>
      </c>
      <c r="N22" s="1499">
        <f t="shared" si="15"/>
        <v>0</v>
      </c>
      <c r="O22" s="1499">
        <f t="shared" si="15"/>
        <v>0</v>
      </c>
      <c r="P22" s="1499">
        <f t="shared" si="15"/>
        <v>0</v>
      </c>
      <c r="Q22" s="1499">
        <f>+Q23+Q25</f>
        <v>0</v>
      </c>
      <c r="R22" s="1499">
        <f>+R23+R25</f>
        <v>0</v>
      </c>
      <c r="S22" s="1499">
        <f>+S23+S25</f>
        <v>0</v>
      </c>
      <c r="T22" s="1499">
        <f>+T23+T25</f>
        <v>0</v>
      </c>
      <c r="U22" s="1499"/>
      <c r="V22" s="1499"/>
      <c r="W22" s="1499"/>
      <c r="X22" s="1500" t="e">
        <f>X23+X25</f>
        <v>#REF!</v>
      </c>
      <c r="Y22" s="3865"/>
    </row>
    <row r="23" spans="1:26" ht="12.75" hidden="1" customHeight="1">
      <c r="A23" s="3930"/>
      <c r="B23" s="1251" t="s">
        <v>35</v>
      </c>
      <c r="C23" s="3934" t="s">
        <v>161</v>
      </c>
      <c r="D23" s="1501">
        <f>+D24</f>
        <v>0</v>
      </c>
      <c r="E23" s="1501">
        <f t="shared" ref="E23:T23" si="16">+E24</f>
        <v>0</v>
      </c>
      <c r="F23" s="1501">
        <f t="shared" si="16"/>
        <v>0</v>
      </c>
      <c r="G23" s="1501">
        <f t="shared" si="16"/>
        <v>0</v>
      </c>
      <c r="H23" s="1501">
        <f t="shared" si="16"/>
        <v>0</v>
      </c>
      <c r="I23" s="1501">
        <f t="shared" si="16"/>
        <v>0</v>
      </c>
      <c r="J23" s="1501">
        <f t="shared" si="16"/>
        <v>0</v>
      </c>
      <c r="K23" s="1501">
        <f t="shared" si="16"/>
        <v>0</v>
      </c>
      <c r="L23" s="1501">
        <f t="shared" si="16"/>
        <v>0</v>
      </c>
      <c r="M23" s="1501">
        <f t="shared" si="16"/>
        <v>0</v>
      </c>
      <c r="N23" s="1501">
        <f t="shared" si="16"/>
        <v>0</v>
      </c>
      <c r="O23" s="1501">
        <f t="shared" si="16"/>
        <v>0</v>
      </c>
      <c r="P23" s="1501">
        <f t="shared" si="16"/>
        <v>0</v>
      </c>
      <c r="Q23" s="1501">
        <f t="shared" si="16"/>
        <v>0</v>
      </c>
      <c r="R23" s="1501">
        <f t="shared" si="16"/>
        <v>0</v>
      </c>
      <c r="S23" s="1501">
        <f t="shared" si="16"/>
        <v>0</v>
      </c>
      <c r="T23" s="1501">
        <f t="shared" si="16"/>
        <v>0</v>
      </c>
      <c r="U23" s="1501"/>
      <c r="V23" s="1501"/>
      <c r="W23" s="1501"/>
      <c r="X23" s="1502" t="e">
        <f>+X24</f>
        <v>#REF!</v>
      </c>
      <c r="Y23" s="3865"/>
    </row>
    <row r="24" spans="1:26" ht="12.75" hidden="1" customHeight="1">
      <c r="A24" s="3930"/>
      <c r="B24" s="218" t="s">
        <v>23</v>
      </c>
      <c r="C24" s="3862"/>
      <c r="D24" s="1503">
        <f>+M24+N24+O24+P24+Q24+R24+S24+T24</f>
        <v>0</v>
      </c>
      <c r="E24" s="1503">
        <f>+F24+G24+H24</f>
        <v>0</v>
      </c>
      <c r="F24" s="1503"/>
      <c r="G24" s="1503"/>
      <c r="H24" s="1503">
        <v>0</v>
      </c>
      <c r="I24" s="1503">
        <v>0</v>
      </c>
      <c r="J24" s="1503">
        <v>0</v>
      </c>
      <c r="K24" s="1503">
        <v>0</v>
      </c>
      <c r="L24" s="1503">
        <v>0</v>
      </c>
      <c r="M24" s="1503">
        <v>0</v>
      </c>
      <c r="N24" s="1503">
        <v>0</v>
      </c>
      <c r="O24" s="1503">
        <v>0</v>
      </c>
      <c r="P24" s="219">
        <v>0</v>
      </c>
      <c r="Q24" s="219">
        <v>0</v>
      </c>
      <c r="R24" s="219">
        <v>0</v>
      </c>
      <c r="S24" s="219">
        <v>0</v>
      </c>
      <c r="T24" s="219">
        <v>0</v>
      </c>
      <c r="U24" s="219"/>
      <c r="V24" s="219"/>
      <c r="W24" s="219"/>
      <c r="X24" s="1504" t="e">
        <f>+#REF!+T24+S24+R24+Q24+P24</f>
        <v>#REF!</v>
      </c>
      <c r="Y24" s="3865"/>
    </row>
    <row r="25" spans="1:26" ht="12.75" hidden="1" customHeight="1">
      <c r="A25" s="3930"/>
      <c r="B25" s="1505" t="s">
        <v>29</v>
      </c>
      <c r="C25" s="3862"/>
      <c r="D25" s="1506">
        <f>E25+I25+J25+K25+L25+N25+O25+P25</f>
        <v>0</v>
      </c>
      <c r="E25" s="1506">
        <f>+F25+G25+H25</f>
        <v>0</v>
      </c>
      <c r="F25" s="1506">
        <f t="shared" ref="F25:T25" si="17">F26</f>
        <v>0</v>
      </c>
      <c r="G25" s="1506">
        <f t="shared" si="17"/>
        <v>0</v>
      </c>
      <c r="H25" s="1506">
        <f t="shared" si="17"/>
        <v>0</v>
      </c>
      <c r="I25" s="1506">
        <f t="shared" si="17"/>
        <v>0</v>
      </c>
      <c r="J25" s="1506">
        <f t="shared" si="17"/>
        <v>0</v>
      </c>
      <c r="K25" s="1506">
        <f t="shared" si="17"/>
        <v>0</v>
      </c>
      <c r="L25" s="1506">
        <f t="shared" si="17"/>
        <v>0</v>
      </c>
      <c r="M25" s="1506">
        <f t="shared" si="17"/>
        <v>0</v>
      </c>
      <c r="N25" s="1506">
        <f t="shared" si="17"/>
        <v>0</v>
      </c>
      <c r="O25" s="1506">
        <f t="shared" si="17"/>
        <v>0</v>
      </c>
      <c r="P25" s="1506">
        <f t="shared" si="17"/>
        <v>0</v>
      </c>
      <c r="Q25" s="1506">
        <f t="shared" si="17"/>
        <v>0</v>
      </c>
      <c r="R25" s="1506">
        <f t="shared" si="17"/>
        <v>0</v>
      </c>
      <c r="S25" s="1506">
        <f t="shared" si="17"/>
        <v>0</v>
      </c>
      <c r="T25" s="1506">
        <f t="shared" si="17"/>
        <v>0</v>
      </c>
      <c r="U25" s="1506"/>
      <c r="V25" s="1506"/>
      <c r="W25" s="1506"/>
      <c r="X25" s="1502" t="e">
        <f>+X26</f>
        <v>#REF!</v>
      </c>
      <c r="Y25" s="3865"/>
    </row>
    <row r="26" spans="1:26" ht="12.75" hidden="1" thickBot="1">
      <c r="A26" s="3930"/>
      <c r="B26" s="1507" t="s">
        <v>31</v>
      </c>
      <c r="C26" s="3883"/>
      <c r="D26" s="1508">
        <f>+M26+N26+O26+P26+Q26+R26+S26+T26</f>
        <v>0</v>
      </c>
      <c r="E26" s="1509">
        <f>+F26+G26+H26</f>
        <v>0</v>
      </c>
      <c r="F26" s="1509"/>
      <c r="G26" s="1509"/>
      <c r="H26" s="1509">
        <v>0</v>
      </c>
      <c r="I26" s="1509">
        <v>0</v>
      </c>
      <c r="J26" s="1509">
        <v>0</v>
      </c>
      <c r="K26" s="1509">
        <v>0</v>
      </c>
      <c r="L26" s="1509">
        <v>0</v>
      </c>
      <c r="M26" s="1509">
        <v>0</v>
      </c>
      <c r="N26" s="1509">
        <v>0</v>
      </c>
      <c r="O26" s="1509">
        <v>0</v>
      </c>
      <c r="P26" s="175">
        <v>0</v>
      </c>
      <c r="Q26" s="175">
        <v>0</v>
      </c>
      <c r="R26" s="175">
        <v>0</v>
      </c>
      <c r="S26" s="175">
        <v>0</v>
      </c>
      <c r="T26" s="175">
        <v>0</v>
      </c>
      <c r="U26" s="175"/>
      <c r="V26" s="175"/>
      <c r="W26" s="175"/>
      <c r="X26" s="1504" t="e">
        <f>+#REF!+T26+S26+R26+Q26+P26</f>
        <v>#REF!</v>
      </c>
      <c r="Y26" s="3865"/>
    </row>
    <row r="27" spans="1:26" ht="12.75" hidden="1" customHeight="1">
      <c r="A27" s="3637"/>
      <c r="B27" s="1320" t="s">
        <v>33</v>
      </c>
      <c r="C27" s="1510"/>
      <c r="D27" s="1499">
        <f>E27+I27+J27+K27+L27+N27+O27+P27</f>
        <v>0</v>
      </c>
      <c r="E27" s="1499">
        <f t="shared" ref="E27:P27" si="18">E28+E30</f>
        <v>0</v>
      </c>
      <c r="F27" s="1499">
        <f t="shared" si="18"/>
        <v>0</v>
      </c>
      <c r="G27" s="1499">
        <f t="shared" si="18"/>
        <v>0</v>
      </c>
      <c r="H27" s="1499">
        <f t="shared" si="18"/>
        <v>0</v>
      </c>
      <c r="I27" s="1499">
        <f t="shared" si="18"/>
        <v>0</v>
      </c>
      <c r="J27" s="1499">
        <f t="shared" si="18"/>
        <v>0</v>
      </c>
      <c r="K27" s="1499">
        <f t="shared" si="18"/>
        <v>0</v>
      </c>
      <c r="L27" s="1499">
        <f t="shared" si="18"/>
        <v>0</v>
      </c>
      <c r="M27" s="1499">
        <f t="shared" si="18"/>
        <v>0</v>
      </c>
      <c r="N27" s="1499">
        <f t="shared" si="18"/>
        <v>0</v>
      </c>
      <c r="O27" s="1499">
        <f t="shared" si="18"/>
        <v>0</v>
      </c>
      <c r="P27" s="1499">
        <f t="shared" si="18"/>
        <v>0</v>
      </c>
      <c r="Q27" s="1499">
        <f>Q28+Q30</f>
        <v>0</v>
      </c>
      <c r="R27" s="1321">
        <f>R28+R30</f>
        <v>0</v>
      </c>
      <c r="S27" s="1321">
        <f>S28+S30</f>
        <v>0</v>
      </c>
      <c r="T27" s="1321">
        <f>T28+T30</f>
        <v>0</v>
      </c>
      <c r="U27" s="1511"/>
      <c r="V27" s="1511"/>
      <c r="W27" s="1511"/>
      <c r="X27" s="3913" t="s">
        <v>75</v>
      </c>
      <c r="Y27" s="3865"/>
    </row>
    <row r="28" spans="1:26" ht="12" hidden="1" customHeight="1">
      <c r="A28" s="3637"/>
      <c r="B28" s="1512" t="s">
        <v>35</v>
      </c>
      <c r="C28" s="3934" t="s">
        <v>161</v>
      </c>
      <c r="D28" s="1501">
        <f>E28+I28+J28+K28+L28+N28+O28+P28</f>
        <v>0</v>
      </c>
      <c r="E28" s="1501">
        <f t="shared" ref="E28:T28" si="19">E29</f>
        <v>0</v>
      </c>
      <c r="F28" s="1501">
        <f t="shared" si="19"/>
        <v>0</v>
      </c>
      <c r="G28" s="1501">
        <f t="shared" si="19"/>
        <v>0</v>
      </c>
      <c r="H28" s="1501">
        <f t="shared" si="19"/>
        <v>0</v>
      </c>
      <c r="I28" s="1501">
        <f t="shared" si="19"/>
        <v>0</v>
      </c>
      <c r="J28" s="1501">
        <f t="shared" si="19"/>
        <v>0</v>
      </c>
      <c r="K28" s="1501">
        <f t="shared" si="19"/>
        <v>0</v>
      </c>
      <c r="L28" s="1501">
        <f t="shared" si="19"/>
        <v>0</v>
      </c>
      <c r="M28" s="1501"/>
      <c r="N28" s="1501">
        <f t="shared" si="19"/>
        <v>0</v>
      </c>
      <c r="O28" s="1501">
        <f t="shared" si="19"/>
        <v>0</v>
      </c>
      <c r="P28" s="1501">
        <f t="shared" si="19"/>
        <v>0</v>
      </c>
      <c r="Q28" s="1501">
        <f t="shared" si="19"/>
        <v>0</v>
      </c>
      <c r="R28" s="1513">
        <f t="shared" si="19"/>
        <v>0</v>
      </c>
      <c r="S28" s="1513">
        <f t="shared" si="19"/>
        <v>0</v>
      </c>
      <c r="T28" s="1513">
        <f t="shared" si="19"/>
        <v>0</v>
      </c>
      <c r="U28" s="1514"/>
      <c r="V28" s="1514"/>
      <c r="W28" s="1514"/>
      <c r="X28" s="3914"/>
      <c r="Y28" s="3865"/>
    </row>
    <row r="29" spans="1:26" ht="12" hidden="1" customHeight="1">
      <c r="A29" s="3637"/>
      <c r="B29" s="222" t="s">
        <v>24</v>
      </c>
      <c r="C29" s="3862"/>
      <c r="D29" s="1503">
        <f>E29+I29+J29+K29+L29+N29+O29+P29</f>
        <v>0</v>
      </c>
      <c r="E29" s="1344">
        <f>+F29+G29+H29</f>
        <v>0</v>
      </c>
      <c r="F29" s="1344"/>
      <c r="G29" s="1344"/>
      <c r="H29" s="1344">
        <v>0</v>
      </c>
      <c r="I29" s="1344">
        <v>0</v>
      </c>
      <c r="J29" s="1344">
        <v>0</v>
      </c>
      <c r="K29" s="1344">
        <v>0</v>
      </c>
      <c r="L29" s="1344">
        <v>0</v>
      </c>
      <c r="M29" s="1344"/>
      <c r="N29" s="1344">
        <v>0</v>
      </c>
      <c r="O29" s="1344">
        <v>0</v>
      </c>
      <c r="P29" s="1344">
        <v>0</v>
      </c>
      <c r="Q29" s="1344">
        <v>0</v>
      </c>
      <c r="R29" s="1344">
        <v>0</v>
      </c>
      <c r="S29" s="1344">
        <v>0</v>
      </c>
      <c r="T29" s="1344">
        <v>0</v>
      </c>
      <c r="U29" s="297"/>
      <c r="V29" s="297"/>
      <c r="W29" s="297"/>
      <c r="X29" s="3914"/>
      <c r="Y29" s="3865"/>
    </row>
    <row r="30" spans="1:26" ht="13.5" hidden="1" customHeight="1">
      <c r="A30" s="3637"/>
      <c r="B30" s="1515" t="s">
        <v>29</v>
      </c>
      <c r="C30" s="3862"/>
      <c r="D30" s="1506">
        <f>E30+I30+J30+K30+L30+N30+O30+P30</f>
        <v>0</v>
      </c>
      <c r="E30" s="1506">
        <f t="shared" ref="E30:T30" si="20">E31</f>
        <v>0</v>
      </c>
      <c r="F30" s="1506">
        <f t="shared" si="20"/>
        <v>0</v>
      </c>
      <c r="G30" s="1506">
        <f t="shared" si="20"/>
        <v>0</v>
      </c>
      <c r="H30" s="1506">
        <f t="shared" si="20"/>
        <v>0</v>
      </c>
      <c r="I30" s="1506">
        <f t="shared" si="20"/>
        <v>0</v>
      </c>
      <c r="J30" s="1506">
        <f t="shared" si="20"/>
        <v>0</v>
      </c>
      <c r="K30" s="1506">
        <f t="shared" si="20"/>
        <v>0</v>
      </c>
      <c r="L30" s="1506">
        <f t="shared" si="20"/>
        <v>0</v>
      </c>
      <c r="M30" s="1506">
        <f t="shared" si="20"/>
        <v>0</v>
      </c>
      <c r="N30" s="1506">
        <f t="shared" si="20"/>
        <v>0</v>
      </c>
      <c r="O30" s="1506">
        <f t="shared" si="20"/>
        <v>0</v>
      </c>
      <c r="P30" s="1506">
        <f t="shared" si="20"/>
        <v>0</v>
      </c>
      <c r="Q30" s="1506">
        <f t="shared" si="20"/>
        <v>0</v>
      </c>
      <c r="R30" s="1351">
        <f t="shared" si="20"/>
        <v>0</v>
      </c>
      <c r="S30" s="1351">
        <f t="shared" si="20"/>
        <v>0</v>
      </c>
      <c r="T30" s="1351">
        <f t="shared" si="20"/>
        <v>0</v>
      </c>
      <c r="U30" s="1353"/>
      <c r="V30" s="1353"/>
      <c r="W30" s="1353"/>
      <c r="X30" s="3914"/>
      <c r="Y30" s="3865"/>
    </row>
    <row r="31" spans="1:26" ht="13.5" hidden="1" customHeight="1" thickBot="1">
      <c r="A31" s="3638"/>
      <c r="B31" s="1516" t="s">
        <v>31</v>
      </c>
      <c r="C31" s="3905"/>
      <c r="D31" s="1126">
        <f>+M31+N31+O31+P31+Q31+R31+S31+T31</f>
        <v>0</v>
      </c>
      <c r="E31" s="1310">
        <f>+F31+G31+H31</f>
        <v>0</v>
      </c>
      <c r="F31" s="1310"/>
      <c r="G31" s="1310"/>
      <c r="H31" s="1310">
        <v>0</v>
      </c>
      <c r="I31" s="1310">
        <v>0</v>
      </c>
      <c r="J31" s="1310">
        <v>0</v>
      </c>
      <c r="K31" s="1310">
        <v>0</v>
      </c>
      <c r="L31" s="1310">
        <v>0</v>
      </c>
      <c r="M31" s="1310">
        <v>0</v>
      </c>
      <c r="N31" s="1310">
        <v>0</v>
      </c>
      <c r="O31" s="1310">
        <v>0</v>
      </c>
      <c r="P31" s="1310">
        <v>0</v>
      </c>
      <c r="Q31" s="1310">
        <v>0</v>
      </c>
      <c r="R31" s="1310">
        <v>0</v>
      </c>
      <c r="S31" s="1310">
        <v>0</v>
      </c>
      <c r="T31" s="1310">
        <v>0</v>
      </c>
      <c r="U31" s="151"/>
      <c r="V31" s="151"/>
      <c r="W31" s="151"/>
      <c r="X31" s="3915"/>
      <c r="Y31" s="3866"/>
    </row>
    <row r="32" spans="1:26" ht="24.75" customHeight="1">
      <c r="A32" s="3929" t="s">
        <v>77</v>
      </c>
      <c r="B32" s="214" t="s">
        <v>566</v>
      </c>
      <c r="C32" s="215" t="s">
        <v>125</v>
      </c>
      <c r="D32" s="1494"/>
      <c r="E32" s="1495"/>
      <c r="F32" s="216"/>
      <c r="G32" s="216"/>
      <c r="H32" s="1495"/>
      <c r="I32" s="1495"/>
      <c r="J32" s="1495"/>
      <c r="K32" s="216"/>
      <c r="L32" s="216"/>
      <c r="M32" s="1496"/>
      <c r="N32" s="1496"/>
      <c r="O32" s="1496"/>
      <c r="P32" s="216"/>
      <c r="Q32" s="1496"/>
      <c r="R32" s="1496"/>
      <c r="S32" s="1496"/>
      <c r="T32" s="1496"/>
      <c r="U32" s="1496"/>
      <c r="V32" s="1496"/>
      <c r="W32" s="1496"/>
      <c r="X32" s="1497"/>
      <c r="Y32" s="3863" t="s">
        <v>160</v>
      </c>
    </row>
    <row r="33" spans="1:25" ht="13.5" customHeight="1">
      <c r="A33" s="3930"/>
      <c r="B33" s="1320" t="s">
        <v>21</v>
      </c>
      <c r="C33" s="1517"/>
      <c r="D33" s="1499">
        <f>+D34+D36</f>
        <v>746100</v>
      </c>
      <c r="E33" s="1499">
        <f t="shared" ref="E33:Q33" si="21">+E34+E36</f>
        <v>0</v>
      </c>
      <c r="F33" s="1499">
        <f t="shared" si="21"/>
        <v>0</v>
      </c>
      <c r="G33" s="1499">
        <f t="shared" si="21"/>
        <v>0</v>
      </c>
      <c r="H33" s="1499">
        <f t="shared" si="21"/>
        <v>0</v>
      </c>
      <c r="I33" s="1499">
        <f t="shared" si="21"/>
        <v>0</v>
      </c>
      <c r="J33" s="1499">
        <f t="shared" si="21"/>
        <v>0</v>
      </c>
      <c r="K33" s="1499">
        <f t="shared" si="21"/>
        <v>0</v>
      </c>
      <c r="L33" s="1499">
        <f t="shared" si="21"/>
        <v>131442</v>
      </c>
      <c r="M33" s="1499">
        <f t="shared" si="21"/>
        <v>438144</v>
      </c>
      <c r="N33" s="1499">
        <f t="shared" si="21"/>
        <v>155130</v>
      </c>
      <c r="O33" s="1499">
        <f t="shared" si="21"/>
        <v>151572</v>
      </c>
      <c r="P33" s="1499">
        <f t="shared" si="21"/>
        <v>155743</v>
      </c>
      <c r="Q33" s="1499">
        <f t="shared" si="21"/>
        <v>152213</v>
      </c>
      <c r="R33" s="1499">
        <f t="shared" ref="R33:W33" si="22">+R34+R36</f>
        <v>0</v>
      </c>
      <c r="S33" s="1518">
        <f t="shared" si="22"/>
        <v>0</v>
      </c>
      <c r="T33" s="1518">
        <f t="shared" si="22"/>
        <v>0</v>
      </c>
      <c r="U33" s="1518">
        <f t="shared" si="22"/>
        <v>0</v>
      </c>
      <c r="V33" s="1518">
        <f t="shared" si="22"/>
        <v>0</v>
      </c>
      <c r="W33" s="1518">
        <f t="shared" si="22"/>
        <v>0</v>
      </c>
      <c r="X33" s="1500">
        <f>X34+X36</f>
        <v>152213</v>
      </c>
      <c r="Y33" s="3865"/>
    </row>
    <row r="34" spans="1:25" ht="11.25" customHeight="1">
      <c r="A34" s="3930"/>
      <c r="B34" s="1251" t="s">
        <v>35</v>
      </c>
      <c r="C34" s="3934" t="s">
        <v>161</v>
      </c>
      <c r="D34" s="1501">
        <f>+D35</f>
        <v>349415</v>
      </c>
      <c r="E34" s="1501">
        <f t="shared" ref="E34:W34" si="23">+E35</f>
        <v>0</v>
      </c>
      <c r="F34" s="1501">
        <f t="shared" si="23"/>
        <v>0</v>
      </c>
      <c r="G34" s="1501">
        <f t="shared" si="23"/>
        <v>0</v>
      </c>
      <c r="H34" s="1501">
        <f t="shared" si="23"/>
        <v>0</v>
      </c>
      <c r="I34" s="1501">
        <f t="shared" si="23"/>
        <v>0</v>
      </c>
      <c r="J34" s="1501">
        <f t="shared" si="23"/>
        <v>0</v>
      </c>
      <c r="K34" s="1501">
        <f t="shared" si="23"/>
        <v>0</v>
      </c>
      <c r="L34" s="1501">
        <f t="shared" si="23"/>
        <v>64805</v>
      </c>
      <c r="M34" s="1501">
        <f t="shared" si="23"/>
        <v>206047</v>
      </c>
      <c r="N34" s="1501">
        <f t="shared" si="23"/>
        <v>70472</v>
      </c>
      <c r="O34" s="1501">
        <f t="shared" si="23"/>
        <v>70770</v>
      </c>
      <c r="P34" s="1501">
        <f t="shared" si="23"/>
        <v>68453</v>
      </c>
      <c r="Q34" s="1501">
        <f t="shared" si="23"/>
        <v>74915</v>
      </c>
      <c r="R34" s="1501">
        <f t="shared" si="23"/>
        <v>0</v>
      </c>
      <c r="S34" s="3252">
        <f t="shared" si="23"/>
        <v>0</v>
      </c>
      <c r="T34" s="3252">
        <f t="shared" si="23"/>
        <v>0</v>
      </c>
      <c r="U34" s="3252">
        <f t="shared" si="23"/>
        <v>0</v>
      </c>
      <c r="V34" s="3252">
        <f t="shared" si="23"/>
        <v>0</v>
      </c>
      <c r="W34" s="3252">
        <f t="shared" si="23"/>
        <v>0</v>
      </c>
      <c r="X34" s="1502">
        <f>+X35</f>
        <v>74915</v>
      </c>
      <c r="Y34" s="3865"/>
    </row>
    <row r="35" spans="1:25" ht="13.5" customHeight="1">
      <c r="A35" s="3930"/>
      <c r="B35" s="218" t="s">
        <v>23</v>
      </c>
      <c r="C35" s="3862"/>
      <c r="D35" s="2199">
        <f>M35+P35+Q35+R35+S35+T35+U35+V35+W35</f>
        <v>349415</v>
      </c>
      <c r="E35" s="1503">
        <f>+F35+G35+H35</f>
        <v>0</v>
      </c>
      <c r="F35" s="1503"/>
      <c r="G35" s="1503"/>
      <c r="H35" s="1503">
        <v>0</v>
      </c>
      <c r="I35" s="1503">
        <v>0</v>
      </c>
      <c r="J35" s="1503">
        <v>0</v>
      </c>
      <c r="K35" s="1503">
        <v>0</v>
      </c>
      <c r="L35" s="1503">
        <f>69883-5078</f>
        <v>64805</v>
      </c>
      <c r="M35" s="2200">
        <f>+E35+I35+J35+K35+L35+N35+O35</f>
        <v>206047</v>
      </c>
      <c r="N35" s="1503">
        <v>70472</v>
      </c>
      <c r="O35" s="1503">
        <f>74372-3602</f>
        <v>70770</v>
      </c>
      <c r="P35" s="219">
        <f>69883+3602-5032</f>
        <v>68453</v>
      </c>
      <c r="Q35" s="219">
        <f>69883+5032</f>
        <v>74915</v>
      </c>
      <c r="R35" s="219">
        <v>0</v>
      </c>
      <c r="S35" s="3253">
        <v>0</v>
      </c>
      <c r="T35" s="3253">
        <v>0</v>
      </c>
      <c r="U35" s="3253">
        <v>0</v>
      </c>
      <c r="V35" s="3253">
        <v>0</v>
      </c>
      <c r="W35" s="3253">
        <v>0</v>
      </c>
      <c r="X35" s="1504">
        <f>SUM(Q35:W35)</f>
        <v>74915</v>
      </c>
      <c r="Y35" s="3865"/>
    </row>
    <row r="36" spans="1:25" ht="13.5" customHeight="1">
      <c r="A36" s="3930"/>
      <c r="B36" s="1505" t="s">
        <v>29</v>
      </c>
      <c r="C36" s="3862"/>
      <c r="D36" s="1506">
        <f>+D37</f>
        <v>396685</v>
      </c>
      <c r="E36" s="1506">
        <f>+F36+G36+H36</f>
        <v>0</v>
      </c>
      <c r="F36" s="1506">
        <f t="shared" ref="F36:W36" si="24">F37</f>
        <v>0</v>
      </c>
      <c r="G36" s="1506">
        <f t="shared" si="24"/>
        <v>0</v>
      </c>
      <c r="H36" s="1506">
        <f t="shared" si="24"/>
        <v>0</v>
      </c>
      <c r="I36" s="1506">
        <f t="shared" si="24"/>
        <v>0</v>
      </c>
      <c r="J36" s="1506">
        <f t="shared" si="24"/>
        <v>0</v>
      </c>
      <c r="K36" s="1506">
        <f t="shared" si="24"/>
        <v>0</v>
      </c>
      <c r="L36" s="1506">
        <f t="shared" si="24"/>
        <v>66637</v>
      </c>
      <c r="M36" s="1506">
        <f t="shared" si="24"/>
        <v>232097</v>
      </c>
      <c r="N36" s="1506">
        <f t="shared" si="24"/>
        <v>84658</v>
      </c>
      <c r="O36" s="1506">
        <f t="shared" si="24"/>
        <v>80802</v>
      </c>
      <c r="P36" s="1506">
        <f t="shared" si="24"/>
        <v>87290</v>
      </c>
      <c r="Q36" s="1506">
        <f t="shared" si="24"/>
        <v>77298</v>
      </c>
      <c r="R36" s="1506">
        <f t="shared" si="24"/>
        <v>0</v>
      </c>
      <c r="S36" s="1427">
        <f t="shared" si="24"/>
        <v>0</v>
      </c>
      <c r="T36" s="1427">
        <f t="shared" si="24"/>
        <v>0</v>
      </c>
      <c r="U36" s="1427">
        <f t="shared" si="24"/>
        <v>0</v>
      </c>
      <c r="V36" s="1427">
        <f t="shared" si="24"/>
        <v>0</v>
      </c>
      <c r="W36" s="1427">
        <f t="shared" si="24"/>
        <v>0</v>
      </c>
      <c r="X36" s="1502">
        <f>+X37</f>
        <v>77298</v>
      </c>
      <c r="Y36" s="3865"/>
    </row>
    <row r="37" spans="1:25" ht="12">
      <c r="A37" s="3930"/>
      <c r="B37" s="1507" t="s">
        <v>31</v>
      </c>
      <c r="C37" s="3883"/>
      <c r="D37" s="2199">
        <f>M37+P37+Q37+R37+S37+T37+U37+V37+W37</f>
        <v>396685</v>
      </c>
      <c r="E37" s="1509">
        <f>+F37+G37+H37</f>
        <v>0</v>
      </c>
      <c r="F37" s="1509"/>
      <c r="G37" s="1509"/>
      <c r="H37" s="1509">
        <v>0</v>
      </c>
      <c r="I37" s="1509">
        <v>0</v>
      </c>
      <c r="J37" s="1509">
        <v>0</v>
      </c>
      <c r="K37" s="1509">
        <v>0</v>
      </c>
      <c r="L37" s="1509">
        <f>75707-9070</f>
        <v>66637</v>
      </c>
      <c r="M37" s="2200">
        <f>+E37+I37+J37+K37+L37+N37+O37</f>
        <v>232097</v>
      </c>
      <c r="N37" s="1509">
        <v>84658</v>
      </c>
      <c r="O37" s="1509">
        <f>75826+4980-4</f>
        <v>80802</v>
      </c>
      <c r="P37" s="175">
        <f>75707+4+11597-18</f>
        <v>87290</v>
      </c>
      <c r="Q37" s="175">
        <f>75707+1591</f>
        <v>77298</v>
      </c>
      <c r="R37" s="175">
        <v>0</v>
      </c>
      <c r="S37" s="3254">
        <v>0</v>
      </c>
      <c r="T37" s="3254">
        <v>0</v>
      </c>
      <c r="U37" s="3254">
        <v>0</v>
      </c>
      <c r="V37" s="3254">
        <v>0</v>
      </c>
      <c r="W37" s="3254">
        <v>0</v>
      </c>
      <c r="X37" s="1504">
        <f>SUM(Q37:W37)</f>
        <v>77298</v>
      </c>
      <c r="Y37" s="3865"/>
    </row>
    <row r="38" spans="1:25" ht="13.5" customHeight="1">
      <c r="A38" s="3637"/>
      <c r="B38" s="1320" t="s">
        <v>33</v>
      </c>
      <c r="C38" s="1510"/>
      <c r="D38" s="1499">
        <f>+D41</f>
        <v>396685</v>
      </c>
      <c r="E38" s="1499">
        <f t="shared" ref="E38:W38" si="25">E39+E41</f>
        <v>0</v>
      </c>
      <c r="F38" s="1499">
        <f t="shared" si="25"/>
        <v>0</v>
      </c>
      <c r="G38" s="1499">
        <f t="shared" si="25"/>
        <v>0</v>
      </c>
      <c r="H38" s="1499">
        <f t="shared" si="25"/>
        <v>0</v>
      </c>
      <c r="I38" s="1499">
        <f t="shared" si="25"/>
        <v>0</v>
      </c>
      <c r="J38" s="1499">
        <f t="shared" si="25"/>
        <v>0</v>
      </c>
      <c r="K38" s="1499">
        <f t="shared" si="25"/>
        <v>0</v>
      </c>
      <c r="L38" s="1499">
        <f t="shared" si="25"/>
        <v>53066</v>
      </c>
      <c r="M38" s="1499">
        <f t="shared" si="25"/>
        <v>207411</v>
      </c>
      <c r="N38" s="1499">
        <f t="shared" si="25"/>
        <v>75862</v>
      </c>
      <c r="O38" s="1499">
        <f t="shared" si="25"/>
        <v>78483</v>
      </c>
      <c r="P38" s="1499">
        <f t="shared" si="25"/>
        <v>83901</v>
      </c>
      <c r="Q38" s="1499">
        <f t="shared" si="25"/>
        <v>80296</v>
      </c>
      <c r="R38" s="1499">
        <f t="shared" si="25"/>
        <v>25077</v>
      </c>
      <c r="S38" s="1518">
        <f t="shared" si="25"/>
        <v>0</v>
      </c>
      <c r="T38" s="1518">
        <f t="shared" si="25"/>
        <v>0</v>
      </c>
      <c r="U38" s="1518">
        <f t="shared" si="25"/>
        <v>0</v>
      </c>
      <c r="V38" s="1518">
        <f t="shared" si="25"/>
        <v>0</v>
      </c>
      <c r="W38" s="1518">
        <f t="shared" si="25"/>
        <v>0</v>
      </c>
      <c r="X38" s="3913" t="s">
        <v>75</v>
      </c>
      <c r="Y38" s="3865"/>
    </row>
    <row r="39" spans="1:25" ht="12" hidden="1" customHeight="1">
      <c r="A39" s="3637"/>
      <c r="B39" s="1512" t="s">
        <v>35</v>
      </c>
      <c r="C39" s="3934" t="s">
        <v>161</v>
      </c>
      <c r="D39" s="1501">
        <f>E39+I39+J39+K39+L39+N39+O39+P39</f>
        <v>0</v>
      </c>
      <c r="E39" s="1501">
        <f t="shared" ref="E39:R39" si="26">E40</f>
        <v>0</v>
      </c>
      <c r="F39" s="1501">
        <f t="shared" si="26"/>
        <v>0</v>
      </c>
      <c r="G39" s="1501">
        <f t="shared" si="26"/>
        <v>0</v>
      </c>
      <c r="H39" s="1501">
        <f t="shared" si="26"/>
        <v>0</v>
      </c>
      <c r="I39" s="1501">
        <f t="shared" si="26"/>
        <v>0</v>
      </c>
      <c r="J39" s="1501">
        <f t="shared" si="26"/>
        <v>0</v>
      </c>
      <c r="K39" s="1501">
        <f t="shared" si="26"/>
        <v>0</v>
      </c>
      <c r="L39" s="1501">
        <f t="shared" si="26"/>
        <v>0</v>
      </c>
      <c r="M39" s="1501"/>
      <c r="N39" s="1501">
        <f t="shared" si="26"/>
        <v>0</v>
      </c>
      <c r="O39" s="1501">
        <f t="shared" si="26"/>
        <v>0</v>
      </c>
      <c r="P39" s="1501">
        <f t="shared" si="26"/>
        <v>0</v>
      </c>
      <c r="Q39" s="1501">
        <f t="shared" si="26"/>
        <v>0</v>
      </c>
      <c r="R39" s="1501">
        <f t="shared" si="26"/>
        <v>0</v>
      </c>
      <c r="S39" s="3252"/>
      <c r="T39" s="3252"/>
      <c r="U39" s="3252"/>
      <c r="V39" s="3252"/>
      <c r="W39" s="3252"/>
      <c r="X39" s="3914"/>
      <c r="Y39" s="3865"/>
    </row>
    <row r="40" spans="1:25" ht="12" hidden="1" customHeight="1">
      <c r="A40" s="3637"/>
      <c r="B40" s="222" t="s">
        <v>24</v>
      </c>
      <c r="C40" s="3862"/>
      <c r="D40" s="1503">
        <f>E40+I40+J40+K40+L40+N40+O40+P40</f>
        <v>0</v>
      </c>
      <c r="E40" s="1344">
        <f>+F40+G40+H40</f>
        <v>0</v>
      </c>
      <c r="F40" s="1344"/>
      <c r="G40" s="1344"/>
      <c r="H40" s="1344">
        <v>0</v>
      </c>
      <c r="I40" s="1344">
        <v>0</v>
      </c>
      <c r="J40" s="1344">
        <v>0</v>
      </c>
      <c r="K40" s="1344">
        <v>0</v>
      </c>
      <c r="L40" s="1344">
        <v>0</v>
      </c>
      <c r="M40" s="1344"/>
      <c r="N40" s="1344">
        <v>0</v>
      </c>
      <c r="O40" s="1344">
        <v>0</v>
      </c>
      <c r="P40" s="1344">
        <v>0</v>
      </c>
      <c r="Q40" s="1344">
        <v>0</v>
      </c>
      <c r="R40" s="219">
        <v>0</v>
      </c>
      <c r="S40" s="3253"/>
      <c r="T40" s="3253"/>
      <c r="U40" s="3253"/>
      <c r="V40" s="3253"/>
      <c r="W40" s="3253"/>
      <c r="X40" s="3914"/>
      <c r="Y40" s="3865"/>
    </row>
    <row r="41" spans="1:25" ht="13.5" customHeight="1">
      <c r="A41" s="3637"/>
      <c r="B41" s="1515" t="s">
        <v>29</v>
      </c>
      <c r="C41" s="3862"/>
      <c r="D41" s="1506">
        <f>+D42</f>
        <v>396685</v>
      </c>
      <c r="E41" s="1506">
        <f t="shared" ref="E41:W41" si="27">E42</f>
        <v>0</v>
      </c>
      <c r="F41" s="1506">
        <f t="shared" si="27"/>
        <v>0</v>
      </c>
      <c r="G41" s="1506">
        <f t="shared" si="27"/>
        <v>0</v>
      </c>
      <c r="H41" s="1506">
        <f t="shared" si="27"/>
        <v>0</v>
      </c>
      <c r="I41" s="1506">
        <f t="shared" si="27"/>
        <v>0</v>
      </c>
      <c r="J41" s="1506">
        <f t="shared" si="27"/>
        <v>0</v>
      </c>
      <c r="K41" s="1506">
        <f t="shared" si="27"/>
        <v>0</v>
      </c>
      <c r="L41" s="1506">
        <f t="shared" si="27"/>
        <v>53066</v>
      </c>
      <c r="M41" s="1506">
        <f t="shared" si="27"/>
        <v>207411</v>
      </c>
      <c r="N41" s="1506">
        <f t="shared" si="27"/>
        <v>75862</v>
      </c>
      <c r="O41" s="1506">
        <f t="shared" si="27"/>
        <v>78483</v>
      </c>
      <c r="P41" s="1506">
        <f t="shared" si="27"/>
        <v>83901</v>
      </c>
      <c r="Q41" s="1506">
        <f t="shared" si="27"/>
        <v>80296</v>
      </c>
      <c r="R41" s="1506">
        <f t="shared" si="27"/>
        <v>25077</v>
      </c>
      <c r="S41" s="1427">
        <f t="shared" si="27"/>
        <v>0</v>
      </c>
      <c r="T41" s="1427">
        <f t="shared" si="27"/>
        <v>0</v>
      </c>
      <c r="U41" s="1427">
        <f t="shared" si="27"/>
        <v>0</v>
      </c>
      <c r="V41" s="1427">
        <f t="shared" si="27"/>
        <v>0</v>
      </c>
      <c r="W41" s="1427">
        <f t="shared" si="27"/>
        <v>0</v>
      </c>
      <c r="X41" s="3914"/>
      <c r="Y41" s="3865"/>
    </row>
    <row r="42" spans="1:25" ht="12.75" customHeight="1" thickBot="1">
      <c r="A42" s="3638"/>
      <c r="B42" s="1516" t="s">
        <v>31</v>
      </c>
      <c r="C42" s="3905"/>
      <c r="D42" s="2199">
        <f>M42+P42+Q42+R42+S42+T42+U42+V42+W42</f>
        <v>396685</v>
      </c>
      <c r="E42" s="1310">
        <f>+F42+G42+H42</f>
        <v>0</v>
      </c>
      <c r="F42" s="1310"/>
      <c r="G42" s="1310"/>
      <c r="H42" s="1310">
        <v>0</v>
      </c>
      <c r="I42" s="1310">
        <v>0</v>
      </c>
      <c r="J42" s="1310">
        <v>0</v>
      </c>
      <c r="K42" s="1310">
        <v>0</v>
      </c>
      <c r="L42" s="1310">
        <f>52995+71</f>
        <v>53066</v>
      </c>
      <c r="M42" s="2200">
        <f>+E42+I42+J42+K42+L42+N42+O42</f>
        <v>207411</v>
      </c>
      <c r="N42" s="1310">
        <v>75862</v>
      </c>
      <c r="O42" s="1310">
        <f>74088+3486+909</f>
        <v>78483</v>
      </c>
      <c r="P42" s="1310">
        <f>75707+1494+8118-1418</f>
        <v>83901</v>
      </c>
      <c r="Q42" s="1310">
        <f>79186+1110</f>
        <v>80296</v>
      </c>
      <c r="R42" s="1310">
        <f>24105-909+1881</f>
        <v>25077</v>
      </c>
      <c r="S42" s="3255">
        <v>0</v>
      </c>
      <c r="T42" s="3255">
        <v>0</v>
      </c>
      <c r="U42" s="3255">
        <v>0</v>
      </c>
      <c r="V42" s="3255">
        <v>0</v>
      </c>
      <c r="W42" s="3255">
        <v>0</v>
      </c>
      <c r="X42" s="3915"/>
      <c r="Y42" s="3866"/>
    </row>
    <row r="43" spans="1:25" ht="36" hidden="1" customHeight="1">
      <c r="A43" s="3929" t="s">
        <v>78</v>
      </c>
      <c r="B43" s="214" t="s">
        <v>384</v>
      </c>
      <c r="C43" s="215" t="s">
        <v>125</v>
      </c>
      <c r="D43" s="1494"/>
      <c r="E43" s="1495"/>
      <c r="F43" s="216"/>
      <c r="G43" s="216"/>
      <c r="H43" s="1495"/>
      <c r="I43" s="1495"/>
      <c r="J43" s="1495"/>
      <c r="K43" s="216"/>
      <c r="L43" s="216"/>
      <c r="M43" s="1496"/>
      <c r="N43" s="1496"/>
      <c r="O43" s="1496"/>
      <c r="P43" s="216"/>
      <c r="Q43" s="1496"/>
      <c r="R43" s="1496"/>
      <c r="S43" s="1496"/>
      <c r="T43" s="1496"/>
      <c r="U43" s="1496"/>
      <c r="V43" s="1496"/>
      <c r="W43" s="1496"/>
      <c r="X43" s="1497"/>
      <c r="Y43" s="3632" t="s">
        <v>162</v>
      </c>
    </row>
    <row r="44" spans="1:25" ht="15" hidden="1" customHeight="1">
      <c r="A44" s="3930"/>
      <c r="B44" s="1320" t="s">
        <v>21</v>
      </c>
      <c r="C44" s="1517"/>
      <c r="D44" s="1499">
        <f>D45</f>
        <v>0</v>
      </c>
      <c r="E44" s="1499">
        <f t="shared" ref="E44:U45" si="28">E45</f>
        <v>0</v>
      </c>
      <c r="F44" s="1499">
        <f t="shared" si="28"/>
        <v>0</v>
      </c>
      <c r="G44" s="1499">
        <f t="shared" si="28"/>
        <v>0</v>
      </c>
      <c r="H44" s="1499">
        <f t="shared" si="28"/>
        <v>0</v>
      </c>
      <c r="I44" s="1499">
        <f t="shared" si="28"/>
        <v>0</v>
      </c>
      <c r="J44" s="1499">
        <f t="shared" si="28"/>
        <v>0</v>
      </c>
      <c r="K44" s="1499">
        <f t="shared" si="28"/>
        <v>0</v>
      </c>
      <c r="L44" s="1499">
        <f t="shared" si="28"/>
        <v>0</v>
      </c>
      <c r="M44" s="1499">
        <f t="shared" si="28"/>
        <v>0</v>
      </c>
      <c r="N44" s="1499">
        <f t="shared" si="28"/>
        <v>20327</v>
      </c>
      <c r="O44" s="1499">
        <f t="shared" si="28"/>
        <v>0</v>
      </c>
      <c r="P44" s="1499">
        <f t="shared" si="28"/>
        <v>0</v>
      </c>
      <c r="Q44" s="1499">
        <f t="shared" si="28"/>
        <v>0</v>
      </c>
      <c r="R44" s="1499">
        <f t="shared" ref="R44:W44" si="29">+R45+R47</f>
        <v>0</v>
      </c>
      <c r="S44" s="1499">
        <f t="shared" si="29"/>
        <v>0</v>
      </c>
      <c r="T44" s="1499">
        <f t="shared" si="29"/>
        <v>0</v>
      </c>
      <c r="U44" s="1499">
        <f t="shared" si="29"/>
        <v>0</v>
      </c>
      <c r="V44" s="1499">
        <f t="shared" si="29"/>
        <v>0</v>
      </c>
      <c r="W44" s="1499">
        <f t="shared" si="29"/>
        <v>0</v>
      </c>
      <c r="X44" s="1500">
        <f>X45</f>
        <v>0</v>
      </c>
      <c r="Y44" s="3609"/>
    </row>
    <row r="45" spans="1:25" ht="12.75" hidden="1" thickBot="1">
      <c r="A45" s="3930"/>
      <c r="B45" s="1519" t="s">
        <v>29</v>
      </c>
      <c r="C45" s="3892" t="s">
        <v>163</v>
      </c>
      <c r="D45" s="1506">
        <f>+D46</f>
        <v>0</v>
      </c>
      <c r="E45" s="1506">
        <f>+F45+G45+H45</f>
        <v>0</v>
      </c>
      <c r="F45" s="1506">
        <f t="shared" si="28"/>
        <v>0</v>
      </c>
      <c r="G45" s="1506">
        <f t="shared" si="28"/>
        <v>0</v>
      </c>
      <c r="H45" s="1506">
        <f t="shared" si="28"/>
        <v>0</v>
      </c>
      <c r="I45" s="1506">
        <f t="shared" si="28"/>
        <v>0</v>
      </c>
      <c r="J45" s="1506">
        <f t="shared" si="28"/>
        <v>0</v>
      </c>
      <c r="K45" s="1506">
        <f t="shared" si="28"/>
        <v>0</v>
      </c>
      <c r="L45" s="1506">
        <f t="shared" si="28"/>
        <v>0</v>
      </c>
      <c r="M45" s="1506">
        <f t="shared" si="28"/>
        <v>0</v>
      </c>
      <c r="N45" s="1506">
        <f t="shared" si="28"/>
        <v>20327</v>
      </c>
      <c r="O45" s="1506">
        <f t="shared" si="28"/>
        <v>0</v>
      </c>
      <c r="P45" s="1506">
        <f t="shared" si="28"/>
        <v>0</v>
      </c>
      <c r="Q45" s="1506">
        <f t="shared" si="28"/>
        <v>0</v>
      </c>
      <c r="R45" s="1506">
        <f t="shared" si="28"/>
        <v>0</v>
      </c>
      <c r="S45" s="1506">
        <f t="shared" si="28"/>
        <v>0</v>
      </c>
      <c r="T45" s="1506">
        <f t="shared" si="28"/>
        <v>0</v>
      </c>
      <c r="U45" s="1506">
        <f t="shared" si="28"/>
        <v>0</v>
      </c>
      <c r="V45" s="1506">
        <f>V46</f>
        <v>0</v>
      </c>
      <c r="W45" s="1506">
        <f>W46</f>
        <v>0</v>
      </c>
      <c r="X45" s="1502">
        <f>+X46</f>
        <v>0</v>
      </c>
      <c r="Y45" s="3609"/>
    </row>
    <row r="46" spans="1:25" ht="12.75" hidden="1" thickBot="1">
      <c r="A46" s="3930"/>
      <c r="B46" s="1520" t="s">
        <v>31</v>
      </c>
      <c r="C46" s="3883"/>
      <c r="D46" s="1503">
        <f>M46+O46+P46+Q46+R46+S46+T46+U46+V46+W46</f>
        <v>0</v>
      </c>
      <c r="E46" s="1509">
        <f>+F46+G46+H46</f>
        <v>0</v>
      </c>
      <c r="F46" s="1509"/>
      <c r="G46" s="1509"/>
      <c r="H46" s="1509">
        <v>0</v>
      </c>
      <c r="I46" s="1509">
        <v>0</v>
      </c>
      <c r="J46" s="1509">
        <v>0</v>
      </c>
      <c r="K46" s="1509">
        <v>0</v>
      </c>
      <c r="L46" s="1509">
        <v>0</v>
      </c>
      <c r="M46" s="1503">
        <v>0</v>
      </c>
      <c r="N46" s="1509">
        <f>32000-11673</f>
        <v>20327</v>
      </c>
      <c r="O46" s="1509">
        <v>0</v>
      </c>
      <c r="P46" s="175">
        <v>0</v>
      </c>
      <c r="Q46" s="175">
        <v>0</v>
      </c>
      <c r="R46" s="175">
        <v>0</v>
      </c>
      <c r="S46" s="175">
        <v>0</v>
      </c>
      <c r="T46" s="175">
        <v>0</v>
      </c>
      <c r="U46" s="175">
        <v>0</v>
      </c>
      <c r="V46" s="175">
        <v>0</v>
      </c>
      <c r="W46" s="175">
        <v>0</v>
      </c>
      <c r="X46" s="1504">
        <f>+T46+S46+R46+Q46+P46</f>
        <v>0</v>
      </c>
      <c r="Y46" s="3609"/>
    </row>
    <row r="47" spans="1:25" ht="15" hidden="1" customHeight="1">
      <c r="A47" s="3930"/>
      <c r="B47" s="1521" t="s">
        <v>33</v>
      </c>
      <c r="C47" s="226"/>
      <c r="D47" s="1499">
        <f>+D48</f>
        <v>0</v>
      </c>
      <c r="E47" s="1499">
        <f t="shared" ref="E47:W47" si="30">E48+E72</f>
        <v>0</v>
      </c>
      <c r="F47" s="1499">
        <f t="shared" si="30"/>
        <v>0</v>
      </c>
      <c r="G47" s="1499">
        <f t="shared" si="30"/>
        <v>0</v>
      </c>
      <c r="H47" s="1499">
        <f t="shared" si="30"/>
        <v>0</v>
      </c>
      <c r="I47" s="1499">
        <f t="shared" si="30"/>
        <v>0</v>
      </c>
      <c r="J47" s="1499">
        <f t="shared" si="30"/>
        <v>0</v>
      </c>
      <c r="K47" s="1499">
        <f t="shared" si="30"/>
        <v>0</v>
      </c>
      <c r="L47" s="1499">
        <f t="shared" si="30"/>
        <v>0</v>
      </c>
      <c r="M47" s="1499">
        <f t="shared" si="30"/>
        <v>0</v>
      </c>
      <c r="N47" s="1499">
        <f t="shared" si="30"/>
        <v>0</v>
      </c>
      <c r="O47" s="1499">
        <f t="shared" si="30"/>
        <v>0</v>
      </c>
      <c r="P47" s="1499">
        <f t="shared" si="30"/>
        <v>0</v>
      </c>
      <c r="Q47" s="1499">
        <f t="shared" si="30"/>
        <v>0</v>
      </c>
      <c r="R47" s="1499">
        <f t="shared" si="30"/>
        <v>0</v>
      </c>
      <c r="S47" s="1499">
        <f t="shared" si="30"/>
        <v>0</v>
      </c>
      <c r="T47" s="1499">
        <f t="shared" si="30"/>
        <v>0</v>
      </c>
      <c r="U47" s="1499">
        <f t="shared" si="30"/>
        <v>0</v>
      </c>
      <c r="V47" s="1499">
        <f t="shared" si="30"/>
        <v>0</v>
      </c>
      <c r="W47" s="1499">
        <f t="shared" si="30"/>
        <v>0</v>
      </c>
      <c r="X47" s="3913" t="s">
        <v>75</v>
      </c>
      <c r="Y47" s="3609"/>
    </row>
    <row r="48" spans="1:25" ht="12.75" hidden="1" thickBot="1">
      <c r="A48" s="3930"/>
      <c r="B48" s="1519" t="s">
        <v>29</v>
      </c>
      <c r="C48" s="3892" t="s">
        <v>163</v>
      </c>
      <c r="D48" s="1506">
        <f>+D49</f>
        <v>0</v>
      </c>
      <c r="E48" s="1506">
        <f t="shared" ref="E48:W48" si="31">E49</f>
        <v>0</v>
      </c>
      <c r="F48" s="1506">
        <f t="shared" si="31"/>
        <v>0</v>
      </c>
      <c r="G48" s="1506">
        <f t="shared" si="31"/>
        <v>0</v>
      </c>
      <c r="H48" s="1506">
        <f t="shared" si="31"/>
        <v>0</v>
      </c>
      <c r="I48" s="1506">
        <f t="shared" si="31"/>
        <v>0</v>
      </c>
      <c r="J48" s="1506">
        <f t="shared" si="31"/>
        <v>0</v>
      </c>
      <c r="K48" s="1506">
        <f t="shared" si="31"/>
        <v>0</v>
      </c>
      <c r="L48" s="1506">
        <f t="shared" si="31"/>
        <v>0</v>
      </c>
      <c r="M48" s="1506">
        <f t="shared" si="31"/>
        <v>0</v>
      </c>
      <c r="N48" s="1506">
        <f t="shared" si="31"/>
        <v>0</v>
      </c>
      <c r="O48" s="1506">
        <f t="shared" si="31"/>
        <v>0</v>
      </c>
      <c r="P48" s="1506">
        <f t="shared" si="31"/>
        <v>0</v>
      </c>
      <c r="Q48" s="1506">
        <f t="shared" si="31"/>
        <v>0</v>
      </c>
      <c r="R48" s="1506">
        <f t="shared" si="31"/>
        <v>0</v>
      </c>
      <c r="S48" s="1506">
        <f t="shared" si="31"/>
        <v>0</v>
      </c>
      <c r="T48" s="1506">
        <f t="shared" si="31"/>
        <v>0</v>
      </c>
      <c r="U48" s="1506">
        <f t="shared" si="31"/>
        <v>0</v>
      </c>
      <c r="V48" s="1506">
        <f t="shared" si="31"/>
        <v>0</v>
      </c>
      <c r="W48" s="1506">
        <f t="shared" si="31"/>
        <v>0</v>
      </c>
      <c r="X48" s="3914"/>
      <c r="Y48" s="3609"/>
    </row>
    <row r="49" spans="1:25" ht="12.75" hidden="1" thickBot="1">
      <c r="A49" s="3638"/>
      <c r="B49" s="1522" t="s">
        <v>31</v>
      </c>
      <c r="C49" s="3905"/>
      <c r="D49" s="1503">
        <f>M49+O49+P49+Q49+R49+S49+T49+U49+V49+W49</f>
        <v>0</v>
      </c>
      <c r="E49" s="1310">
        <f>+F49+G49+H49</f>
        <v>0</v>
      </c>
      <c r="F49" s="1310"/>
      <c r="G49" s="1310"/>
      <c r="H49" s="1310">
        <v>0</v>
      </c>
      <c r="I49" s="1310">
        <v>0</v>
      </c>
      <c r="J49" s="1310">
        <v>0</v>
      </c>
      <c r="K49" s="1310">
        <v>0</v>
      </c>
      <c r="L49" s="1310">
        <v>0</v>
      </c>
      <c r="M49" s="1503">
        <v>0</v>
      </c>
      <c r="N49" s="1310"/>
      <c r="O49" s="1310">
        <v>0</v>
      </c>
      <c r="P49" s="1310">
        <v>0</v>
      </c>
      <c r="Q49" s="1310">
        <v>0</v>
      </c>
      <c r="R49" s="1310">
        <v>0</v>
      </c>
      <c r="S49" s="1310">
        <v>0</v>
      </c>
      <c r="T49" s="1310">
        <v>0</v>
      </c>
      <c r="U49" s="1310">
        <v>0</v>
      </c>
      <c r="V49" s="1310">
        <v>0</v>
      </c>
      <c r="W49" s="1310">
        <v>0</v>
      </c>
      <c r="X49" s="3915"/>
      <c r="Y49" s="3610"/>
    </row>
    <row r="50" spans="1:25" ht="37.5" customHeight="1">
      <c r="A50" s="3929" t="s">
        <v>78</v>
      </c>
      <c r="B50" s="214" t="s">
        <v>297</v>
      </c>
      <c r="C50" s="215" t="s">
        <v>125</v>
      </c>
      <c r="D50" s="1494"/>
      <c r="E50" s="1495"/>
      <c r="F50" s="216"/>
      <c r="G50" s="216"/>
      <c r="H50" s="1495"/>
      <c r="I50" s="1495"/>
      <c r="J50" s="1495"/>
      <c r="K50" s="216"/>
      <c r="L50" s="216"/>
      <c r="M50" s="1496"/>
      <c r="N50" s="1496"/>
      <c r="O50" s="1496"/>
      <c r="P50" s="216"/>
      <c r="Q50" s="1496"/>
      <c r="R50" s="1496"/>
      <c r="S50" s="1496"/>
      <c r="T50" s="1496"/>
      <c r="U50" s="1496"/>
      <c r="V50" s="1496"/>
      <c r="W50" s="1496"/>
      <c r="X50" s="1497"/>
      <c r="Y50" s="3632" t="s">
        <v>162</v>
      </c>
    </row>
    <row r="51" spans="1:25" ht="15" customHeight="1">
      <c r="A51" s="3930"/>
      <c r="B51" s="1320" t="s">
        <v>21</v>
      </c>
      <c r="C51" s="1517"/>
      <c r="D51" s="1499">
        <f>D52</f>
        <v>28500</v>
      </c>
      <c r="E51" s="1499">
        <f t="shared" ref="E51:U52" si="32">E52</f>
        <v>0</v>
      </c>
      <c r="F51" s="1499">
        <f t="shared" si="32"/>
        <v>0</v>
      </c>
      <c r="G51" s="1499">
        <f t="shared" si="32"/>
        <v>0</v>
      </c>
      <c r="H51" s="1499">
        <f t="shared" si="32"/>
        <v>0</v>
      </c>
      <c r="I51" s="1499">
        <f t="shared" si="32"/>
        <v>0</v>
      </c>
      <c r="J51" s="1499">
        <f t="shared" si="32"/>
        <v>0</v>
      </c>
      <c r="K51" s="1499">
        <f t="shared" si="32"/>
        <v>0</v>
      </c>
      <c r="L51" s="1499">
        <f t="shared" si="32"/>
        <v>0</v>
      </c>
      <c r="M51" s="1499">
        <f t="shared" si="32"/>
        <v>5000</v>
      </c>
      <c r="N51" s="1499">
        <f t="shared" si="32"/>
        <v>0</v>
      </c>
      <c r="O51" s="1499">
        <f t="shared" si="32"/>
        <v>5000</v>
      </c>
      <c r="P51" s="1499">
        <f t="shared" si="32"/>
        <v>19500</v>
      </c>
      <c r="Q51" s="1499">
        <f t="shared" si="32"/>
        <v>4000</v>
      </c>
      <c r="R51" s="1499">
        <f t="shared" ref="R51:W51" si="33">+R52+R54</f>
        <v>0</v>
      </c>
      <c r="S51" s="1499">
        <f t="shared" si="33"/>
        <v>0</v>
      </c>
      <c r="T51" s="1499">
        <f t="shared" si="33"/>
        <v>0</v>
      </c>
      <c r="U51" s="1499">
        <f t="shared" si="33"/>
        <v>0</v>
      </c>
      <c r="V51" s="1499">
        <f t="shared" si="33"/>
        <v>0</v>
      </c>
      <c r="W51" s="1499">
        <f t="shared" si="33"/>
        <v>0</v>
      </c>
      <c r="X51" s="1500">
        <f>X52</f>
        <v>4000</v>
      </c>
      <c r="Y51" s="3609"/>
    </row>
    <row r="52" spans="1:25" ht="12">
      <c r="A52" s="3930"/>
      <c r="B52" s="1519" t="s">
        <v>29</v>
      </c>
      <c r="C52" s="3892" t="s">
        <v>163</v>
      </c>
      <c r="D52" s="1506">
        <f>+D53</f>
        <v>28500</v>
      </c>
      <c r="E52" s="1506">
        <f>+F52+G52+H52</f>
        <v>0</v>
      </c>
      <c r="F52" s="1506">
        <f t="shared" si="32"/>
        <v>0</v>
      </c>
      <c r="G52" s="1506">
        <f t="shared" si="32"/>
        <v>0</v>
      </c>
      <c r="H52" s="1506">
        <f t="shared" si="32"/>
        <v>0</v>
      </c>
      <c r="I52" s="1506">
        <f t="shared" si="32"/>
        <v>0</v>
      </c>
      <c r="J52" s="1506">
        <f t="shared" si="32"/>
        <v>0</v>
      </c>
      <c r="K52" s="1506">
        <f t="shared" si="32"/>
        <v>0</v>
      </c>
      <c r="L52" s="1506">
        <f t="shared" si="32"/>
        <v>0</v>
      </c>
      <c r="M52" s="1506">
        <f t="shared" si="32"/>
        <v>5000</v>
      </c>
      <c r="N52" s="1506">
        <f t="shared" si="32"/>
        <v>0</v>
      </c>
      <c r="O52" s="1506">
        <f t="shared" si="32"/>
        <v>5000</v>
      </c>
      <c r="P52" s="1506">
        <f t="shared" si="32"/>
        <v>19500</v>
      </c>
      <c r="Q52" s="1506">
        <f t="shared" si="32"/>
        <v>4000</v>
      </c>
      <c r="R52" s="1506">
        <f t="shared" si="32"/>
        <v>0</v>
      </c>
      <c r="S52" s="1506">
        <f t="shared" si="32"/>
        <v>0</v>
      </c>
      <c r="T52" s="1506">
        <f t="shared" si="32"/>
        <v>0</v>
      </c>
      <c r="U52" s="1506">
        <f t="shared" si="32"/>
        <v>0</v>
      </c>
      <c r="V52" s="1506">
        <f>V53</f>
        <v>0</v>
      </c>
      <c r="W52" s="1506">
        <f>W53</f>
        <v>0</v>
      </c>
      <c r="X52" s="1502">
        <f>+X53</f>
        <v>4000</v>
      </c>
      <c r="Y52" s="3609"/>
    </row>
    <row r="53" spans="1:25" ht="12">
      <c r="A53" s="3930"/>
      <c r="B53" s="1520" t="s">
        <v>31</v>
      </c>
      <c r="C53" s="3883"/>
      <c r="D53" s="2199">
        <f>M53+P53+Q53+R53+S53+T53+U53+V53+W53</f>
        <v>28500</v>
      </c>
      <c r="E53" s="1509">
        <f>+F53+G53+H53</f>
        <v>0</v>
      </c>
      <c r="F53" s="1509"/>
      <c r="G53" s="1509"/>
      <c r="H53" s="1509">
        <v>0</v>
      </c>
      <c r="I53" s="1509">
        <v>0</v>
      </c>
      <c r="J53" s="1509">
        <v>0</v>
      </c>
      <c r="K53" s="1509">
        <v>0</v>
      </c>
      <c r="L53" s="1509">
        <v>0</v>
      </c>
      <c r="M53" s="2200">
        <f>+E53+I53+J53+K53+L53+N53+O53</f>
        <v>5000</v>
      </c>
      <c r="N53" s="1509">
        <v>0</v>
      </c>
      <c r="O53" s="1509">
        <v>5000</v>
      </c>
      <c r="P53" s="175">
        <v>19500</v>
      </c>
      <c r="Q53" s="175">
        <v>4000</v>
      </c>
      <c r="R53" s="175">
        <v>0</v>
      </c>
      <c r="S53" s="175">
        <v>0</v>
      </c>
      <c r="T53" s="175">
        <v>0</v>
      </c>
      <c r="U53" s="175">
        <v>0</v>
      </c>
      <c r="V53" s="175">
        <v>0</v>
      </c>
      <c r="W53" s="175">
        <v>0</v>
      </c>
      <c r="X53" s="1504">
        <f>SUM(Q53:W53)</f>
        <v>4000</v>
      </c>
      <c r="Y53" s="3609"/>
    </row>
    <row r="54" spans="1:25" ht="15" customHeight="1">
      <c r="A54" s="3930"/>
      <c r="B54" s="1521" t="s">
        <v>33</v>
      </c>
      <c r="C54" s="226"/>
      <c r="D54" s="1499">
        <f>+D55</f>
        <v>28500</v>
      </c>
      <c r="E54" s="1499">
        <f t="shared" ref="E54:L54" si="34">+E55</f>
        <v>0</v>
      </c>
      <c r="F54" s="1499">
        <f t="shared" si="34"/>
        <v>0</v>
      </c>
      <c r="G54" s="1499">
        <f t="shared" si="34"/>
        <v>0</v>
      </c>
      <c r="H54" s="1499">
        <f t="shared" si="34"/>
        <v>0</v>
      </c>
      <c r="I54" s="1499">
        <f t="shared" si="34"/>
        <v>0</v>
      </c>
      <c r="J54" s="1499">
        <f t="shared" si="34"/>
        <v>0</v>
      </c>
      <c r="K54" s="1499">
        <f t="shared" si="34"/>
        <v>0</v>
      </c>
      <c r="L54" s="1499">
        <f t="shared" si="34"/>
        <v>0</v>
      </c>
      <c r="M54" s="1499">
        <f>M55</f>
        <v>5000</v>
      </c>
      <c r="N54" s="1499">
        <f t="shared" ref="N54:T54" si="35">N55</f>
        <v>0</v>
      </c>
      <c r="O54" s="1499">
        <f t="shared" si="35"/>
        <v>5000</v>
      </c>
      <c r="P54" s="1499">
        <f t="shared" si="35"/>
        <v>19500</v>
      </c>
      <c r="Q54" s="1499">
        <f t="shared" si="35"/>
        <v>4000</v>
      </c>
      <c r="R54" s="1499">
        <f t="shared" si="35"/>
        <v>0</v>
      </c>
      <c r="S54" s="1499">
        <f t="shared" si="35"/>
        <v>0</v>
      </c>
      <c r="T54" s="1499">
        <f t="shared" si="35"/>
        <v>0</v>
      </c>
      <c r="U54" s="1499"/>
      <c r="V54" s="1499"/>
      <c r="W54" s="1499"/>
      <c r="X54" s="3913" t="s">
        <v>75</v>
      </c>
      <c r="Y54" s="3609"/>
    </row>
    <row r="55" spans="1:25" ht="12">
      <c r="A55" s="3930"/>
      <c r="B55" s="1519" t="s">
        <v>29</v>
      </c>
      <c r="C55" s="3892" t="s">
        <v>163</v>
      </c>
      <c r="D55" s="1506">
        <f>+D56</f>
        <v>28500</v>
      </c>
      <c r="E55" s="1506">
        <f t="shared" ref="E55:W55" si="36">E56</f>
        <v>0</v>
      </c>
      <c r="F55" s="1506">
        <f t="shared" si="36"/>
        <v>0</v>
      </c>
      <c r="G55" s="1506">
        <f t="shared" si="36"/>
        <v>0</v>
      </c>
      <c r="H55" s="1506">
        <f t="shared" si="36"/>
        <v>0</v>
      </c>
      <c r="I55" s="1506">
        <f t="shared" si="36"/>
        <v>0</v>
      </c>
      <c r="J55" s="1506">
        <f t="shared" si="36"/>
        <v>0</v>
      </c>
      <c r="K55" s="1506">
        <f t="shared" si="36"/>
        <v>0</v>
      </c>
      <c r="L55" s="1506">
        <f t="shared" si="36"/>
        <v>0</v>
      </c>
      <c r="M55" s="1506">
        <f t="shared" si="36"/>
        <v>5000</v>
      </c>
      <c r="N55" s="1506">
        <f t="shared" si="36"/>
        <v>0</v>
      </c>
      <c r="O55" s="1506">
        <f t="shared" si="36"/>
        <v>5000</v>
      </c>
      <c r="P55" s="1506">
        <f t="shared" si="36"/>
        <v>19500</v>
      </c>
      <c r="Q55" s="1506">
        <f t="shared" si="36"/>
        <v>4000</v>
      </c>
      <c r="R55" s="1506">
        <f t="shared" si="36"/>
        <v>0</v>
      </c>
      <c r="S55" s="1506">
        <f t="shared" si="36"/>
        <v>0</v>
      </c>
      <c r="T55" s="1506">
        <f t="shared" si="36"/>
        <v>0</v>
      </c>
      <c r="U55" s="1506">
        <f t="shared" si="36"/>
        <v>0</v>
      </c>
      <c r="V55" s="1506">
        <f t="shared" si="36"/>
        <v>0</v>
      </c>
      <c r="W55" s="1506">
        <f t="shared" si="36"/>
        <v>0</v>
      </c>
      <c r="X55" s="3914"/>
      <c r="Y55" s="3609"/>
    </row>
    <row r="56" spans="1:25" ht="12.75" thickBot="1">
      <c r="A56" s="3638"/>
      <c r="B56" s="1522" t="s">
        <v>31</v>
      </c>
      <c r="C56" s="3905"/>
      <c r="D56" s="2199">
        <f>M56+P56+Q56+R56+S56+T56+U56+V56+W56</f>
        <v>28500</v>
      </c>
      <c r="E56" s="1310">
        <f>+F56+G56+H56</f>
        <v>0</v>
      </c>
      <c r="F56" s="1310"/>
      <c r="G56" s="1310"/>
      <c r="H56" s="1310">
        <v>0</v>
      </c>
      <c r="I56" s="1310">
        <v>0</v>
      </c>
      <c r="J56" s="1310">
        <v>0</v>
      </c>
      <c r="K56" s="1310">
        <v>0</v>
      </c>
      <c r="L56" s="1310"/>
      <c r="M56" s="2200">
        <f>+E56+I56+J56+K56+L56+N56+O56</f>
        <v>5000</v>
      </c>
      <c r="N56" s="1310">
        <v>0</v>
      </c>
      <c r="O56" s="1310">
        <v>5000</v>
      </c>
      <c r="P56" s="1310">
        <v>19500</v>
      </c>
      <c r="Q56" s="1310">
        <v>4000</v>
      </c>
      <c r="R56" s="1310">
        <v>0</v>
      </c>
      <c r="S56" s="1310">
        <v>0</v>
      </c>
      <c r="T56" s="1310">
        <v>0</v>
      </c>
      <c r="U56" s="1310">
        <v>0</v>
      </c>
      <c r="V56" s="1310">
        <v>0</v>
      </c>
      <c r="W56" s="1310">
        <v>0</v>
      </c>
      <c r="X56" s="3915"/>
      <c r="Y56" s="3610"/>
    </row>
    <row r="57" spans="1:25" ht="26.25" hidden="1" customHeight="1">
      <c r="A57" s="3929" t="s">
        <v>79</v>
      </c>
      <c r="B57" s="214" t="s">
        <v>500</v>
      </c>
      <c r="C57" s="215" t="s">
        <v>125</v>
      </c>
      <c r="D57" s="1494"/>
      <c r="E57" s="1495"/>
      <c r="F57" s="216"/>
      <c r="G57" s="216"/>
      <c r="H57" s="1495"/>
      <c r="I57" s="1495"/>
      <c r="J57" s="1495"/>
      <c r="K57" s="216"/>
      <c r="L57" s="216"/>
      <c r="M57" s="1496"/>
      <c r="N57" s="1496"/>
      <c r="O57" s="1496"/>
      <c r="P57" s="216"/>
      <c r="Q57" s="1496"/>
      <c r="R57" s="1496"/>
      <c r="S57" s="1496"/>
      <c r="T57" s="1496"/>
      <c r="U57" s="1496"/>
      <c r="V57" s="1496"/>
      <c r="W57" s="1496"/>
      <c r="X57" s="1497"/>
      <c r="Y57" s="3632" t="s">
        <v>334</v>
      </c>
    </row>
    <row r="58" spans="1:25" ht="15" hidden="1" customHeight="1">
      <c r="A58" s="3930"/>
      <c r="B58" s="1320" t="s">
        <v>21</v>
      </c>
      <c r="C58" s="1517"/>
      <c r="D58" s="1499">
        <f>D59</f>
        <v>0</v>
      </c>
      <c r="E58" s="1499">
        <f t="shared" ref="E58:U59" si="37">E59</f>
        <v>0</v>
      </c>
      <c r="F58" s="1499">
        <f t="shared" si="37"/>
        <v>0</v>
      </c>
      <c r="G58" s="1499">
        <f t="shared" si="37"/>
        <v>0</v>
      </c>
      <c r="H58" s="1499">
        <f t="shared" si="37"/>
        <v>0</v>
      </c>
      <c r="I58" s="1499">
        <f t="shared" si="37"/>
        <v>0</v>
      </c>
      <c r="J58" s="1499">
        <f t="shared" si="37"/>
        <v>0</v>
      </c>
      <c r="K58" s="1499">
        <f t="shared" si="37"/>
        <v>0</v>
      </c>
      <c r="L58" s="1499">
        <f t="shared" si="37"/>
        <v>0</v>
      </c>
      <c r="M58" s="1499">
        <f t="shared" si="37"/>
        <v>0</v>
      </c>
      <c r="N58" s="1499">
        <f t="shared" si="37"/>
        <v>0</v>
      </c>
      <c r="O58" s="1499">
        <f t="shared" si="37"/>
        <v>0</v>
      </c>
      <c r="P58" s="1499">
        <f t="shared" si="37"/>
        <v>0</v>
      </c>
      <c r="Q58" s="1499">
        <f t="shared" si="37"/>
        <v>0</v>
      </c>
      <c r="R58" s="1499">
        <f t="shared" ref="R58:W58" si="38">+R59+R61</f>
        <v>0</v>
      </c>
      <c r="S58" s="1499">
        <f t="shared" si="38"/>
        <v>0</v>
      </c>
      <c r="T58" s="1499">
        <f t="shared" si="38"/>
        <v>0</v>
      </c>
      <c r="U58" s="1499">
        <f t="shared" si="38"/>
        <v>0</v>
      </c>
      <c r="V58" s="1499">
        <f t="shared" si="38"/>
        <v>0</v>
      </c>
      <c r="W58" s="1499">
        <f t="shared" si="38"/>
        <v>0</v>
      </c>
      <c r="X58" s="1500">
        <f>X59</f>
        <v>0</v>
      </c>
      <c r="Y58" s="3609"/>
    </row>
    <row r="59" spans="1:25" ht="12" hidden="1">
      <c r="A59" s="3930"/>
      <c r="B59" s="1519" t="s">
        <v>29</v>
      </c>
      <c r="C59" s="3892" t="s">
        <v>335</v>
      </c>
      <c r="D59" s="1506">
        <f>+D60</f>
        <v>0</v>
      </c>
      <c r="E59" s="1506">
        <f>+F59+G59+H59</f>
        <v>0</v>
      </c>
      <c r="F59" s="1506">
        <f t="shared" si="37"/>
        <v>0</v>
      </c>
      <c r="G59" s="1506">
        <f t="shared" si="37"/>
        <v>0</v>
      </c>
      <c r="H59" s="1506">
        <f t="shared" si="37"/>
        <v>0</v>
      </c>
      <c r="I59" s="1506">
        <f t="shared" si="37"/>
        <v>0</v>
      </c>
      <c r="J59" s="1506">
        <f t="shared" si="37"/>
        <v>0</v>
      </c>
      <c r="K59" s="1506">
        <f t="shared" si="37"/>
        <v>0</v>
      </c>
      <c r="L59" s="1506">
        <f t="shared" si="37"/>
        <v>0</v>
      </c>
      <c r="M59" s="1506">
        <f t="shared" si="37"/>
        <v>0</v>
      </c>
      <c r="N59" s="1506">
        <f t="shared" si="37"/>
        <v>0</v>
      </c>
      <c r="O59" s="1506">
        <f t="shared" si="37"/>
        <v>0</v>
      </c>
      <c r="P59" s="1506">
        <f t="shared" si="37"/>
        <v>0</v>
      </c>
      <c r="Q59" s="1506">
        <f t="shared" si="37"/>
        <v>0</v>
      </c>
      <c r="R59" s="1506">
        <f t="shared" si="37"/>
        <v>0</v>
      </c>
      <c r="S59" s="1506">
        <f t="shared" si="37"/>
        <v>0</v>
      </c>
      <c r="T59" s="1506">
        <f t="shared" si="37"/>
        <v>0</v>
      </c>
      <c r="U59" s="1506">
        <f t="shared" si="37"/>
        <v>0</v>
      </c>
      <c r="V59" s="1506">
        <f>V60</f>
        <v>0</v>
      </c>
      <c r="W59" s="1506">
        <f>W60</f>
        <v>0</v>
      </c>
      <c r="X59" s="1502">
        <f>+X60</f>
        <v>0</v>
      </c>
      <c r="Y59" s="3609"/>
    </row>
    <row r="60" spans="1:25" ht="12" hidden="1">
      <c r="A60" s="3930"/>
      <c r="B60" s="1520" t="s">
        <v>31</v>
      </c>
      <c r="C60" s="3883"/>
      <c r="D60" s="2199">
        <f>M60+P60+Q60+R60+S60+T60+U60+V60+W60</f>
        <v>0</v>
      </c>
      <c r="E60" s="1509">
        <f>+F60+G60+H60</f>
        <v>0</v>
      </c>
      <c r="F60" s="1509"/>
      <c r="G60" s="1509"/>
      <c r="H60" s="1509">
        <v>0</v>
      </c>
      <c r="I60" s="1509">
        <v>0</v>
      </c>
      <c r="J60" s="1509">
        <v>0</v>
      </c>
      <c r="K60" s="1509">
        <v>0</v>
      </c>
      <c r="L60" s="1509"/>
      <c r="M60" s="2200">
        <f>+E60+I60+J60+K60+L60+N60+O60</f>
        <v>0</v>
      </c>
      <c r="N60" s="1509">
        <v>0</v>
      </c>
      <c r="O60" s="1509"/>
      <c r="P60" s="175"/>
      <c r="Q60" s="175">
        <v>0</v>
      </c>
      <c r="R60" s="175">
        <v>0</v>
      </c>
      <c r="S60" s="175">
        <v>0</v>
      </c>
      <c r="T60" s="175">
        <v>0</v>
      </c>
      <c r="U60" s="175">
        <v>0</v>
      </c>
      <c r="V60" s="175">
        <v>0</v>
      </c>
      <c r="W60" s="175">
        <v>0</v>
      </c>
      <c r="X60" s="1504">
        <f>SUM(Q60:W60)</f>
        <v>0</v>
      </c>
      <c r="Y60" s="3609"/>
    </row>
    <row r="61" spans="1:25" ht="15" hidden="1" customHeight="1">
      <c r="A61" s="3930"/>
      <c r="B61" s="1521" t="s">
        <v>33</v>
      </c>
      <c r="C61" s="226"/>
      <c r="D61" s="240">
        <f>+D62</f>
        <v>0</v>
      </c>
      <c r="E61" s="1499">
        <f t="shared" ref="E61:W61" si="39">E62+E86</f>
        <v>0</v>
      </c>
      <c r="F61" s="1499">
        <f t="shared" si="39"/>
        <v>0</v>
      </c>
      <c r="G61" s="1499">
        <f t="shared" si="39"/>
        <v>0</v>
      </c>
      <c r="H61" s="1499">
        <f t="shared" si="39"/>
        <v>0</v>
      </c>
      <c r="I61" s="1499">
        <f t="shared" si="39"/>
        <v>0</v>
      </c>
      <c r="J61" s="1499">
        <f t="shared" si="39"/>
        <v>0</v>
      </c>
      <c r="K61" s="1499">
        <f t="shared" si="39"/>
        <v>0</v>
      </c>
      <c r="L61" s="1499">
        <f t="shared" si="39"/>
        <v>0</v>
      </c>
      <c r="M61" s="1499">
        <f t="shared" si="39"/>
        <v>0</v>
      </c>
      <c r="N61" s="1499">
        <f t="shared" si="39"/>
        <v>0</v>
      </c>
      <c r="O61" s="1499">
        <f t="shared" si="39"/>
        <v>0</v>
      </c>
      <c r="P61" s="1499">
        <f t="shared" si="39"/>
        <v>0</v>
      </c>
      <c r="Q61" s="1499">
        <f t="shared" si="39"/>
        <v>0</v>
      </c>
      <c r="R61" s="1499">
        <f t="shared" si="39"/>
        <v>0</v>
      </c>
      <c r="S61" s="1499">
        <f t="shared" si="39"/>
        <v>0</v>
      </c>
      <c r="T61" s="1499">
        <f t="shared" si="39"/>
        <v>0</v>
      </c>
      <c r="U61" s="1499">
        <f t="shared" si="39"/>
        <v>0</v>
      </c>
      <c r="V61" s="1499">
        <f t="shared" si="39"/>
        <v>0</v>
      </c>
      <c r="W61" s="1499">
        <f t="shared" si="39"/>
        <v>0</v>
      </c>
      <c r="X61" s="3913" t="s">
        <v>75</v>
      </c>
      <c r="Y61" s="3609"/>
    </row>
    <row r="62" spans="1:25" ht="12" hidden="1">
      <c r="A62" s="3930"/>
      <c r="B62" s="1519" t="s">
        <v>29</v>
      </c>
      <c r="C62" s="3892" t="s">
        <v>335</v>
      </c>
      <c r="D62" s="1506">
        <f>+D63</f>
        <v>0</v>
      </c>
      <c r="E62" s="1506">
        <f t="shared" ref="E62:W62" si="40">E63</f>
        <v>0</v>
      </c>
      <c r="F62" s="1506">
        <f t="shared" si="40"/>
        <v>0</v>
      </c>
      <c r="G62" s="1506">
        <f t="shared" si="40"/>
        <v>0</v>
      </c>
      <c r="H62" s="1506">
        <f t="shared" si="40"/>
        <v>0</v>
      </c>
      <c r="I62" s="1506">
        <f t="shared" si="40"/>
        <v>0</v>
      </c>
      <c r="J62" s="1506">
        <f t="shared" si="40"/>
        <v>0</v>
      </c>
      <c r="K62" s="1506">
        <f t="shared" si="40"/>
        <v>0</v>
      </c>
      <c r="L62" s="1506">
        <f t="shared" si="40"/>
        <v>0</v>
      </c>
      <c r="M62" s="1506">
        <f t="shared" si="40"/>
        <v>0</v>
      </c>
      <c r="N62" s="1506">
        <f t="shared" si="40"/>
        <v>0</v>
      </c>
      <c r="O62" s="1506">
        <f t="shared" si="40"/>
        <v>0</v>
      </c>
      <c r="P62" s="1506">
        <f t="shared" si="40"/>
        <v>0</v>
      </c>
      <c r="Q62" s="1506">
        <f t="shared" si="40"/>
        <v>0</v>
      </c>
      <c r="R62" s="1506">
        <f t="shared" si="40"/>
        <v>0</v>
      </c>
      <c r="S62" s="1506">
        <f t="shared" si="40"/>
        <v>0</v>
      </c>
      <c r="T62" s="1506">
        <f t="shared" si="40"/>
        <v>0</v>
      </c>
      <c r="U62" s="1506">
        <f t="shared" si="40"/>
        <v>0</v>
      </c>
      <c r="V62" s="1506">
        <f t="shared" si="40"/>
        <v>0</v>
      </c>
      <c r="W62" s="1506">
        <f t="shared" si="40"/>
        <v>0</v>
      </c>
      <c r="X62" s="3914"/>
      <c r="Y62" s="3609"/>
    </row>
    <row r="63" spans="1:25" ht="12.75" hidden="1" thickBot="1">
      <c r="A63" s="3638"/>
      <c r="B63" s="1522" t="s">
        <v>31</v>
      </c>
      <c r="C63" s="3905"/>
      <c r="D63" s="2199">
        <f>M63+P63+Q63+R63+S63+T63+U63+V63+W63</f>
        <v>0</v>
      </c>
      <c r="E63" s="1310">
        <f>+F63+G63+H63</f>
        <v>0</v>
      </c>
      <c r="F63" s="1310"/>
      <c r="G63" s="1310"/>
      <c r="H63" s="1310">
        <v>0</v>
      </c>
      <c r="I63" s="1310">
        <v>0</v>
      </c>
      <c r="J63" s="1310">
        <v>0</v>
      </c>
      <c r="K63" s="1310">
        <v>0</v>
      </c>
      <c r="L63" s="1310"/>
      <c r="M63" s="2200">
        <f>+E63+I63+J63+K63+L63+N63+O63</f>
        <v>0</v>
      </c>
      <c r="N63" s="1310"/>
      <c r="O63" s="1310"/>
      <c r="P63" s="1310"/>
      <c r="Q63" s="1310">
        <v>0</v>
      </c>
      <c r="R63" s="1310">
        <v>0</v>
      </c>
      <c r="S63" s="1310">
        <v>0</v>
      </c>
      <c r="T63" s="1310">
        <v>0</v>
      </c>
      <c r="U63" s="1310">
        <v>0</v>
      </c>
      <c r="V63" s="1310">
        <v>0</v>
      </c>
      <c r="W63" s="1310">
        <v>0</v>
      </c>
      <c r="X63" s="3915"/>
      <c r="Y63" s="3610"/>
    </row>
    <row r="64" spans="1:25" ht="26.25" customHeight="1">
      <c r="A64" s="3929" t="s">
        <v>79</v>
      </c>
      <c r="B64" s="214" t="s">
        <v>567</v>
      </c>
      <c r="C64" s="215" t="s">
        <v>125</v>
      </c>
      <c r="D64" s="1494"/>
      <c r="E64" s="1495"/>
      <c r="F64" s="216"/>
      <c r="G64" s="216"/>
      <c r="H64" s="1495"/>
      <c r="I64" s="1495"/>
      <c r="J64" s="1495"/>
      <c r="K64" s="216"/>
      <c r="L64" s="216"/>
      <c r="M64" s="1496"/>
      <c r="N64" s="1496"/>
      <c r="O64" s="1496"/>
      <c r="P64" s="216"/>
      <c r="Q64" s="1496"/>
      <c r="R64" s="1496"/>
      <c r="S64" s="1496"/>
      <c r="T64" s="1496"/>
      <c r="U64" s="1496"/>
      <c r="V64" s="1496"/>
      <c r="W64" s="1496"/>
      <c r="X64" s="1497"/>
      <c r="Y64" s="3632" t="s">
        <v>160</v>
      </c>
    </row>
    <row r="65" spans="1:119" ht="15" customHeight="1">
      <c r="A65" s="3930"/>
      <c r="B65" s="1320" t="s">
        <v>21</v>
      </c>
      <c r="C65" s="1517"/>
      <c r="D65" s="1499">
        <f>+D66</f>
        <v>8400</v>
      </c>
      <c r="E65" s="1499">
        <f t="shared" ref="E65:M66" si="41">+E66</f>
        <v>0</v>
      </c>
      <c r="F65" s="1499">
        <f t="shared" si="41"/>
        <v>0</v>
      </c>
      <c r="G65" s="1499">
        <f t="shared" si="41"/>
        <v>0</v>
      </c>
      <c r="H65" s="1499">
        <f t="shared" si="41"/>
        <v>0</v>
      </c>
      <c r="I65" s="1499">
        <f t="shared" si="41"/>
        <v>0</v>
      </c>
      <c r="J65" s="1499">
        <f t="shared" si="41"/>
        <v>0</v>
      </c>
      <c r="K65" s="1499">
        <f t="shared" si="41"/>
        <v>0</v>
      </c>
      <c r="L65" s="1499">
        <f t="shared" si="41"/>
        <v>0</v>
      </c>
      <c r="M65" s="1499">
        <f t="shared" si="41"/>
        <v>0</v>
      </c>
      <c r="N65" s="1499"/>
      <c r="O65" s="1499"/>
      <c r="P65" s="1499">
        <f>+P66</f>
        <v>803</v>
      </c>
      <c r="Q65" s="1499">
        <f>+Q66</f>
        <v>7597</v>
      </c>
      <c r="R65" s="1499"/>
      <c r="S65" s="1499"/>
      <c r="T65" s="1499"/>
      <c r="U65" s="1499"/>
      <c r="V65" s="1499"/>
      <c r="W65" s="1499"/>
      <c r="X65" s="1500">
        <f>+X66</f>
        <v>7597</v>
      </c>
      <c r="Y65" s="3609"/>
    </row>
    <row r="66" spans="1:119" ht="12">
      <c r="A66" s="3930"/>
      <c r="B66" s="1519" t="s">
        <v>29</v>
      </c>
      <c r="C66" s="3892" t="s">
        <v>161</v>
      </c>
      <c r="D66" s="1506">
        <f>+D67</f>
        <v>8400</v>
      </c>
      <c r="E66" s="1506">
        <f t="shared" si="41"/>
        <v>0</v>
      </c>
      <c r="F66" s="1506">
        <f t="shared" si="41"/>
        <v>0</v>
      </c>
      <c r="G66" s="1506">
        <f t="shared" si="41"/>
        <v>0</v>
      </c>
      <c r="H66" s="1506">
        <f t="shared" si="41"/>
        <v>0</v>
      </c>
      <c r="I66" s="1506">
        <f t="shared" si="41"/>
        <v>0</v>
      </c>
      <c r="J66" s="1506">
        <f t="shared" si="41"/>
        <v>0</v>
      </c>
      <c r="K66" s="1506">
        <f t="shared" si="41"/>
        <v>0</v>
      </c>
      <c r="L66" s="1506">
        <f t="shared" si="41"/>
        <v>0</v>
      </c>
      <c r="M66" s="1506">
        <f t="shared" si="41"/>
        <v>0</v>
      </c>
      <c r="N66" s="1506"/>
      <c r="O66" s="1506"/>
      <c r="P66" s="1506">
        <f>+P67</f>
        <v>803</v>
      </c>
      <c r="Q66" s="1506">
        <f>+Q67</f>
        <v>7597</v>
      </c>
      <c r="R66" s="1506"/>
      <c r="S66" s="1506"/>
      <c r="T66" s="1506"/>
      <c r="U66" s="1506"/>
      <c r="V66" s="1506"/>
      <c r="W66" s="1506"/>
      <c r="X66" s="1502">
        <f>+X67</f>
        <v>7597</v>
      </c>
      <c r="Y66" s="3609"/>
    </row>
    <row r="67" spans="1:119" ht="12">
      <c r="A67" s="3930"/>
      <c r="B67" s="1520" t="s">
        <v>31</v>
      </c>
      <c r="C67" s="3883"/>
      <c r="D67" s="3529">
        <f>M67+P67+Q67+R67+S67+T67+U67+V67+W67</f>
        <v>8400</v>
      </c>
      <c r="E67" s="3256"/>
      <c r="F67" s="3256"/>
      <c r="G67" s="3256"/>
      <c r="H67" s="3256"/>
      <c r="I67" s="3256"/>
      <c r="J67" s="3256"/>
      <c r="K67" s="3256"/>
      <c r="L67" s="3256"/>
      <c r="M67" s="2254">
        <f>+E67+I67+J67+K67+L67+N67+O67</f>
        <v>0</v>
      </c>
      <c r="N67" s="3256"/>
      <c r="O67" s="3256"/>
      <c r="P67" s="175">
        <f>4200-3397</f>
        <v>803</v>
      </c>
      <c r="Q67" s="175">
        <f>4200+3397</f>
        <v>7597</v>
      </c>
      <c r="R67" s="175"/>
      <c r="S67" s="175"/>
      <c r="T67" s="175"/>
      <c r="U67" s="175"/>
      <c r="V67" s="175"/>
      <c r="W67" s="175"/>
      <c r="X67" s="1504">
        <f>SUM(Q67:W67)</f>
        <v>7597</v>
      </c>
      <c r="Y67" s="3609"/>
    </row>
    <row r="68" spans="1:119" ht="15" customHeight="1">
      <c r="A68" s="3930"/>
      <c r="B68" s="1521" t="s">
        <v>33</v>
      </c>
      <c r="C68" s="226"/>
      <c r="D68" s="240">
        <f>+D69</f>
        <v>8400</v>
      </c>
      <c r="E68" s="240">
        <f t="shared" ref="E68:M69" si="42">+E69</f>
        <v>0</v>
      </c>
      <c r="F68" s="240">
        <f t="shared" si="42"/>
        <v>0</v>
      </c>
      <c r="G68" s="240">
        <f t="shared" si="42"/>
        <v>0</v>
      </c>
      <c r="H68" s="240">
        <f t="shared" si="42"/>
        <v>0</v>
      </c>
      <c r="I68" s="240">
        <f t="shared" si="42"/>
        <v>0</v>
      </c>
      <c r="J68" s="240">
        <f t="shared" si="42"/>
        <v>0</v>
      </c>
      <c r="K68" s="240">
        <f t="shared" si="42"/>
        <v>0</v>
      </c>
      <c r="L68" s="240">
        <f t="shared" si="42"/>
        <v>0</v>
      </c>
      <c r="M68" s="240">
        <f t="shared" si="42"/>
        <v>0</v>
      </c>
      <c r="N68" s="1499"/>
      <c r="O68" s="1499"/>
      <c r="P68" s="1499">
        <f>+P69</f>
        <v>803</v>
      </c>
      <c r="Q68" s="1499">
        <f>+Q69</f>
        <v>7597</v>
      </c>
      <c r="R68" s="1499"/>
      <c r="S68" s="1499"/>
      <c r="T68" s="1499"/>
      <c r="U68" s="1499"/>
      <c r="V68" s="1499"/>
      <c r="W68" s="1499"/>
      <c r="X68" s="3916"/>
      <c r="Y68" s="3609"/>
    </row>
    <row r="69" spans="1:119" ht="12">
      <c r="A69" s="3930"/>
      <c r="B69" s="1519" t="s">
        <v>29</v>
      </c>
      <c r="C69" s="3892" t="s">
        <v>161</v>
      </c>
      <c r="D69" s="1506">
        <f>+D70</f>
        <v>8400</v>
      </c>
      <c r="E69" s="1506">
        <f t="shared" si="42"/>
        <v>0</v>
      </c>
      <c r="F69" s="1506">
        <f t="shared" si="42"/>
        <v>0</v>
      </c>
      <c r="G69" s="1506">
        <f t="shared" si="42"/>
        <v>0</v>
      </c>
      <c r="H69" s="1506">
        <f t="shared" si="42"/>
        <v>0</v>
      </c>
      <c r="I69" s="1506">
        <f t="shared" si="42"/>
        <v>0</v>
      </c>
      <c r="J69" s="1506">
        <f t="shared" si="42"/>
        <v>0</v>
      </c>
      <c r="K69" s="1506">
        <f t="shared" si="42"/>
        <v>0</v>
      </c>
      <c r="L69" s="1506">
        <f t="shared" si="42"/>
        <v>0</v>
      </c>
      <c r="M69" s="1506">
        <f t="shared" si="42"/>
        <v>0</v>
      </c>
      <c r="N69" s="1506"/>
      <c r="O69" s="1506"/>
      <c r="P69" s="1506">
        <f>+P70</f>
        <v>803</v>
      </c>
      <c r="Q69" s="1506">
        <f>+Q70</f>
        <v>7597</v>
      </c>
      <c r="R69" s="1506"/>
      <c r="S69" s="1506"/>
      <c r="T69" s="1506"/>
      <c r="U69" s="1506"/>
      <c r="V69" s="1506"/>
      <c r="W69" s="1506"/>
      <c r="X69" s="3914"/>
      <c r="Y69" s="3609"/>
    </row>
    <row r="70" spans="1:119" ht="12.75" thickBot="1">
      <c r="A70" s="3638"/>
      <c r="B70" s="1522" t="s">
        <v>31</v>
      </c>
      <c r="C70" s="3905"/>
      <c r="D70" s="2219">
        <f>M70+P70+Q70+R70+S70+T70+U70+V70+W70</f>
        <v>8400</v>
      </c>
      <c r="E70" s="1310"/>
      <c r="F70" s="1310"/>
      <c r="G70" s="1310"/>
      <c r="H70" s="1310"/>
      <c r="I70" s="1310"/>
      <c r="J70" s="1310"/>
      <c r="K70" s="1310"/>
      <c r="L70" s="1310"/>
      <c r="M70" s="2219">
        <f>+E70+I70+J70+K70+L70+N70+O70</f>
        <v>0</v>
      </c>
      <c r="N70" s="1310"/>
      <c r="O70" s="1310"/>
      <c r="P70" s="1310">
        <f>4200-3397</f>
        <v>803</v>
      </c>
      <c r="Q70" s="1310">
        <f>4200+3397</f>
        <v>7597</v>
      </c>
      <c r="R70" s="1310"/>
      <c r="S70" s="1310"/>
      <c r="T70" s="1310"/>
      <c r="U70" s="1310"/>
      <c r="V70" s="1310"/>
      <c r="W70" s="1310"/>
      <c r="X70" s="3915"/>
      <c r="Y70" s="3610"/>
    </row>
    <row r="71" spans="1:119" ht="9" customHeight="1">
      <c r="A71" s="3216"/>
      <c r="B71" s="1524"/>
      <c r="C71" s="1525"/>
      <c r="D71" s="228"/>
      <c r="E71" s="229"/>
      <c r="F71" s="229"/>
      <c r="G71" s="229"/>
      <c r="H71" s="229"/>
      <c r="I71" s="229"/>
      <c r="J71" s="229"/>
      <c r="K71" s="229"/>
      <c r="L71" s="229"/>
      <c r="M71" s="229"/>
      <c r="N71" s="229"/>
      <c r="O71" s="229"/>
      <c r="P71" s="229"/>
      <c r="Q71" s="229"/>
      <c r="R71" s="229"/>
      <c r="S71" s="229"/>
      <c r="T71" s="1526"/>
      <c r="U71" s="1526"/>
      <c r="V71" s="1526"/>
      <c r="W71" s="1526"/>
      <c r="X71" s="1527"/>
      <c r="Y71" s="1525"/>
    </row>
    <row r="72" spans="1:119" s="1530" customFormat="1" ht="26.25" hidden="1" customHeight="1" thickBot="1">
      <c r="A72" s="3917" t="s">
        <v>164</v>
      </c>
      <c r="B72" s="3917"/>
      <c r="C72" s="3917"/>
      <c r="D72" s="3917"/>
      <c r="E72" s="3917"/>
      <c r="F72" s="3917"/>
      <c r="G72" s="3917"/>
      <c r="H72" s="3917"/>
      <c r="I72" s="3917"/>
      <c r="J72" s="3917"/>
      <c r="K72" s="3917"/>
      <c r="L72" s="3917"/>
      <c r="M72" s="3917"/>
      <c r="N72" s="3917"/>
      <c r="O72" s="3917"/>
      <c r="P72" s="3917"/>
      <c r="Q72" s="3917"/>
      <c r="R72" s="3917"/>
      <c r="S72" s="3917"/>
      <c r="T72" s="3917"/>
      <c r="U72" s="3917"/>
      <c r="V72" s="3917"/>
      <c r="W72" s="3917"/>
      <c r="X72" s="1528"/>
      <c r="Y72" s="1529"/>
      <c r="Z72" s="493"/>
      <c r="AA72" s="493"/>
      <c r="AB72" s="493"/>
      <c r="AC72" s="493"/>
      <c r="AD72" s="493"/>
      <c r="AE72" s="493"/>
      <c r="AF72" s="493"/>
      <c r="AG72" s="493"/>
      <c r="AH72" s="493"/>
      <c r="AI72" s="493"/>
      <c r="AJ72" s="493"/>
      <c r="AK72" s="493"/>
      <c r="AL72" s="493"/>
      <c r="AM72" s="493"/>
      <c r="AN72" s="493"/>
      <c r="AO72" s="493"/>
      <c r="AP72" s="493"/>
      <c r="AQ72" s="493"/>
      <c r="AR72" s="493"/>
      <c r="AS72" s="493"/>
      <c r="AT72" s="493"/>
      <c r="AU72" s="493"/>
      <c r="AV72" s="493"/>
      <c r="AW72" s="493"/>
      <c r="AX72" s="493"/>
      <c r="AY72" s="493"/>
      <c r="AZ72" s="493"/>
      <c r="BA72" s="493"/>
      <c r="BB72" s="493"/>
      <c r="BC72" s="493"/>
      <c r="BD72" s="493"/>
      <c r="BE72" s="493"/>
      <c r="BF72" s="493"/>
      <c r="BG72" s="493"/>
      <c r="BH72" s="493"/>
      <c r="BI72" s="493"/>
      <c r="BJ72" s="493"/>
      <c r="BK72" s="493"/>
      <c r="BL72" s="493"/>
      <c r="BM72" s="493"/>
      <c r="BN72" s="493"/>
      <c r="BO72" s="493"/>
      <c r="BP72" s="493"/>
      <c r="BQ72" s="493"/>
      <c r="BR72" s="493"/>
      <c r="BS72" s="493"/>
      <c r="BT72" s="493"/>
      <c r="BU72" s="493"/>
      <c r="BV72" s="493"/>
      <c r="BW72" s="493"/>
      <c r="BX72" s="493"/>
      <c r="BY72" s="493"/>
      <c r="BZ72" s="493"/>
      <c r="CA72" s="493"/>
      <c r="CB72" s="493"/>
      <c r="CC72" s="493"/>
      <c r="CD72" s="493"/>
      <c r="CE72" s="493"/>
      <c r="CF72" s="493"/>
      <c r="CG72" s="493"/>
      <c r="CH72" s="493"/>
      <c r="CI72" s="493"/>
      <c r="CJ72" s="493"/>
      <c r="CK72" s="493"/>
      <c r="CL72" s="493"/>
      <c r="CM72" s="493"/>
      <c r="CN72" s="493"/>
      <c r="CO72" s="493"/>
      <c r="CP72" s="493"/>
      <c r="CQ72" s="493"/>
      <c r="CR72" s="493"/>
      <c r="CS72" s="493"/>
      <c r="CT72" s="493"/>
      <c r="CU72" s="493"/>
      <c r="CV72" s="493"/>
      <c r="CW72" s="493"/>
      <c r="CX72" s="493"/>
      <c r="CY72" s="493"/>
      <c r="CZ72" s="493"/>
      <c r="DA72" s="493"/>
      <c r="DB72" s="493"/>
      <c r="DC72" s="493"/>
      <c r="DD72" s="493"/>
      <c r="DE72" s="493"/>
      <c r="DF72" s="493"/>
      <c r="DG72" s="493"/>
      <c r="DH72" s="493"/>
      <c r="DI72" s="493"/>
      <c r="DJ72" s="493"/>
      <c r="DK72" s="493"/>
      <c r="DL72" s="493"/>
      <c r="DM72" s="493"/>
      <c r="DN72" s="493"/>
      <c r="DO72" s="493"/>
    </row>
    <row r="73" spans="1:119" s="3214" customFormat="1" ht="14.25" hidden="1" customHeight="1">
      <c r="A73" s="210"/>
      <c r="B73" s="1531" t="s">
        <v>90</v>
      </c>
      <c r="C73" s="277"/>
      <c r="D73" s="1532">
        <f>+D74+D75</f>
        <v>0</v>
      </c>
      <c r="E73" s="1532">
        <f t="shared" ref="E73:W73" si="43">+E74+E75</f>
        <v>0</v>
      </c>
      <c r="F73" s="1532">
        <f t="shared" si="43"/>
        <v>0</v>
      </c>
      <c r="G73" s="1532">
        <f t="shared" si="43"/>
        <v>0</v>
      </c>
      <c r="H73" s="1532">
        <f t="shared" si="43"/>
        <v>0</v>
      </c>
      <c r="I73" s="1532">
        <f t="shared" si="43"/>
        <v>0</v>
      </c>
      <c r="J73" s="1532">
        <f t="shared" si="43"/>
        <v>0</v>
      </c>
      <c r="K73" s="1532">
        <f t="shared" si="43"/>
        <v>0</v>
      </c>
      <c r="L73" s="1532">
        <f t="shared" si="43"/>
        <v>0</v>
      </c>
      <c r="M73" s="1532">
        <f t="shared" si="43"/>
        <v>0</v>
      </c>
      <c r="N73" s="1532">
        <f t="shared" si="43"/>
        <v>117496</v>
      </c>
      <c r="O73" s="1532">
        <f t="shared" si="43"/>
        <v>0</v>
      </c>
      <c r="P73" s="1532">
        <f t="shared" si="43"/>
        <v>0</v>
      </c>
      <c r="Q73" s="1532">
        <f t="shared" si="43"/>
        <v>0</v>
      </c>
      <c r="R73" s="1532">
        <f t="shared" si="43"/>
        <v>0</v>
      </c>
      <c r="S73" s="1532">
        <f t="shared" si="43"/>
        <v>0</v>
      </c>
      <c r="T73" s="1532">
        <f t="shared" si="43"/>
        <v>0</v>
      </c>
      <c r="U73" s="1532">
        <f t="shared" si="43"/>
        <v>0</v>
      </c>
      <c r="V73" s="1532">
        <f t="shared" si="43"/>
        <v>0</v>
      </c>
      <c r="W73" s="1532">
        <f t="shared" si="43"/>
        <v>0</v>
      </c>
      <c r="X73" s="20">
        <f>+X74+X75</f>
        <v>0</v>
      </c>
      <c r="Y73" s="3947"/>
    </row>
    <row r="74" spans="1:119" s="3214" customFormat="1" ht="13.5" hidden="1" customHeight="1">
      <c r="A74" s="210"/>
      <c r="B74" s="279" t="s">
        <v>91</v>
      </c>
      <c r="C74" s="280"/>
      <c r="D74" s="281">
        <v>0</v>
      </c>
      <c r="E74" s="281">
        <v>0</v>
      </c>
      <c r="F74" s="281">
        <v>0</v>
      </c>
      <c r="G74" s="281">
        <v>0</v>
      </c>
      <c r="H74" s="281">
        <v>0</v>
      </c>
      <c r="I74" s="281">
        <v>0</v>
      </c>
      <c r="J74" s="281">
        <v>0</v>
      </c>
      <c r="K74" s="281">
        <v>0</v>
      </c>
      <c r="L74" s="281">
        <v>0</v>
      </c>
      <c r="M74" s="281">
        <v>0</v>
      </c>
      <c r="N74" s="281">
        <v>0</v>
      </c>
      <c r="O74" s="281">
        <v>0</v>
      </c>
      <c r="P74" s="281">
        <v>0</v>
      </c>
      <c r="Q74" s="281">
        <v>0</v>
      </c>
      <c r="R74" s="281">
        <v>0</v>
      </c>
      <c r="S74" s="281">
        <v>0</v>
      </c>
      <c r="T74" s="281">
        <v>0</v>
      </c>
      <c r="U74" s="281">
        <v>0</v>
      </c>
      <c r="V74" s="281">
        <v>0</v>
      </c>
      <c r="W74" s="281">
        <v>0</v>
      </c>
      <c r="X74" s="22">
        <f>SUM(O74:S74)</f>
        <v>0</v>
      </c>
      <c r="Y74" s="3948"/>
    </row>
    <row r="75" spans="1:119" s="3214" customFormat="1" ht="13.5" hidden="1" customHeight="1" thickBot="1">
      <c r="A75" s="210"/>
      <c r="B75" s="282" t="s">
        <v>20</v>
      </c>
      <c r="C75" s="1313"/>
      <c r="D75" s="284">
        <f>+D92+D96+D101+D113</f>
        <v>0</v>
      </c>
      <c r="E75" s="284">
        <f>+E92+E96+E101+E113</f>
        <v>0</v>
      </c>
      <c r="F75" s="284">
        <f t="shared" ref="F75:Q75" si="44">+F92+F96+F101+F113</f>
        <v>0</v>
      </c>
      <c r="G75" s="284">
        <f t="shared" si="44"/>
        <v>0</v>
      </c>
      <c r="H75" s="284">
        <f t="shared" si="44"/>
        <v>0</v>
      </c>
      <c r="I75" s="284">
        <f t="shared" si="44"/>
        <v>0</v>
      </c>
      <c r="J75" s="284">
        <f t="shared" si="44"/>
        <v>0</v>
      </c>
      <c r="K75" s="284">
        <f t="shared" si="44"/>
        <v>0</v>
      </c>
      <c r="L75" s="284">
        <f t="shared" si="44"/>
        <v>0</v>
      </c>
      <c r="M75" s="284">
        <f t="shared" si="44"/>
        <v>0</v>
      </c>
      <c r="N75" s="284">
        <f t="shared" si="44"/>
        <v>117496</v>
      </c>
      <c r="O75" s="284">
        <f t="shared" si="44"/>
        <v>0</v>
      </c>
      <c r="P75" s="284">
        <f t="shared" si="44"/>
        <v>0</v>
      </c>
      <c r="Q75" s="284">
        <f t="shared" si="44"/>
        <v>0</v>
      </c>
      <c r="R75" s="284">
        <f t="shared" ref="R75:W75" si="45">+R92+R96+R101+R113</f>
        <v>0</v>
      </c>
      <c r="S75" s="284">
        <f t="shared" si="45"/>
        <v>0</v>
      </c>
      <c r="T75" s="284">
        <f t="shared" si="45"/>
        <v>0</v>
      </c>
      <c r="U75" s="284">
        <f t="shared" si="45"/>
        <v>0</v>
      </c>
      <c r="V75" s="284">
        <f t="shared" si="45"/>
        <v>0</v>
      </c>
      <c r="W75" s="284">
        <f t="shared" si="45"/>
        <v>0</v>
      </c>
      <c r="X75" s="22">
        <f>SUM(P75:S75)</f>
        <v>0</v>
      </c>
      <c r="Y75" s="3948"/>
    </row>
    <row r="76" spans="1:119" s="1530" customFormat="1" ht="13.5" hidden="1" customHeight="1">
      <c r="A76" s="210"/>
      <c r="B76" s="230" t="s">
        <v>21</v>
      </c>
      <c r="C76" s="231"/>
      <c r="D76" s="1533">
        <f>D77+D81</f>
        <v>0</v>
      </c>
      <c r="E76" s="1533">
        <f>+E77+E81</f>
        <v>0</v>
      </c>
      <c r="F76" s="1533">
        <f t="shared" ref="F76:W76" si="46">+F77+F81</f>
        <v>0</v>
      </c>
      <c r="G76" s="1533">
        <f t="shared" si="46"/>
        <v>0</v>
      </c>
      <c r="H76" s="1533">
        <f t="shared" si="46"/>
        <v>0</v>
      </c>
      <c r="I76" s="1533">
        <f t="shared" si="46"/>
        <v>0</v>
      </c>
      <c r="J76" s="1533">
        <f t="shared" si="46"/>
        <v>0</v>
      </c>
      <c r="K76" s="1533">
        <f t="shared" si="46"/>
        <v>0</v>
      </c>
      <c r="L76" s="1533">
        <f t="shared" si="46"/>
        <v>0</v>
      </c>
      <c r="M76" s="1533">
        <f>+M77+M81</f>
        <v>0</v>
      </c>
      <c r="N76" s="1533">
        <f>+N77+N81</f>
        <v>117496</v>
      </c>
      <c r="O76" s="1533">
        <f>+O77+O81</f>
        <v>0</v>
      </c>
      <c r="P76" s="1533">
        <f t="shared" si="46"/>
        <v>0</v>
      </c>
      <c r="Q76" s="1533">
        <f t="shared" si="46"/>
        <v>0</v>
      </c>
      <c r="R76" s="1533">
        <f t="shared" si="46"/>
        <v>0</v>
      </c>
      <c r="S76" s="1533">
        <f t="shared" si="46"/>
        <v>0</v>
      </c>
      <c r="T76" s="1533">
        <f t="shared" si="46"/>
        <v>0</v>
      </c>
      <c r="U76" s="1533">
        <f t="shared" si="46"/>
        <v>0</v>
      </c>
      <c r="V76" s="1533">
        <f t="shared" si="46"/>
        <v>0</v>
      </c>
      <c r="W76" s="1533">
        <f t="shared" si="46"/>
        <v>0</v>
      </c>
      <c r="X76" s="1534">
        <f>+X77</f>
        <v>0</v>
      </c>
      <c r="Y76" s="3947"/>
      <c r="Z76" s="493"/>
      <c r="AA76" s="493"/>
      <c r="AB76" s="493"/>
      <c r="AC76" s="493"/>
      <c r="AD76" s="493"/>
      <c r="AE76" s="493"/>
      <c r="AF76" s="493"/>
      <c r="AG76" s="493"/>
      <c r="AH76" s="493"/>
      <c r="AI76" s="493"/>
      <c r="AJ76" s="493"/>
      <c r="AK76" s="493"/>
      <c r="AL76" s="493"/>
      <c r="AM76" s="493"/>
      <c r="AN76" s="493"/>
      <c r="AO76" s="493"/>
      <c r="AP76" s="493"/>
      <c r="AQ76" s="493"/>
      <c r="AR76" s="493"/>
      <c r="AS76" s="493"/>
      <c r="AT76" s="493"/>
      <c r="AU76" s="493"/>
      <c r="AV76" s="493"/>
      <c r="AW76" s="493"/>
      <c r="AX76" s="493"/>
      <c r="AY76" s="493"/>
      <c r="AZ76" s="493"/>
      <c r="BA76" s="493"/>
      <c r="BB76" s="493"/>
      <c r="BC76" s="493"/>
      <c r="BD76" s="493"/>
      <c r="BE76" s="493"/>
      <c r="BF76" s="493"/>
      <c r="BG76" s="493"/>
      <c r="BH76" s="493"/>
      <c r="BI76" s="493"/>
      <c r="BJ76" s="493"/>
      <c r="BK76" s="493"/>
      <c r="BL76" s="493"/>
      <c r="BM76" s="493"/>
      <c r="BN76" s="493"/>
      <c r="BO76" s="493"/>
      <c r="BP76" s="493"/>
      <c r="BQ76" s="493"/>
      <c r="BR76" s="493"/>
      <c r="BS76" s="493"/>
      <c r="BT76" s="493"/>
      <c r="BU76" s="493"/>
      <c r="BV76" s="493"/>
      <c r="BW76" s="493"/>
      <c r="BX76" s="493"/>
      <c r="BY76" s="493"/>
      <c r="BZ76" s="493"/>
      <c r="CA76" s="493"/>
      <c r="CB76" s="493"/>
      <c r="CC76" s="493"/>
      <c r="CD76" s="493"/>
      <c r="CE76" s="493"/>
      <c r="CF76" s="493"/>
      <c r="CG76" s="493"/>
      <c r="CH76" s="493"/>
      <c r="CI76" s="493"/>
      <c r="CJ76" s="493"/>
      <c r="CK76" s="493"/>
      <c r="CL76" s="493"/>
      <c r="CM76" s="493"/>
      <c r="CN76" s="493"/>
      <c r="CO76" s="493"/>
      <c r="CP76" s="493"/>
      <c r="CQ76" s="493"/>
      <c r="CR76" s="493"/>
      <c r="CS76" s="493"/>
      <c r="CT76" s="493"/>
      <c r="CU76" s="493"/>
      <c r="CV76" s="493"/>
      <c r="CW76" s="493"/>
      <c r="CX76" s="493"/>
      <c r="CY76" s="493"/>
      <c r="CZ76" s="493"/>
      <c r="DA76" s="493"/>
      <c r="DB76" s="493"/>
      <c r="DC76" s="493"/>
      <c r="DD76" s="493"/>
      <c r="DE76" s="493"/>
      <c r="DF76" s="493"/>
      <c r="DG76" s="493"/>
      <c r="DH76" s="493"/>
      <c r="DI76" s="493"/>
      <c r="DJ76" s="493"/>
      <c r="DK76" s="493"/>
      <c r="DL76" s="493"/>
      <c r="DM76" s="493"/>
      <c r="DN76" s="493"/>
      <c r="DO76" s="493"/>
    </row>
    <row r="77" spans="1:119" s="1530" customFormat="1" ht="13.5" hidden="1" customHeight="1">
      <c r="A77" s="210"/>
      <c r="B77" s="1535" t="s">
        <v>22</v>
      </c>
      <c r="C77" s="1536"/>
      <c r="D77" s="1536">
        <f>+D78+D79+D80</f>
        <v>0</v>
      </c>
      <c r="E77" s="1536">
        <f t="shared" ref="E77:W77" si="47">+E78+E79+E80</f>
        <v>0</v>
      </c>
      <c r="F77" s="1536">
        <f t="shared" si="47"/>
        <v>0</v>
      </c>
      <c r="G77" s="1536">
        <f t="shared" si="47"/>
        <v>0</v>
      </c>
      <c r="H77" s="1536">
        <f t="shared" si="47"/>
        <v>0</v>
      </c>
      <c r="I77" s="1536">
        <f t="shared" si="47"/>
        <v>0</v>
      </c>
      <c r="J77" s="1536">
        <f t="shared" si="47"/>
        <v>0</v>
      </c>
      <c r="K77" s="1536">
        <f t="shared" si="47"/>
        <v>0</v>
      </c>
      <c r="L77" s="1536">
        <f t="shared" si="47"/>
        <v>0</v>
      </c>
      <c r="M77" s="1536">
        <f t="shared" si="47"/>
        <v>0</v>
      </c>
      <c r="N77" s="1536">
        <f>+N78+N79+N80</f>
        <v>117496</v>
      </c>
      <c r="O77" s="1536">
        <f t="shared" si="47"/>
        <v>0</v>
      </c>
      <c r="P77" s="1536">
        <f t="shared" si="47"/>
        <v>0</v>
      </c>
      <c r="Q77" s="1536">
        <f t="shared" si="47"/>
        <v>0</v>
      </c>
      <c r="R77" s="1536">
        <f t="shared" si="47"/>
        <v>0</v>
      </c>
      <c r="S77" s="1536">
        <f t="shared" si="47"/>
        <v>0</v>
      </c>
      <c r="T77" s="1536">
        <f t="shared" si="47"/>
        <v>0</v>
      </c>
      <c r="U77" s="1536">
        <f t="shared" si="47"/>
        <v>0</v>
      </c>
      <c r="V77" s="1536">
        <f t="shared" si="47"/>
        <v>0</v>
      </c>
      <c r="W77" s="1536">
        <f t="shared" si="47"/>
        <v>0</v>
      </c>
      <c r="X77" s="1537">
        <f>+X80+X79</f>
        <v>0</v>
      </c>
      <c r="Y77" s="3948"/>
      <c r="Z77" s="500"/>
      <c r="AA77" s="493"/>
      <c r="AB77" s="493"/>
      <c r="AC77" s="493"/>
      <c r="AD77" s="493"/>
      <c r="AE77" s="493"/>
      <c r="AF77" s="493"/>
      <c r="AG77" s="493"/>
      <c r="AH77" s="493"/>
      <c r="AI77" s="493"/>
      <c r="AJ77" s="493"/>
      <c r="AK77" s="493"/>
      <c r="AL77" s="493"/>
      <c r="AM77" s="493"/>
      <c r="AN77" s="493"/>
      <c r="AO77" s="493"/>
      <c r="AP77" s="493"/>
      <c r="AQ77" s="493"/>
      <c r="AR77" s="493"/>
      <c r="AS77" s="493"/>
      <c r="AT77" s="493"/>
      <c r="AU77" s="493"/>
      <c r="AV77" s="493"/>
      <c r="AW77" s="493"/>
      <c r="AX77" s="493"/>
      <c r="AY77" s="493"/>
      <c r="AZ77" s="493"/>
      <c r="BA77" s="493"/>
      <c r="BB77" s="493"/>
      <c r="BC77" s="493"/>
      <c r="BD77" s="493"/>
      <c r="BE77" s="493"/>
      <c r="BF77" s="493"/>
      <c r="BG77" s="493"/>
      <c r="BH77" s="493"/>
      <c r="BI77" s="493"/>
      <c r="BJ77" s="493"/>
      <c r="BK77" s="493"/>
      <c r="BL77" s="493"/>
      <c r="BM77" s="493"/>
      <c r="BN77" s="493"/>
      <c r="BO77" s="493"/>
      <c r="BP77" s="493"/>
      <c r="BQ77" s="493"/>
      <c r="BR77" s="493"/>
      <c r="BS77" s="493"/>
      <c r="BT77" s="493"/>
      <c r="BU77" s="493"/>
      <c r="BV77" s="493"/>
      <c r="BW77" s="493"/>
      <c r="BX77" s="493"/>
      <c r="BY77" s="493"/>
      <c r="BZ77" s="493"/>
      <c r="CA77" s="493"/>
      <c r="CB77" s="493"/>
      <c r="CC77" s="493"/>
      <c r="CD77" s="493"/>
      <c r="CE77" s="493"/>
      <c r="CF77" s="493"/>
      <c r="CG77" s="493"/>
      <c r="CH77" s="493"/>
      <c r="CI77" s="493"/>
      <c r="CJ77" s="493"/>
      <c r="CK77" s="493"/>
      <c r="CL77" s="493"/>
      <c r="CM77" s="493"/>
      <c r="CN77" s="493"/>
      <c r="CO77" s="493"/>
      <c r="CP77" s="493"/>
      <c r="CQ77" s="493"/>
      <c r="CR77" s="493"/>
      <c r="CS77" s="493"/>
      <c r="CT77" s="493"/>
      <c r="CU77" s="493"/>
      <c r="CV77" s="493"/>
      <c r="CW77" s="493"/>
      <c r="CX77" s="493"/>
      <c r="CY77" s="493"/>
      <c r="CZ77" s="493"/>
      <c r="DA77" s="493"/>
      <c r="DB77" s="493"/>
      <c r="DC77" s="493"/>
      <c r="DD77" s="493"/>
      <c r="DE77" s="493"/>
      <c r="DF77" s="493"/>
      <c r="DG77" s="493"/>
      <c r="DH77" s="493"/>
      <c r="DI77" s="493"/>
      <c r="DJ77" s="493"/>
      <c r="DK77" s="493"/>
      <c r="DL77" s="493"/>
      <c r="DM77" s="493"/>
      <c r="DN77" s="493"/>
      <c r="DO77" s="493"/>
    </row>
    <row r="78" spans="1:119" s="1530" customFormat="1" ht="13.5" hidden="1" customHeight="1">
      <c r="A78" s="210"/>
      <c r="B78" s="1538" t="s">
        <v>165</v>
      </c>
      <c r="C78" s="1539"/>
      <c r="D78" s="1539">
        <f>+D100</f>
        <v>0</v>
      </c>
      <c r="E78" s="1539">
        <f t="shared" ref="E78:Q78" si="48">+E100</f>
        <v>0</v>
      </c>
      <c r="F78" s="1539">
        <f t="shared" si="48"/>
        <v>0</v>
      </c>
      <c r="G78" s="1539">
        <f t="shared" si="48"/>
        <v>0</v>
      </c>
      <c r="H78" s="1539">
        <f t="shared" si="48"/>
        <v>0</v>
      </c>
      <c r="I78" s="1539">
        <f t="shared" si="48"/>
        <v>0</v>
      </c>
      <c r="J78" s="1539">
        <f t="shared" si="48"/>
        <v>0</v>
      </c>
      <c r="K78" s="1539">
        <f t="shared" si="48"/>
        <v>0</v>
      </c>
      <c r="L78" s="1539">
        <f t="shared" si="48"/>
        <v>0</v>
      </c>
      <c r="M78" s="1539">
        <f t="shared" si="48"/>
        <v>0</v>
      </c>
      <c r="N78" s="1539">
        <f t="shared" si="48"/>
        <v>0</v>
      </c>
      <c r="O78" s="1539">
        <f t="shared" si="48"/>
        <v>0</v>
      </c>
      <c r="P78" s="1539">
        <f t="shared" si="48"/>
        <v>0</v>
      </c>
      <c r="Q78" s="1539">
        <f t="shared" si="48"/>
        <v>0</v>
      </c>
      <c r="R78" s="1539">
        <v>0</v>
      </c>
      <c r="S78" s="1539">
        <v>0</v>
      </c>
      <c r="T78" s="1539">
        <v>0</v>
      </c>
      <c r="U78" s="1539">
        <v>0</v>
      </c>
      <c r="V78" s="1539">
        <v>0</v>
      </c>
      <c r="W78" s="1539">
        <v>0</v>
      </c>
      <c r="X78" s="1540" t="s">
        <v>75</v>
      </c>
      <c r="Y78" s="3948"/>
      <c r="Z78" s="500"/>
      <c r="AA78" s="493"/>
      <c r="AB78" s="493"/>
      <c r="AC78" s="493"/>
      <c r="AD78" s="493"/>
      <c r="AE78" s="493"/>
      <c r="AF78" s="493"/>
      <c r="AG78" s="493"/>
      <c r="AH78" s="493"/>
      <c r="AI78" s="493"/>
      <c r="AJ78" s="493"/>
      <c r="AK78" s="493"/>
      <c r="AL78" s="493"/>
      <c r="AM78" s="493"/>
      <c r="AN78" s="493"/>
      <c r="AO78" s="493"/>
      <c r="AP78" s="493"/>
      <c r="AQ78" s="493"/>
      <c r="AR78" s="493"/>
      <c r="AS78" s="493"/>
      <c r="AT78" s="493"/>
      <c r="AU78" s="493"/>
      <c r="AV78" s="493"/>
      <c r="AW78" s="493"/>
      <c r="AX78" s="493"/>
      <c r="AY78" s="493"/>
      <c r="AZ78" s="493"/>
      <c r="BA78" s="493"/>
      <c r="BB78" s="493"/>
      <c r="BC78" s="493"/>
      <c r="BD78" s="493"/>
      <c r="BE78" s="493"/>
      <c r="BF78" s="493"/>
      <c r="BG78" s="493"/>
      <c r="BH78" s="493"/>
      <c r="BI78" s="493"/>
      <c r="BJ78" s="493"/>
      <c r="BK78" s="493"/>
      <c r="BL78" s="493"/>
      <c r="BM78" s="493"/>
      <c r="BN78" s="493"/>
      <c r="BO78" s="493"/>
      <c r="BP78" s="493"/>
      <c r="BQ78" s="493"/>
      <c r="BR78" s="493"/>
      <c r="BS78" s="493"/>
      <c r="BT78" s="493"/>
      <c r="BU78" s="493"/>
      <c r="BV78" s="493"/>
      <c r="BW78" s="493"/>
      <c r="BX78" s="493"/>
      <c r="BY78" s="493"/>
      <c r="BZ78" s="493"/>
      <c r="CA78" s="493"/>
      <c r="CB78" s="493"/>
      <c r="CC78" s="493"/>
      <c r="CD78" s="493"/>
      <c r="CE78" s="493"/>
      <c r="CF78" s="493"/>
      <c r="CG78" s="493"/>
      <c r="CH78" s="493"/>
      <c r="CI78" s="493"/>
      <c r="CJ78" s="493"/>
      <c r="CK78" s="493"/>
      <c r="CL78" s="493"/>
      <c r="CM78" s="493"/>
      <c r="CN78" s="493"/>
      <c r="CO78" s="493"/>
      <c r="CP78" s="493"/>
      <c r="CQ78" s="493"/>
      <c r="CR78" s="493"/>
      <c r="CS78" s="493"/>
      <c r="CT78" s="493"/>
      <c r="CU78" s="493"/>
      <c r="CV78" s="493"/>
      <c r="CW78" s="493"/>
      <c r="CX78" s="493"/>
      <c r="CY78" s="493"/>
      <c r="CZ78" s="493"/>
      <c r="DA78" s="493"/>
      <c r="DB78" s="493"/>
      <c r="DC78" s="493"/>
      <c r="DD78" s="493"/>
      <c r="DE78" s="493"/>
      <c r="DF78" s="493"/>
      <c r="DG78" s="493"/>
      <c r="DH78" s="493"/>
      <c r="DI78" s="493"/>
      <c r="DJ78" s="493"/>
      <c r="DK78" s="493"/>
      <c r="DL78" s="493"/>
      <c r="DM78" s="493"/>
      <c r="DN78" s="493"/>
      <c r="DO78" s="493"/>
    </row>
    <row r="79" spans="1:119" s="1530" customFormat="1" ht="13.5" hidden="1" customHeight="1">
      <c r="A79" s="210"/>
      <c r="B79" s="1538" t="s">
        <v>166</v>
      </c>
      <c r="C79" s="1539"/>
      <c r="D79" s="1539">
        <f>+D101+D113</f>
        <v>0</v>
      </c>
      <c r="E79" s="1539">
        <f t="shared" ref="E79:T79" si="49">+E101+E113</f>
        <v>0</v>
      </c>
      <c r="F79" s="1539">
        <f t="shared" si="49"/>
        <v>0</v>
      </c>
      <c r="G79" s="1539">
        <f t="shared" si="49"/>
        <v>0</v>
      </c>
      <c r="H79" s="1539">
        <f t="shared" si="49"/>
        <v>0</v>
      </c>
      <c r="I79" s="1539">
        <f t="shared" si="49"/>
        <v>0</v>
      </c>
      <c r="J79" s="1539">
        <f t="shared" si="49"/>
        <v>0</v>
      </c>
      <c r="K79" s="1539">
        <f>+K101+K113</f>
        <v>0</v>
      </c>
      <c r="L79" s="1539">
        <f t="shared" si="49"/>
        <v>0</v>
      </c>
      <c r="M79" s="1539">
        <f t="shared" si="49"/>
        <v>0</v>
      </c>
      <c r="N79" s="1539">
        <f t="shared" si="49"/>
        <v>117496</v>
      </c>
      <c r="O79" s="1539">
        <f t="shared" si="49"/>
        <v>0</v>
      </c>
      <c r="P79" s="1539">
        <f t="shared" si="49"/>
        <v>0</v>
      </c>
      <c r="Q79" s="1539">
        <f t="shared" si="49"/>
        <v>0</v>
      </c>
      <c r="R79" s="1539">
        <f t="shared" si="49"/>
        <v>0</v>
      </c>
      <c r="S79" s="1539">
        <f t="shared" si="49"/>
        <v>0</v>
      </c>
      <c r="T79" s="1539">
        <f t="shared" si="49"/>
        <v>0</v>
      </c>
      <c r="U79" s="1539">
        <v>0</v>
      </c>
      <c r="V79" s="1539">
        <v>0</v>
      </c>
      <c r="W79" s="1539">
        <v>0</v>
      </c>
      <c r="X79" s="1483">
        <f>+T79+S79+R79+Q79+P79</f>
        <v>0</v>
      </c>
      <c r="Y79" s="3948"/>
      <c r="Z79" s="500"/>
      <c r="AA79" s="493"/>
      <c r="AB79" s="493"/>
      <c r="AC79" s="493"/>
      <c r="AD79" s="493"/>
      <c r="AE79" s="493"/>
      <c r="AF79" s="493"/>
      <c r="AG79" s="493"/>
      <c r="AH79" s="493"/>
      <c r="AI79" s="493"/>
      <c r="AJ79" s="493"/>
      <c r="AK79" s="493"/>
      <c r="AL79" s="493"/>
      <c r="AM79" s="493"/>
      <c r="AN79" s="493"/>
      <c r="AO79" s="493"/>
      <c r="AP79" s="493"/>
      <c r="AQ79" s="493"/>
      <c r="AR79" s="493"/>
      <c r="AS79" s="493"/>
      <c r="AT79" s="493"/>
      <c r="AU79" s="493"/>
      <c r="AV79" s="493"/>
      <c r="AW79" s="493"/>
      <c r="AX79" s="493"/>
      <c r="AY79" s="493"/>
      <c r="AZ79" s="493"/>
      <c r="BA79" s="493"/>
      <c r="BB79" s="493"/>
      <c r="BC79" s="493"/>
      <c r="BD79" s="493"/>
      <c r="BE79" s="493"/>
      <c r="BF79" s="493"/>
      <c r="BG79" s="493"/>
      <c r="BH79" s="493"/>
      <c r="BI79" s="493"/>
      <c r="BJ79" s="493"/>
      <c r="BK79" s="493"/>
      <c r="BL79" s="493"/>
      <c r="BM79" s="493"/>
      <c r="BN79" s="493"/>
      <c r="BO79" s="493"/>
      <c r="BP79" s="493"/>
      <c r="BQ79" s="493"/>
      <c r="BR79" s="493"/>
      <c r="BS79" s="493"/>
      <c r="BT79" s="493"/>
      <c r="BU79" s="493"/>
      <c r="BV79" s="493"/>
      <c r="BW79" s="493"/>
      <c r="BX79" s="493"/>
      <c r="BY79" s="493"/>
      <c r="BZ79" s="493"/>
      <c r="CA79" s="493"/>
      <c r="CB79" s="493"/>
      <c r="CC79" s="493"/>
      <c r="CD79" s="493"/>
      <c r="CE79" s="493"/>
      <c r="CF79" s="493"/>
      <c r="CG79" s="493"/>
      <c r="CH79" s="493"/>
      <c r="CI79" s="493"/>
      <c r="CJ79" s="493"/>
      <c r="CK79" s="493"/>
      <c r="CL79" s="493"/>
      <c r="CM79" s="493"/>
      <c r="CN79" s="493"/>
      <c r="CO79" s="493"/>
      <c r="CP79" s="493"/>
      <c r="CQ79" s="493"/>
      <c r="CR79" s="493"/>
      <c r="CS79" s="493"/>
      <c r="CT79" s="493"/>
      <c r="CU79" s="493"/>
      <c r="CV79" s="493"/>
      <c r="CW79" s="493"/>
      <c r="CX79" s="493"/>
      <c r="CY79" s="493"/>
      <c r="CZ79" s="493"/>
      <c r="DA79" s="493"/>
      <c r="DB79" s="493"/>
      <c r="DC79" s="493"/>
      <c r="DD79" s="493"/>
      <c r="DE79" s="493"/>
      <c r="DF79" s="493"/>
      <c r="DG79" s="493"/>
      <c r="DH79" s="493"/>
      <c r="DI79" s="493"/>
      <c r="DJ79" s="493"/>
      <c r="DK79" s="493"/>
      <c r="DL79" s="493"/>
      <c r="DM79" s="493"/>
      <c r="DN79" s="493"/>
      <c r="DO79" s="493"/>
    </row>
    <row r="80" spans="1:119" s="1544" customFormat="1" ht="13.5" hidden="1" customHeight="1">
      <c r="A80" s="194"/>
      <c r="B80" s="1541" t="s">
        <v>23</v>
      </c>
      <c r="C80" s="1542"/>
      <c r="D80" s="1542">
        <f>+D92+D96</f>
        <v>0</v>
      </c>
      <c r="E80" s="1542">
        <f t="shared" ref="E80:Q80" si="50">+E92+E96</f>
        <v>0</v>
      </c>
      <c r="F80" s="1542">
        <f t="shared" si="50"/>
        <v>0</v>
      </c>
      <c r="G80" s="1542">
        <f t="shared" si="50"/>
        <v>0</v>
      </c>
      <c r="H80" s="1542">
        <f t="shared" si="50"/>
        <v>0</v>
      </c>
      <c r="I80" s="1542">
        <f t="shared" si="50"/>
        <v>0</v>
      </c>
      <c r="J80" s="1542">
        <f t="shared" si="50"/>
        <v>0</v>
      </c>
      <c r="K80" s="1542">
        <f t="shared" si="50"/>
        <v>0</v>
      </c>
      <c r="L80" s="1542">
        <f t="shared" si="50"/>
        <v>0</v>
      </c>
      <c r="M80" s="1542">
        <f t="shared" si="50"/>
        <v>0</v>
      </c>
      <c r="N80" s="1542">
        <f t="shared" si="50"/>
        <v>0</v>
      </c>
      <c r="O80" s="1542">
        <f t="shared" si="50"/>
        <v>0</v>
      </c>
      <c r="P80" s="1542">
        <f t="shared" si="50"/>
        <v>0</v>
      </c>
      <c r="Q80" s="1542">
        <f t="shared" si="50"/>
        <v>0</v>
      </c>
      <c r="R80" s="1542">
        <v>0</v>
      </c>
      <c r="S80" s="1542">
        <v>0</v>
      </c>
      <c r="T80" s="1542">
        <v>0</v>
      </c>
      <c r="U80" s="1542"/>
      <c r="V80" s="1542"/>
      <c r="W80" s="1542"/>
      <c r="X80" s="1543">
        <f>SUM(O80:R80)</f>
        <v>0</v>
      </c>
      <c r="Y80" s="3948"/>
      <c r="Z80" s="477"/>
      <c r="AA80" s="477"/>
      <c r="AB80" s="477"/>
      <c r="AC80" s="477"/>
      <c r="AD80" s="477"/>
      <c r="AE80" s="477"/>
      <c r="AF80" s="477"/>
      <c r="AG80" s="477"/>
      <c r="AH80" s="477"/>
      <c r="AI80" s="477"/>
      <c r="AJ80" s="477"/>
      <c r="AK80" s="477"/>
      <c r="AL80" s="477"/>
      <c r="AM80" s="477"/>
      <c r="AN80" s="477"/>
      <c r="AO80" s="477"/>
      <c r="AP80" s="477"/>
      <c r="AQ80" s="477"/>
      <c r="AR80" s="477"/>
      <c r="AS80" s="477"/>
      <c r="AT80" s="477"/>
      <c r="AU80" s="477"/>
      <c r="AV80" s="477"/>
      <c r="AW80" s="477"/>
      <c r="AX80" s="477"/>
      <c r="AY80" s="477"/>
      <c r="AZ80" s="477"/>
      <c r="BA80" s="477"/>
      <c r="BB80" s="477"/>
      <c r="BC80" s="477"/>
      <c r="BD80" s="477"/>
      <c r="BE80" s="477"/>
      <c r="BF80" s="477"/>
      <c r="BG80" s="477"/>
      <c r="BH80" s="477"/>
      <c r="BI80" s="477"/>
      <c r="BJ80" s="477"/>
      <c r="BK80" s="477"/>
      <c r="BL80" s="477"/>
      <c r="BM80" s="477"/>
      <c r="BN80" s="477"/>
      <c r="BO80" s="477"/>
      <c r="BP80" s="477"/>
      <c r="BQ80" s="477"/>
      <c r="BR80" s="477"/>
      <c r="BS80" s="477"/>
      <c r="BT80" s="477"/>
      <c r="BU80" s="477"/>
      <c r="BV80" s="477"/>
      <c r="BW80" s="477"/>
      <c r="BX80" s="477"/>
      <c r="BY80" s="477"/>
      <c r="BZ80" s="477"/>
      <c r="CA80" s="477"/>
      <c r="CB80" s="477"/>
      <c r="CC80" s="477"/>
      <c r="CD80" s="477"/>
      <c r="CE80" s="477"/>
      <c r="CF80" s="477"/>
      <c r="CG80" s="477"/>
      <c r="CH80" s="477"/>
      <c r="CI80" s="477"/>
      <c r="CJ80" s="477"/>
      <c r="CK80" s="477"/>
      <c r="CL80" s="477"/>
      <c r="CM80" s="477"/>
      <c r="CN80" s="477"/>
      <c r="CO80" s="477"/>
      <c r="CP80" s="477"/>
      <c r="CQ80" s="477"/>
      <c r="CR80" s="477"/>
      <c r="CS80" s="477"/>
      <c r="CT80" s="477"/>
      <c r="CU80" s="477"/>
      <c r="CV80" s="477"/>
      <c r="CW80" s="477"/>
      <c r="CX80" s="477"/>
      <c r="CY80" s="477"/>
      <c r="CZ80" s="477"/>
      <c r="DA80" s="477"/>
      <c r="DB80" s="477"/>
      <c r="DC80" s="477"/>
      <c r="DD80" s="477"/>
      <c r="DE80" s="477"/>
      <c r="DF80" s="477"/>
      <c r="DG80" s="477"/>
      <c r="DH80" s="477"/>
      <c r="DI80" s="477"/>
      <c r="DJ80" s="477"/>
      <c r="DK80" s="477"/>
      <c r="DL80" s="477"/>
      <c r="DM80" s="477"/>
      <c r="DN80" s="477"/>
      <c r="DO80" s="477"/>
    </row>
    <row r="81" spans="1:119" s="1530" customFormat="1" ht="13.5" hidden="1" customHeight="1">
      <c r="A81" s="210"/>
      <c r="B81" s="1535" t="s">
        <v>29</v>
      </c>
      <c r="C81" s="1545"/>
      <c r="D81" s="1546">
        <f>D82</f>
        <v>0</v>
      </c>
      <c r="E81" s="1546"/>
      <c r="F81" s="1546"/>
      <c r="G81" s="1546"/>
      <c r="H81" s="1546"/>
      <c r="I81" s="1546"/>
      <c r="J81" s="1546"/>
      <c r="K81" s="1546">
        <f t="shared" ref="K81:W81" si="51">K82</f>
        <v>0</v>
      </c>
      <c r="L81" s="1546">
        <f t="shared" si="51"/>
        <v>0</v>
      </c>
      <c r="M81" s="1546">
        <f t="shared" si="51"/>
        <v>0</v>
      </c>
      <c r="N81" s="1546">
        <f t="shared" si="51"/>
        <v>0</v>
      </c>
      <c r="O81" s="1546">
        <f t="shared" si="51"/>
        <v>0</v>
      </c>
      <c r="P81" s="1546">
        <f t="shared" si="51"/>
        <v>0</v>
      </c>
      <c r="Q81" s="1546">
        <f t="shared" si="51"/>
        <v>0</v>
      </c>
      <c r="R81" s="1545">
        <f t="shared" si="51"/>
        <v>0</v>
      </c>
      <c r="S81" s="1545">
        <f t="shared" si="51"/>
        <v>0</v>
      </c>
      <c r="T81" s="1545">
        <f t="shared" si="51"/>
        <v>0</v>
      </c>
      <c r="U81" s="1545">
        <f t="shared" si="51"/>
        <v>0</v>
      </c>
      <c r="V81" s="1545">
        <f t="shared" si="51"/>
        <v>0</v>
      </c>
      <c r="W81" s="1545">
        <f t="shared" si="51"/>
        <v>0</v>
      </c>
      <c r="X81" s="1547" t="s">
        <v>75</v>
      </c>
      <c r="Y81" s="1548"/>
      <c r="Z81" s="493"/>
      <c r="AA81" s="493"/>
      <c r="AB81" s="493"/>
      <c r="AC81" s="493"/>
      <c r="AD81" s="493"/>
      <c r="AE81" s="493"/>
      <c r="AF81" s="493"/>
      <c r="AG81" s="493"/>
      <c r="AH81" s="493"/>
      <c r="AI81" s="493"/>
      <c r="AJ81" s="493"/>
      <c r="AK81" s="493"/>
      <c r="AL81" s="493"/>
      <c r="AM81" s="493"/>
      <c r="AN81" s="493"/>
      <c r="AO81" s="493"/>
      <c r="AP81" s="493"/>
      <c r="AQ81" s="493"/>
      <c r="AR81" s="493"/>
      <c r="AS81" s="493"/>
      <c r="AT81" s="493"/>
      <c r="AU81" s="493"/>
      <c r="AV81" s="493"/>
      <c r="AW81" s="493"/>
      <c r="AX81" s="493"/>
      <c r="AY81" s="493"/>
      <c r="AZ81" s="493"/>
      <c r="BA81" s="493"/>
      <c r="BB81" s="493"/>
      <c r="BC81" s="493"/>
      <c r="BD81" s="493"/>
      <c r="BE81" s="493"/>
      <c r="BF81" s="493"/>
      <c r="BG81" s="493"/>
      <c r="BH81" s="493"/>
      <c r="BI81" s="493"/>
      <c r="BJ81" s="493"/>
      <c r="BK81" s="493"/>
      <c r="BL81" s="493"/>
      <c r="BM81" s="493"/>
      <c r="BN81" s="493"/>
      <c r="BO81" s="493"/>
      <c r="BP81" s="493"/>
      <c r="BQ81" s="493"/>
      <c r="BR81" s="493"/>
      <c r="BS81" s="493"/>
      <c r="BT81" s="493"/>
      <c r="BU81" s="493"/>
      <c r="BV81" s="493"/>
      <c r="BW81" s="493"/>
      <c r="BX81" s="493"/>
      <c r="BY81" s="493"/>
      <c r="BZ81" s="493"/>
      <c r="CA81" s="493"/>
      <c r="CB81" s="493"/>
      <c r="CC81" s="493"/>
      <c r="CD81" s="493"/>
      <c r="CE81" s="493"/>
      <c r="CF81" s="493"/>
      <c r="CG81" s="493"/>
      <c r="CH81" s="493"/>
      <c r="CI81" s="493"/>
      <c r="CJ81" s="493"/>
      <c r="CK81" s="493"/>
      <c r="CL81" s="493"/>
      <c r="CM81" s="493"/>
      <c r="CN81" s="493"/>
      <c r="CO81" s="493"/>
      <c r="CP81" s="493"/>
      <c r="CQ81" s="493"/>
      <c r="CR81" s="493"/>
      <c r="CS81" s="493"/>
      <c r="CT81" s="493"/>
      <c r="CU81" s="493"/>
      <c r="CV81" s="493"/>
      <c r="CW81" s="493"/>
      <c r="CX81" s="493"/>
      <c r="CY81" s="493"/>
      <c r="CZ81" s="493"/>
      <c r="DA81" s="493"/>
      <c r="DB81" s="493"/>
      <c r="DC81" s="493"/>
      <c r="DD81" s="493"/>
      <c r="DE81" s="493"/>
      <c r="DF81" s="493"/>
      <c r="DG81" s="493"/>
      <c r="DH81" s="493"/>
      <c r="DI81" s="493"/>
      <c r="DJ81" s="493"/>
      <c r="DK81" s="493"/>
      <c r="DL81" s="493"/>
      <c r="DM81" s="493"/>
      <c r="DN81" s="493"/>
      <c r="DO81" s="493"/>
    </row>
    <row r="82" spans="1:119" s="1530" customFormat="1" ht="13.5" hidden="1" customHeight="1">
      <c r="A82" s="210"/>
      <c r="B82" s="1538" t="s">
        <v>46</v>
      </c>
      <c r="C82" s="1539"/>
      <c r="D82" s="1549">
        <f>D103</f>
        <v>0</v>
      </c>
      <c r="E82" s="1549"/>
      <c r="F82" s="1549"/>
      <c r="G82" s="1549"/>
      <c r="H82" s="1549"/>
      <c r="I82" s="1549"/>
      <c r="J82" s="1549"/>
      <c r="K82" s="1549">
        <f t="shared" ref="K82:P82" si="52">K103</f>
        <v>0</v>
      </c>
      <c r="L82" s="1549">
        <f t="shared" si="52"/>
        <v>0</v>
      </c>
      <c r="M82" s="1549">
        <f>M103</f>
        <v>0</v>
      </c>
      <c r="N82" s="1549">
        <f>N103</f>
        <v>0</v>
      </c>
      <c r="O82" s="1549">
        <f t="shared" si="52"/>
        <v>0</v>
      </c>
      <c r="P82" s="1549">
        <f t="shared" si="52"/>
        <v>0</v>
      </c>
      <c r="Q82" s="1549">
        <v>0</v>
      </c>
      <c r="R82" s="1539">
        <v>0</v>
      </c>
      <c r="S82" s="1539">
        <v>0</v>
      </c>
      <c r="T82" s="1539">
        <v>0</v>
      </c>
      <c r="U82" s="1539">
        <v>0</v>
      </c>
      <c r="V82" s="1539">
        <v>0</v>
      </c>
      <c r="W82" s="1539">
        <v>0</v>
      </c>
      <c r="X82" s="1550" t="s">
        <v>75</v>
      </c>
      <c r="Y82" s="1548"/>
      <c r="Z82" s="493"/>
      <c r="AA82" s="493"/>
      <c r="AB82" s="493"/>
      <c r="AC82" s="493"/>
      <c r="AD82" s="493"/>
      <c r="AE82" s="493"/>
      <c r="AF82" s="493"/>
      <c r="AG82" s="493"/>
      <c r="AH82" s="493"/>
      <c r="AI82" s="493"/>
      <c r="AJ82" s="493"/>
      <c r="AK82" s="493"/>
      <c r="AL82" s="493"/>
      <c r="AM82" s="493"/>
      <c r="AN82" s="493"/>
      <c r="AO82" s="493"/>
      <c r="AP82" s="493"/>
      <c r="AQ82" s="493"/>
      <c r="AR82" s="493"/>
      <c r="AS82" s="493"/>
      <c r="AT82" s="493"/>
      <c r="AU82" s="493"/>
      <c r="AV82" s="493"/>
      <c r="AW82" s="493"/>
      <c r="AX82" s="493"/>
      <c r="AY82" s="493"/>
      <c r="AZ82" s="493"/>
      <c r="BA82" s="493"/>
      <c r="BB82" s="493"/>
      <c r="BC82" s="493"/>
      <c r="BD82" s="493"/>
      <c r="BE82" s="493"/>
      <c r="BF82" s="493"/>
      <c r="BG82" s="493"/>
      <c r="BH82" s="493"/>
      <c r="BI82" s="493"/>
      <c r="BJ82" s="493"/>
      <c r="BK82" s="493"/>
      <c r="BL82" s="493"/>
      <c r="BM82" s="493"/>
      <c r="BN82" s="493"/>
      <c r="BO82" s="493"/>
      <c r="BP82" s="493"/>
      <c r="BQ82" s="493"/>
      <c r="BR82" s="493"/>
      <c r="BS82" s="493"/>
      <c r="BT82" s="493"/>
      <c r="BU82" s="493"/>
      <c r="BV82" s="493"/>
      <c r="BW82" s="493"/>
      <c r="BX82" s="493"/>
      <c r="BY82" s="493"/>
      <c r="BZ82" s="493"/>
      <c r="CA82" s="493"/>
      <c r="CB82" s="493"/>
      <c r="CC82" s="493"/>
      <c r="CD82" s="493"/>
      <c r="CE82" s="493"/>
      <c r="CF82" s="493"/>
      <c r="CG82" s="493"/>
      <c r="CH82" s="493"/>
      <c r="CI82" s="493"/>
      <c r="CJ82" s="493"/>
      <c r="CK82" s="493"/>
      <c r="CL82" s="493"/>
      <c r="CM82" s="493"/>
      <c r="CN82" s="493"/>
      <c r="CO82" s="493"/>
      <c r="CP82" s="493"/>
      <c r="CQ82" s="493"/>
      <c r="CR82" s="493"/>
      <c r="CS82" s="493"/>
      <c r="CT82" s="493"/>
      <c r="CU82" s="493"/>
      <c r="CV82" s="493"/>
      <c r="CW82" s="493"/>
      <c r="CX82" s="493"/>
      <c r="CY82" s="493"/>
      <c r="CZ82" s="493"/>
      <c r="DA82" s="493"/>
      <c r="DB82" s="493"/>
      <c r="DC82" s="493"/>
      <c r="DD82" s="493"/>
      <c r="DE82" s="493"/>
      <c r="DF82" s="493"/>
      <c r="DG82" s="493"/>
      <c r="DH82" s="493"/>
      <c r="DI82" s="493"/>
      <c r="DJ82" s="493"/>
      <c r="DK82" s="493"/>
      <c r="DL82" s="493"/>
      <c r="DM82" s="493"/>
      <c r="DN82" s="493"/>
      <c r="DO82" s="493"/>
    </row>
    <row r="83" spans="1:119" s="1530" customFormat="1" ht="13.5" hidden="1" customHeight="1">
      <c r="A83" s="210"/>
      <c r="B83" s="103" t="s">
        <v>33</v>
      </c>
      <c r="C83" s="116"/>
      <c r="D83" s="1551">
        <f>D84+D87</f>
        <v>0</v>
      </c>
      <c r="E83" s="1552"/>
      <c r="F83" s="1552"/>
      <c r="G83" s="1552"/>
      <c r="H83" s="1552"/>
      <c r="I83" s="1552"/>
      <c r="J83" s="1552"/>
      <c r="K83" s="1551">
        <f t="shared" ref="K83:W83" si="53">K84+K87</f>
        <v>0</v>
      </c>
      <c r="L83" s="1551">
        <f t="shared" si="53"/>
        <v>0</v>
      </c>
      <c r="M83" s="1551">
        <f t="shared" si="53"/>
        <v>0</v>
      </c>
      <c r="N83" s="1551">
        <f t="shared" si="53"/>
        <v>0</v>
      </c>
      <c r="O83" s="1551">
        <f t="shared" si="53"/>
        <v>0</v>
      </c>
      <c r="P83" s="1551">
        <f t="shared" si="53"/>
        <v>0</v>
      </c>
      <c r="Q83" s="1551">
        <f t="shared" si="53"/>
        <v>0</v>
      </c>
      <c r="R83" s="1551">
        <f t="shared" si="53"/>
        <v>0</v>
      </c>
      <c r="S83" s="1551">
        <f t="shared" si="53"/>
        <v>0</v>
      </c>
      <c r="T83" s="1551">
        <f t="shared" si="53"/>
        <v>0</v>
      </c>
      <c r="U83" s="1551">
        <f t="shared" si="53"/>
        <v>0</v>
      </c>
      <c r="V83" s="1551">
        <f t="shared" si="53"/>
        <v>0</v>
      </c>
      <c r="W83" s="1551">
        <f t="shared" si="53"/>
        <v>0</v>
      </c>
      <c r="X83" s="241"/>
      <c r="Y83" s="1548"/>
      <c r="Z83" s="493"/>
      <c r="AA83" s="493"/>
      <c r="AB83" s="493"/>
      <c r="AC83" s="493"/>
      <c r="AD83" s="493"/>
      <c r="AE83" s="493"/>
      <c r="AF83" s="493"/>
      <c r="AG83" s="493"/>
      <c r="AH83" s="493"/>
      <c r="AI83" s="493"/>
      <c r="AJ83" s="493"/>
      <c r="AK83" s="493"/>
      <c r="AL83" s="493"/>
      <c r="AM83" s="493"/>
      <c r="AN83" s="493"/>
      <c r="AO83" s="493"/>
      <c r="AP83" s="493"/>
      <c r="AQ83" s="493"/>
      <c r="AR83" s="493"/>
      <c r="AS83" s="493"/>
      <c r="AT83" s="493"/>
      <c r="AU83" s="493"/>
      <c r="AV83" s="493"/>
      <c r="AW83" s="493"/>
      <c r="AX83" s="493"/>
      <c r="AY83" s="493"/>
      <c r="AZ83" s="493"/>
      <c r="BA83" s="493"/>
      <c r="BB83" s="493"/>
      <c r="BC83" s="493"/>
      <c r="BD83" s="493"/>
      <c r="BE83" s="493"/>
      <c r="BF83" s="493"/>
      <c r="BG83" s="493"/>
      <c r="BH83" s="493"/>
      <c r="BI83" s="493"/>
      <c r="BJ83" s="493"/>
      <c r="BK83" s="493"/>
      <c r="BL83" s="493"/>
      <c r="BM83" s="493"/>
      <c r="BN83" s="493"/>
      <c r="BO83" s="493"/>
      <c r="BP83" s="493"/>
      <c r="BQ83" s="493"/>
      <c r="BR83" s="493"/>
      <c r="BS83" s="493"/>
      <c r="BT83" s="493"/>
      <c r="BU83" s="493"/>
      <c r="BV83" s="493"/>
      <c r="BW83" s="493"/>
      <c r="BX83" s="493"/>
      <c r="BY83" s="493"/>
      <c r="BZ83" s="493"/>
      <c r="CA83" s="493"/>
      <c r="CB83" s="493"/>
      <c r="CC83" s="493"/>
      <c r="CD83" s="493"/>
      <c r="CE83" s="493"/>
      <c r="CF83" s="493"/>
      <c r="CG83" s="493"/>
      <c r="CH83" s="493"/>
      <c r="CI83" s="493"/>
      <c r="CJ83" s="493"/>
      <c r="CK83" s="493"/>
      <c r="CL83" s="493"/>
      <c r="CM83" s="493"/>
      <c r="CN83" s="493"/>
      <c r="CO83" s="493"/>
      <c r="CP83" s="493"/>
      <c r="CQ83" s="493"/>
      <c r="CR83" s="493"/>
      <c r="CS83" s="493"/>
      <c r="CT83" s="493"/>
      <c r="CU83" s="493"/>
      <c r="CV83" s="493"/>
      <c r="CW83" s="493"/>
      <c r="CX83" s="493"/>
      <c r="CY83" s="493"/>
      <c r="CZ83" s="493"/>
      <c r="DA83" s="493"/>
      <c r="DB83" s="493"/>
      <c r="DC83" s="493"/>
      <c r="DD83" s="493"/>
      <c r="DE83" s="493"/>
      <c r="DF83" s="493"/>
      <c r="DG83" s="493"/>
      <c r="DH83" s="493"/>
      <c r="DI83" s="493"/>
      <c r="DJ83" s="493"/>
      <c r="DK83" s="493"/>
      <c r="DL83" s="493"/>
      <c r="DM83" s="493"/>
      <c r="DN83" s="493"/>
      <c r="DO83" s="493"/>
    </row>
    <row r="84" spans="1:119" s="1530" customFormat="1" ht="13.5" hidden="1" customHeight="1">
      <c r="A84" s="210"/>
      <c r="B84" s="232" t="s">
        <v>35</v>
      </c>
      <c r="C84" s="1553"/>
      <c r="D84" s="1554">
        <f>+D85+D86</f>
        <v>0</v>
      </c>
      <c r="E84" s="1554">
        <f t="shared" ref="E84:T84" si="54">+E85+E86</f>
        <v>0</v>
      </c>
      <c r="F84" s="1554">
        <f t="shared" si="54"/>
        <v>0</v>
      </c>
      <c r="G84" s="1554">
        <f t="shared" si="54"/>
        <v>0</v>
      </c>
      <c r="H84" s="1554">
        <f t="shared" si="54"/>
        <v>0</v>
      </c>
      <c r="I84" s="1554">
        <f t="shared" si="54"/>
        <v>0</v>
      </c>
      <c r="J84" s="1554">
        <f t="shared" si="54"/>
        <v>0</v>
      </c>
      <c r="K84" s="1554">
        <f t="shared" si="54"/>
        <v>0</v>
      </c>
      <c r="L84" s="1554">
        <f t="shared" si="54"/>
        <v>0</v>
      </c>
      <c r="M84" s="1554">
        <f t="shared" si="54"/>
        <v>0</v>
      </c>
      <c r="N84" s="1554">
        <f t="shared" si="54"/>
        <v>0</v>
      </c>
      <c r="O84" s="1554">
        <f t="shared" si="54"/>
        <v>0</v>
      </c>
      <c r="P84" s="1542">
        <f t="shared" si="54"/>
        <v>0</v>
      </c>
      <c r="Q84" s="1542">
        <f t="shared" si="54"/>
        <v>0</v>
      </c>
      <c r="R84" s="1542">
        <f t="shared" si="54"/>
        <v>0</v>
      </c>
      <c r="S84" s="1542">
        <f t="shared" si="54"/>
        <v>0</v>
      </c>
      <c r="T84" s="1542">
        <f t="shared" si="54"/>
        <v>0</v>
      </c>
      <c r="U84" s="1542">
        <v>0</v>
      </c>
      <c r="V84" s="1542">
        <v>0</v>
      </c>
      <c r="W84" s="1542">
        <v>0</v>
      </c>
      <c r="X84" s="3913" t="s">
        <v>75</v>
      </c>
      <c r="Y84" s="1548"/>
      <c r="Z84" s="493"/>
      <c r="AA84" s="493"/>
      <c r="AB84" s="493"/>
      <c r="AC84" s="493"/>
      <c r="AD84" s="493"/>
      <c r="AE84" s="493"/>
      <c r="AF84" s="493"/>
      <c r="AG84" s="493"/>
      <c r="AH84" s="493"/>
      <c r="AI84" s="493"/>
      <c r="AJ84" s="493"/>
      <c r="AK84" s="493"/>
      <c r="AL84" s="493"/>
      <c r="AM84" s="493"/>
      <c r="AN84" s="493"/>
      <c r="AO84" s="493"/>
      <c r="AP84" s="493"/>
      <c r="AQ84" s="493"/>
      <c r="AR84" s="493"/>
      <c r="AS84" s="493"/>
      <c r="AT84" s="493"/>
      <c r="AU84" s="493"/>
      <c r="AV84" s="493"/>
      <c r="AW84" s="493"/>
      <c r="AX84" s="493"/>
      <c r="AY84" s="493"/>
      <c r="AZ84" s="493"/>
      <c r="BA84" s="493"/>
      <c r="BB84" s="493"/>
      <c r="BC84" s="493"/>
      <c r="BD84" s="493"/>
      <c r="BE84" s="493"/>
      <c r="BF84" s="493"/>
      <c r="BG84" s="493"/>
      <c r="BH84" s="493"/>
      <c r="BI84" s="493"/>
      <c r="BJ84" s="493"/>
      <c r="BK84" s="493"/>
      <c r="BL84" s="493"/>
      <c r="BM84" s="493"/>
      <c r="BN84" s="493"/>
      <c r="BO84" s="493"/>
      <c r="BP84" s="493"/>
      <c r="BQ84" s="493"/>
      <c r="BR84" s="493"/>
      <c r="BS84" s="493"/>
      <c r="BT84" s="493"/>
      <c r="BU84" s="493"/>
      <c r="BV84" s="493"/>
      <c r="BW84" s="493"/>
      <c r="BX84" s="493"/>
      <c r="BY84" s="493"/>
      <c r="BZ84" s="493"/>
      <c r="CA84" s="493"/>
      <c r="CB84" s="493"/>
      <c r="CC84" s="493"/>
      <c r="CD84" s="493"/>
      <c r="CE84" s="493"/>
      <c r="CF84" s="493"/>
      <c r="CG84" s="493"/>
      <c r="CH84" s="493"/>
      <c r="CI84" s="493"/>
      <c r="CJ84" s="493"/>
      <c r="CK84" s="493"/>
      <c r="CL84" s="493"/>
      <c r="CM84" s="493"/>
      <c r="CN84" s="493"/>
      <c r="CO84" s="493"/>
      <c r="CP84" s="493"/>
      <c r="CQ84" s="493"/>
      <c r="CR84" s="493"/>
      <c r="CS84" s="493"/>
      <c r="CT84" s="493"/>
      <c r="CU84" s="493"/>
      <c r="CV84" s="493"/>
      <c r="CW84" s="493"/>
      <c r="CX84" s="493"/>
      <c r="CY84" s="493"/>
      <c r="CZ84" s="493"/>
      <c r="DA84" s="493"/>
      <c r="DB84" s="493"/>
      <c r="DC84" s="493"/>
      <c r="DD84" s="493"/>
      <c r="DE84" s="493"/>
      <c r="DF84" s="493"/>
      <c r="DG84" s="493"/>
      <c r="DH84" s="493"/>
      <c r="DI84" s="493"/>
      <c r="DJ84" s="493"/>
      <c r="DK84" s="493"/>
      <c r="DL84" s="493"/>
      <c r="DM84" s="493"/>
      <c r="DN84" s="493"/>
      <c r="DO84" s="493"/>
    </row>
    <row r="85" spans="1:119" s="1530" customFormat="1" ht="13.5" hidden="1" customHeight="1">
      <c r="A85" s="210"/>
      <c r="B85" s="1541" t="s">
        <v>165</v>
      </c>
      <c r="C85" s="1542"/>
      <c r="D85" s="1542">
        <f>+D106</f>
        <v>0</v>
      </c>
      <c r="E85" s="1542">
        <f t="shared" ref="E85:Q86" si="55">+E106</f>
        <v>0</v>
      </c>
      <c r="F85" s="1542">
        <f t="shared" si="55"/>
        <v>0</v>
      </c>
      <c r="G85" s="1542">
        <f t="shared" si="55"/>
        <v>0</v>
      </c>
      <c r="H85" s="1542">
        <f t="shared" si="55"/>
        <v>0</v>
      </c>
      <c r="I85" s="1542">
        <f t="shared" si="55"/>
        <v>0</v>
      </c>
      <c r="J85" s="1542">
        <f t="shared" si="55"/>
        <v>0</v>
      </c>
      <c r="K85" s="1542">
        <f t="shared" si="55"/>
        <v>0</v>
      </c>
      <c r="L85" s="1542">
        <f t="shared" si="55"/>
        <v>0</v>
      </c>
      <c r="M85" s="1542">
        <f t="shared" si="55"/>
        <v>0</v>
      </c>
      <c r="N85" s="1542">
        <f t="shared" si="55"/>
        <v>0</v>
      </c>
      <c r="O85" s="1542">
        <f t="shared" si="55"/>
        <v>0</v>
      </c>
      <c r="P85" s="1542">
        <f t="shared" si="55"/>
        <v>0</v>
      </c>
      <c r="Q85" s="1542">
        <f t="shared" si="55"/>
        <v>0</v>
      </c>
      <c r="R85" s="1542">
        <v>0</v>
      </c>
      <c r="S85" s="1542">
        <v>0</v>
      </c>
      <c r="T85" s="1542">
        <v>0</v>
      </c>
      <c r="U85" s="1542">
        <v>0</v>
      </c>
      <c r="V85" s="1542">
        <v>0</v>
      </c>
      <c r="W85" s="1542">
        <v>0</v>
      </c>
      <c r="X85" s="3914"/>
      <c r="Y85" s="1548"/>
      <c r="Z85" s="493"/>
      <c r="AA85" s="493"/>
      <c r="AB85" s="493"/>
      <c r="AC85" s="493"/>
      <c r="AD85" s="493"/>
      <c r="AE85" s="493"/>
      <c r="AF85" s="493"/>
      <c r="AG85" s="493"/>
      <c r="AH85" s="493"/>
      <c r="AI85" s="493"/>
      <c r="AJ85" s="493"/>
      <c r="AK85" s="493"/>
      <c r="AL85" s="493"/>
      <c r="AM85" s="493"/>
      <c r="AN85" s="493"/>
      <c r="AO85" s="493"/>
      <c r="AP85" s="493"/>
      <c r="AQ85" s="493"/>
      <c r="AR85" s="493"/>
      <c r="AS85" s="493"/>
      <c r="AT85" s="493"/>
      <c r="AU85" s="493"/>
      <c r="AV85" s="493"/>
      <c r="AW85" s="493"/>
      <c r="AX85" s="493"/>
      <c r="AY85" s="493"/>
      <c r="AZ85" s="493"/>
      <c r="BA85" s="493"/>
      <c r="BB85" s="493"/>
      <c r="BC85" s="493"/>
      <c r="BD85" s="493"/>
      <c r="BE85" s="493"/>
      <c r="BF85" s="493"/>
      <c r="BG85" s="493"/>
      <c r="BH85" s="493"/>
      <c r="BI85" s="493"/>
      <c r="BJ85" s="493"/>
      <c r="BK85" s="493"/>
      <c r="BL85" s="493"/>
      <c r="BM85" s="493"/>
      <c r="BN85" s="493"/>
      <c r="BO85" s="493"/>
      <c r="BP85" s="493"/>
      <c r="BQ85" s="493"/>
      <c r="BR85" s="493"/>
      <c r="BS85" s="493"/>
      <c r="BT85" s="493"/>
      <c r="BU85" s="493"/>
      <c r="BV85" s="493"/>
      <c r="BW85" s="493"/>
      <c r="BX85" s="493"/>
      <c r="BY85" s="493"/>
      <c r="BZ85" s="493"/>
      <c r="CA85" s="493"/>
      <c r="CB85" s="493"/>
      <c r="CC85" s="493"/>
      <c r="CD85" s="493"/>
      <c r="CE85" s="493"/>
      <c r="CF85" s="493"/>
      <c r="CG85" s="493"/>
      <c r="CH85" s="493"/>
      <c r="CI85" s="493"/>
      <c r="CJ85" s="493"/>
      <c r="CK85" s="493"/>
      <c r="CL85" s="493"/>
      <c r="CM85" s="493"/>
      <c r="CN85" s="493"/>
      <c r="CO85" s="493"/>
      <c r="CP85" s="493"/>
      <c r="CQ85" s="493"/>
      <c r="CR85" s="493"/>
      <c r="CS85" s="493"/>
      <c r="CT85" s="493"/>
      <c r="CU85" s="493"/>
      <c r="CV85" s="493"/>
      <c r="CW85" s="493"/>
      <c r="CX85" s="493"/>
      <c r="CY85" s="493"/>
      <c r="CZ85" s="493"/>
      <c r="DA85" s="493"/>
      <c r="DB85" s="493"/>
      <c r="DC85" s="493"/>
      <c r="DD85" s="493"/>
      <c r="DE85" s="493"/>
      <c r="DF85" s="493"/>
      <c r="DG85" s="493"/>
      <c r="DH85" s="493"/>
      <c r="DI85" s="493"/>
      <c r="DJ85" s="493"/>
      <c r="DK85" s="493"/>
      <c r="DL85" s="493"/>
      <c r="DM85" s="493"/>
      <c r="DN85" s="493"/>
      <c r="DO85" s="493"/>
    </row>
    <row r="86" spans="1:119" s="1530" customFormat="1" ht="13.5" hidden="1" customHeight="1">
      <c r="A86" s="210"/>
      <c r="B86" s="1541" t="s">
        <v>167</v>
      </c>
      <c r="C86" s="1542"/>
      <c r="D86" s="1542">
        <f>+D107</f>
        <v>0</v>
      </c>
      <c r="E86" s="1542">
        <f t="shared" si="55"/>
        <v>0</v>
      </c>
      <c r="F86" s="1542">
        <f t="shared" si="55"/>
        <v>0</v>
      </c>
      <c r="G86" s="1542">
        <f t="shared" si="55"/>
        <v>0</v>
      </c>
      <c r="H86" s="1542">
        <f t="shared" si="55"/>
        <v>0</v>
      </c>
      <c r="I86" s="1542">
        <f t="shared" si="55"/>
        <v>0</v>
      </c>
      <c r="J86" s="1542">
        <f t="shared" si="55"/>
        <v>0</v>
      </c>
      <c r="K86" s="1542">
        <f t="shared" si="55"/>
        <v>0</v>
      </c>
      <c r="L86" s="1542">
        <f t="shared" si="55"/>
        <v>0</v>
      </c>
      <c r="M86" s="1542">
        <f t="shared" si="55"/>
        <v>0</v>
      </c>
      <c r="N86" s="1542">
        <f t="shared" si="55"/>
        <v>0</v>
      </c>
      <c r="O86" s="1542">
        <f t="shared" si="55"/>
        <v>0</v>
      </c>
      <c r="P86" s="1542">
        <f t="shared" si="55"/>
        <v>0</v>
      </c>
      <c r="Q86" s="1542">
        <f t="shared" si="55"/>
        <v>0</v>
      </c>
      <c r="R86" s="1542">
        <v>0</v>
      </c>
      <c r="S86" s="1542">
        <v>0</v>
      </c>
      <c r="T86" s="1542">
        <v>0</v>
      </c>
      <c r="U86" s="1542"/>
      <c r="V86" s="1542"/>
      <c r="W86" s="1542"/>
      <c r="X86" s="3914"/>
      <c r="Y86" s="1548"/>
      <c r="Z86" s="493"/>
      <c r="AA86" s="493"/>
      <c r="AB86" s="493"/>
      <c r="AC86" s="493"/>
      <c r="AD86" s="493"/>
      <c r="AE86" s="493"/>
      <c r="AF86" s="493"/>
      <c r="AG86" s="493"/>
      <c r="AH86" s="493"/>
      <c r="AI86" s="493"/>
      <c r="AJ86" s="493"/>
      <c r="AK86" s="493"/>
      <c r="AL86" s="493"/>
      <c r="AM86" s="493"/>
      <c r="AN86" s="493"/>
      <c r="AO86" s="493"/>
      <c r="AP86" s="493"/>
      <c r="AQ86" s="493"/>
      <c r="AR86" s="493"/>
      <c r="AS86" s="493"/>
      <c r="AT86" s="493"/>
      <c r="AU86" s="493"/>
      <c r="AV86" s="493"/>
      <c r="AW86" s="493"/>
      <c r="AX86" s="493"/>
      <c r="AY86" s="493"/>
      <c r="AZ86" s="493"/>
      <c r="BA86" s="493"/>
      <c r="BB86" s="493"/>
      <c r="BC86" s="493"/>
      <c r="BD86" s="493"/>
      <c r="BE86" s="493"/>
      <c r="BF86" s="493"/>
      <c r="BG86" s="493"/>
      <c r="BH86" s="493"/>
      <c r="BI86" s="493"/>
      <c r="BJ86" s="493"/>
      <c r="BK86" s="493"/>
      <c r="BL86" s="493"/>
      <c r="BM86" s="493"/>
      <c r="BN86" s="493"/>
      <c r="BO86" s="493"/>
      <c r="BP86" s="493"/>
      <c r="BQ86" s="493"/>
      <c r="BR86" s="493"/>
      <c r="BS86" s="493"/>
      <c r="BT86" s="493"/>
      <c r="BU86" s="493"/>
      <c r="BV86" s="493"/>
      <c r="BW86" s="493"/>
      <c r="BX86" s="493"/>
      <c r="BY86" s="493"/>
      <c r="BZ86" s="493"/>
      <c r="CA86" s="493"/>
      <c r="CB86" s="493"/>
      <c r="CC86" s="493"/>
      <c r="CD86" s="493"/>
      <c r="CE86" s="493"/>
      <c r="CF86" s="493"/>
      <c r="CG86" s="493"/>
      <c r="CH86" s="493"/>
      <c r="CI86" s="493"/>
      <c r="CJ86" s="493"/>
      <c r="CK86" s="493"/>
      <c r="CL86" s="493"/>
      <c r="CM86" s="493"/>
      <c r="CN86" s="493"/>
      <c r="CO86" s="493"/>
      <c r="CP86" s="493"/>
      <c r="CQ86" s="493"/>
      <c r="CR86" s="493"/>
      <c r="CS86" s="493"/>
      <c r="CT86" s="493"/>
      <c r="CU86" s="493"/>
      <c r="CV86" s="493"/>
      <c r="CW86" s="493"/>
      <c r="CX86" s="493"/>
      <c r="CY86" s="493"/>
      <c r="CZ86" s="493"/>
      <c r="DA86" s="493"/>
      <c r="DB86" s="493"/>
      <c r="DC86" s="493"/>
      <c r="DD86" s="493"/>
      <c r="DE86" s="493"/>
      <c r="DF86" s="493"/>
      <c r="DG86" s="493"/>
      <c r="DH86" s="493"/>
      <c r="DI86" s="493"/>
      <c r="DJ86" s="493"/>
      <c r="DK86" s="493"/>
      <c r="DL86" s="493"/>
      <c r="DM86" s="493"/>
      <c r="DN86" s="493"/>
      <c r="DO86" s="493"/>
    </row>
    <row r="87" spans="1:119" s="1559" customFormat="1" ht="13.5" hidden="1" customHeight="1">
      <c r="A87" s="1555"/>
      <c r="B87" s="232" t="s">
        <v>29</v>
      </c>
      <c r="C87" s="1556"/>
      <c r="D87" s="1556">
        <f>+D88</f>
        <v>0</v>
      </c>
      <c r="E87" s="1556">
        <f t="shared" ref="E87:W87" si="56">+E88</f>
        <v>0</v>
      </c>
      <c r="F87" s="1556">
        <f t="shared" si="56"/>
        <v>0</v>
      </c>
      <c r="G87" s="1556">
        <f t="shared" si="56"/>
        <v>0</v>
      </c>
      <c r="H87" s="1556">
        <f t="shared" si="56"/>
        <v>0</v>
      </c>
      <c r="I87" s="1556">
        <f t="shared" si="56"/>
        <v>0</v>
      </c>
      <c r="J87" s="1556">
        <f t="shared" si="56"/>
        <v>0</v>
      </c>
      <c r="K87" s="1556">
        <f t="shared" si="56"/>
        <v>0</v>
      </c>
      <c r="L87" s="1556">
        <f t="shared" si="56"/>
        <v>0</v>
      </c>
      <c r="M87" s="1556">
        <f t="shared" si="56"/>
        <v>0</v>
      </c>
      <c r="N87" s="1556">
        <f t="shared" si="56"/>
        <v>0</v>
      </c>
      <c r="O87" s="1556">
        <f t="shared" si="56"/>
        <v>0</v>
      </c>
      <c r="P87" s="1556">
        <f t="shared" si="56"/>
        <v>0</v>
      </c>
      <c r="Q87" s="1556">
        <f t="shared" si="56"/>
        <v>0</v>
      </c>
      <c r="R87" s="1556">
        <f t="shared" si="56"/>
        <v>0</v>
      </c>
      <c r="S87" s="1556">
        <f t="shared" si="56"/>
        <v>0</v>
      </c>
      <c r="T87" s="1556">
        <f t="shared" si="56"/>
        <v>0</v>
      </c>
      <c r="U87" s="1556">
        <f t="shared" si="56"/>
        <v>0</v>
      </c>
      <c r="V87" s="1556">
        <f t="shared" si="56"/>
        <v>0</v>
      </c>
      <c r="W87" s="1556">
        <f t="shared" si="56"/>
        <v>0</v>
      </c>
      <c r="X87" s="3914"/>
      <c r="Y87" s="1557"/>
      <c r="Z87" s="1558"/>
      <c r="AA87" s="1558"/>
      <c r="AB87" s="1558"/>
      <c r="AC87" s="1558"/>
      <c r="AD87" s="1558"/>
      <c r="AE87" s="1558"/>
      <c r="AF87" s="1558"/>
      <c r="AG87" s="1558"/>
      <c r="AH87" s="1558"/>
      <c r="AI87" s="1558"/>
      <c r="AJ87" s="1558"/>
      <c r="AK87" s="1558"/>
      <c r="AL87" s="1558"/>
      <c r="AM87" s="1558"/>
      <c r="AN87" s="1558"/>
      <c r="AO87" s="1558"/>
      <c r="AP87" s="1558"/>
      <c r="AQ87" s="1558"/>
      <c r="AR87" s="1558"/>
      <c r="AS87" s="1558"/>
      <c r="AT87" s="1558"/>
      <c r="AU87" s="1558"/>
      <c r="AV87" s="1558"/>
      <c r="AW87" s="1558"/>
      <c r="AX87" s="1558"/>
      <c r="AY87" s="1558"/>
      <c r="AZ87" s="1558"/>
      <c r="BA87" s="1558"/>
      <c r="BB87" s="1558"/>
      <c r="BC87" s="1558"/>
      <c r="BD87" s="1558"/>
      <c r="BE87" s="1558"/>
      <c r="BF87" s="1558"/>
      <c r="BG87" s="1558"/>
      <c r="BH87" s="1558"/>
      <c r="BI87" s="1558"/>
      <c r="BJ87" s="1558"/>
      <c r="BK87" s="1558"/>
      <c r="BL87" s="1558"/>
      <c r="BM87" s="1558"/>
      <c r="BN87" s="1558"/>
      <c r="BO87" s="1558"/>
      <c r="BP87" s="1558"/>
      <c r="BQ87" s="1558"/>
      <c r="BR87" s="1558"/>
      <c r="BS87" s="1558"/>
      <c r="BT87" s="1558"/>
      <c r="BU87" s="1558"/>
      <c r="BV87" s="1558"/>
      <c r="BW87" s="1558"/>
      <c r="BX87" s="1558"/>
      <c r="BY87" s="1558"/>
      <c r="BZ87" s="1558"/>
      <c r="CA87" s="1558"/>
      <c r="CB87" s="1558"/>
      <c r="CC87" s="1558"/>
      <c r="CD87" s="1558"/>
      <c r="CE87" s="1558"/>
      <c r="CF87" s="1558"/>
      <c r="CG87" s="1558"/>
      <c r="CH87" s="1558"/>
      <c r="CI87" s="1558"/>
      <c r="CJ87" s="1558"/>
      <c r="CK87" s="1558"/>
      <c r="CL87" s="1558"/>
      <c r="CM87" s="1558"/>
      <c r="CN87" s="1558"/>
      <c r="CO87" s="1558"/>
      <c r="CP87" s="1558"/>
      <c r="CQ87" s="1558"/>
      <c r="CR87" s="1558"/>
      <c r="CS87" s="1558"/>
      <c r="CT87" s="1558"/>
      <c r="CU87" s="1558"/>
      <c r="CV87" s="1558"/>
      <c r="CW87" s="1558"/>
      <c r="CX87" s="1558"/>
      <c r="CY87" s="1558"/>
      <c r="CZ87" s="1558"/>
      <c r="DA87" s="1558"/>
      <c r="DB87" s="1558"/>
      <c r="DC87" s="1558"/>
      <c r="DD87" s="1558"/>
      <c r="DE87" s="1558"/>
      <c r="DF87" s="1558"/>
      <c r="DG87" s="1558"/>
      <c r="DH87" s="1558"/>
      <c r="DI87" s="1558"/>
      <c r="DJ87" s="1558"/>
      <c r="DK87" s="1558"/>
      <c r="DL87" s="1558"/>
      <c r="DM87" s="1558"/>
      <c r="DN87" s="1558"/>
      <c r="DO87" s="1558"/>
    </row>
    <row r="88" spans="1:119" s="1530" customFormat="1" ht="13.5" hidden="1" customHeight="1" thickBot="1">
      <c r="A88" s="210"/>
      <c r="B88" s="1541" t="s">
        <v>46</v>
      </c>
      <c r="C88" s="1542"/>
      <c r="D88" s="1542">
        <f>+D109</f>
        <v>0</v>
      </c>
      <c r="E88" s="1542">
        <f t="shared" ref="E88:Q88" si="57">+E109</f>
        <v>0</v>
      </c>
      <c r="F88" s="1542">
        <f t="shared" si="57"/>
        <v>0</v>
      </c>
      <c r="G88" s="1542">
        <f t="shared" si="57"/>
        <v>0</v>
      </c>
      <c r="H88" s="1542">
        <f t="shared" si="57"/>
        <v>0</v>
      </c>
      <c r="I88" s="1542">
        <f t="shared" si="57"/>
        <v>0</v>
      </c>
      <c r="J88" s="1542">
        <f t="shared" si="57"/>
        <v>0</v>
      </c>
      <c r="K88" s="1542">
        <f t="shared" si="57"/>
        <v>0</v>
      </c>
      <c r="L88" s="1542">
        <f t="shared" si="57"/>
        <v>0</v>
      </c>
      <c r="M88" s="1542">
        <f t="shared" si="57"/>
        <v>0</v>
      </c>
      <c r="N88" s="1542">
        <f t="shared" si="57"/>
        <v>0</v>
      </c>
      <c r="O88" s="1542">
        <f t="shared" si="57"/>
        <v>0</v>
      </c>
      <c r="P88" s="1542">
        <f t="shared" si="57"/>
        <v>0</v>
      </c>
      <c r="Q88" s="1542">
        <f t="shared" si="57"/>
        <v>0</v>
      </c>
      <c r="R88" s="1542">
        <v>0</v>
      </c>
      <c r="S88" s="1542">
        <v>0</v>
      </c>
      <c r="T88" s="1542">
        <v>0</v>
      </c>
      <c r="U88" s="1542">
        <v>0</v>
      </c>
      <c r="V88" s="1542">
        <v>0</v>
      </c>
      <c r="W88" s="1542">
        <v>0</v>
      </c>
      <c r="X88" s="3915"/>
      <c r="Y88" s="1548"/>
      <c r="Z88" s="493"/>
      <c r="AA88" s="493"/>
      <c r="AB88" s="493"/>
      <c r="AC88" s="493"/>
      <c r="AD88" s="493"/>
      <c r="AE88" s="493"/>
      <c r="AF88" s="493"/>
      <c r="AG88" s="493"/>
      <c r="AH88" s="493"/>
      <c r="AI88" s="493"/>
      <c r="AJ88" s="493"/>
      <c r="AK88" s="493"/>
      <c r="AL88" s="493"/>
      <c r="AM88" s="493"/>
      <c r="AN88" s="493"/>
      <c r="AO88" s="493"/>
      <c r="AP88" s="493"/>
      <c r="AQ88" s="493"/>
      <c r="AR88" s="493"/>
      <c r="AS88" s="493"/>
      <c r="AT88" s="493"/>
      <c r="AU88" s="493"/>
      <c r="AV88" s="493"/>
      <c r="AW88" s="493"/>
      <c r="AX88" s="493"/>
      <c r="AY88" s="493"/>
      <c r="AZ88" s="493"/>
      <c r="BA88" s="493"/>
      <c r="BB88" s="493"/>
      <c r="BC88" s="493"/>
      <c r="BD88" s="493"/>
      <c r="BE88" s="493"/>
      <c r="BF88" s="493"/>
      <c r="BG88" s="493"/>
      <c r="BH88" s="493"/>
      <c r="BI88" s="493"/>
      <c r="BJ88" s="493"/>
      <c r="BK88" s="493"/>
      <c r="BL88" s="493"/>
      <c r="BM88" s="493"/>
      <c r="BN88" s="493"/>
      <c r="BO88" s="493"/>
      <c r="BP88" s="493"/>
      <c r="BQ88" s="493"/>
      <c r="BR88" s="493"/>
      <c r="BS88" s="493"/>
      <c r="BT88" s="493"/>
      <c r="BU88" s="493"/>
      <c r="BV88" s="493"/>
      <c r="BW88" s="493"/>
      <c r="BX88" s="493"/>
      <c r="BY88" s="493"/>
      <c r="BZ88" s="493"/>
      <c r="CA88" s="493"/>
      <c r="CB88" s="493"/>
      <c r="CC88" s="493"/>
      <c r="CD88" s="493"/>
      <c r="CE88" s="493"/>
      <c r="CF88" s="493"/>
      <c r="CG88" s="493"/>
      <c r="CH88" s="493"/>
      <c r="CI88" s="493"/>
      <c r="CJ88" s="493"/>
      <c r="CK88" s="493"/>
      <c r="CL88" s="493"/>
      <c r="CM88" s="493"/>
      <c r="CN88" s="493"/>
      <c r="CO88" s="493"/>
      <c r="CP88" s="493"/>
      <c r="CQ88" s="493"/>
      <c r="CR88" s="493"/>
      <c r="CS88" s="493"/>
      <c r="CT88" s="493"/>
      <c r="CU88" s="493"/>
      <c r="CV88" s="493"/>
      <c r="CW88" s="493"/>
      <c r="CX88" s="493"/>
      <c r="CY88" s="493"/>
      <c r="CZ88" s="493"/>
      <c r="DA88" s="493"/>
      <c r="DB88" s="493"/>
      <c r="DC88" s="493"/>
      <c r="DD88" s="493"/>
      <c r="DE88" s="493"/>
      <c r="DF88" s="493"/>
      <c r="DG88" s="493"/>
      <c r="DH88" s="493"/>
      <c r="DI88" s="493"/>
      <c r="DJ88" s="493"/>
      <c r="DK88" s="493"/>
      <c r="DL88" s="493"/>
      <c r="DM88" s="493"/>
      <c r="DN88" s="493"/>
      <c r="DO88" s="493"/>
    </row>
    <row r="89" spans="1:119" s="1530" customFormat="1" ht="39.75" hidden="1" customHeight="1">
      <c r="A89" s="3931" t="s">
        <v>77</v>
      </c>
      <c r="B89" s="233" t="s">
        <v>168</v>
      </c>
      <c r="C89" s="1325" t="s">
        <v>95</v>
      </c>
      <c r="D89" s="234"/>
      <c r="E89" s="216"/>
      <c r="F89" s="216"/>
      <c r="G89" s="216"/>
      <c r="H89" s="216"/>
      <c r="I89" s="216"/>
      <c r="J89" s="216"/>
      <c r="K89" s="216"/>
      <c r="L89" s="235"/>
      <c r="M89" s="235"/>
      <c r="N89" s="235"/>
      <c r="O89" s="235"/>
      <c r="P89" s="236"/>
      <c r="Q89" s="236"/>
      <c r="R89" s="236"/>
      <c r="S89" s="236"/>
      <c r="T89" s="236"/>
      <c r="U89" s="236"/>
      <c r="V89" s="236"/>
      <c r="W89" s="236"/>
      <c r="X89" s="237"/>
      <c r="Y89" s="3944" t="s">
        <v>169</v>
      </c>
      <c r="Z89" s="493"/>
      <c r="AA89" s="493"/>
      <c r="AB89" s="493"/>
      <c r="AC89" s="493"/>
      <c r="AD89" s="493"/>
      <c r="AE89" s="493"/>
      <c r="AF89" s="493"/>
      <c r="AG89" s="493"/>
      <c r="AH89" s="493"/>
      <c r="AI89" s="493"/>
      <c r="AJ89" s="493"/>
      <c r="AK89" s="493"/>
      <c r="AL89" s="493"/>
      <c r="AM89" s="493"/>
      <c r="AN89" s="493"/>
      <c r="AO89" s="493"/>
      <c r="AP89" s="493"/>
      <c r="AQ89" s="493"/>
      <c r="AR89" s="493"/>
      <c r="AS89" s="493"/>
      <c r="AT89" s="493"/>
      <c r="AU89" s="493"/>
      <c r="AV89" s="493"/>
      <c r="AW89" s="493"/>
      <c r="AX89" s="493"/>
      <c r="AY89" s="493"/>
      <c r="AZ89" s="493"/>
      <c r="BA89" s="493"/>
      <c r="BB89" s="493"/>
      <c r="BC89" s="493"/>
      <c r="BD89" s="493"/>
      <c r="BE89" s="493"/>
      <c r="BF89" s="493"/>
      <c r="BG89" s="493"/>
      <c r="BH89" s="493"/>
      <c r="BI89" s="493"/>
      <c r="BJ89" s="493"/>
      <c r="BK89" s="493"/>
      <c r="BL89" s="493"/>
      <c r="BM89" s="493"/>
      <c r="BN89" s="493"/>
      <c r="BO89" s="493"/>
      <c r="BP89" s="493"/>
      <c r="BQ89" s="493"/>
      <c r="BR89" s="493"/>
      <c r="BS89" s="493"/>
      <c r="BT89" s="493"/>
      <c r="BU89" s="493"/>
      <c r="BV89" s="493"/>
      <c r="BW89" s="493"/>
      <c r="BX89" s="493"/>
      <c r="BY89" s="493"/>
      <c r="BZ89" s="493"/>
      <c r="CA89" s="493"/>
      <c r="CB89" s="493"/>
      <c r="CC89" s="493"/>
      <c r="CD89" s="493"/>
      <c r="CE89" s="493"/>
      <c r="CF89" s="493"/>
      <c r="CG89" s="493"/>
      <c r="CH89" s="493"/>
      <c r="CI89" s="493"/>
      <c r="CJ89" s="493"/>
      <c r="CK89" s="493"/>
      <c r="CL89" s="493"/>
      <c r="CM89" s="493"/>
      <c r="CN89" s="493"/>
      <c r="CO89" s="493"/>
      <c r="CP89" s="493"/>
      <c r="CQ89" s="493"/>
      <c r="CR89" s="493"/>
      <c r="CS89" s="493"/>
      <c r="CT89" s="493"/>
      <c r="CU89" s="493"/>
      <c r="CV89" s="493"/>
      <c r="CW89" s="493"/>
      <c r="CX89" s="493"/>
      <c r="CY89" s="493"/>
      <c r="CZ89" s="493"/>
      <c r="DA89" s="493"/>
      <c r="DB89" s="493"/>
      <c r="DC89" s="493"/>
      <c r="DD89" s="493"/>
      <c r="DE89" s="493"/>
      <c r="DF89" s="493"/>
      <c r="DG89" s="493"/>
      <c r="DH89" s="493"/>
      <c r="DI89" s="493"/>
      <c r="DJ89" s="493"/>
      <c r="DK89" s="493"/>
      <c r="DL89" s="493"/>
      <c r="DM89" s="493"/>
      <c r="DN89" s="493"/>
      <c r="DO89" s="493"/>
    </row>
    <row r="90" spans="1:119" s="1530" customFormat="1" ht="18.75" hidden="1" customHeight="1">
      <c r="A90" s="3932"/>
      <c r="B90" s="238" t="s">
        <v>21</v>
      </c>
      <c r="C90" s="239"/>
      <c r="D90" s="240">
        <f>SUM(E90:P90)</f>
        <v>0</v>
      </c>
      <c r="E90" s="240">
        <f t="shared" ref="E90:R91" si="58">E91</f>
        <v>0</v>
      </c>
      <c r="F90" s="240">
        <f t="shared" si="58"/>
        <v>0</v>
      </c>
      <c r="G90" s="240">
        <f t="shared" si="58"/>
        <v>0</v>
      </c>
      <c r="H90" s="240">
        <f t="shared" si="58"/>
        <v>0</v>
      </c>
      <c r="I90" s="240">
        <f t="shared" si="58"/>
        <v>0</v>
      </c>
      <c r="J90" s="240">
        <f t="shared" si="58"/>
        <v>0</v>
      </c>
      <c r="K90" s="240">
        <f t="shared" si="58"/>
        <v>0</v>
      </c>
      <c r="L90" s="240">
        <f t="shared" si="58"/>
        <v>0</v>
      </c>
      <c r="M90" s="240"/>
      <c r="N90" s="240">
        <f t="shared" si="58"/>
        <v>0</v>
      </c>
      <c r="O90" s="240">
        <f t="shared" si="58"/>
        <v>0</v>
      </c>
      <c r="P90" s="240">
        <f t="shared" si="58"/>
        <v>0</v>
      </c>
      <c r="Q90" s="240">
        <f t="shared" si="58"/>
        <v>0</v>
      </c>
      <c r="R90" s="240">
        <f t="shared" si="58"/>
        <v>0</v>
      </c>
      <c r="S90" s="240"/>
      <c r="T90" s="240"/>
      <c r="U90" s="240"/>
      <c r="V90" s="240"/>
      <c r="W90" s="240"/>
      <c r="X90" s="241">
        <f>+X91</f>
        <v>0</v>
      </c>
      <c r="Y90" s="3945"/>
      <c r="Z90" s="493"/>
      <c r="AA90" s="493"/>
      <c r="AB90" s="493"/>
      <c r="AC90" s="493"/>
      <c r="AD90" s="493"/>
      <c r="AE90" s="493"/>
      <c r="AF90" s="493"/>
      <c r="AG90" s="493"/>
      <c r="AH90" s="493"/>
      <c r="AI90" s="493"/>
      <c r="AJ90" s="493"/>
      <c r="AK90" s="493"/>
      <c r="AL90" s="493"/>
      <c r="AM90" s="493"/>
      <c r="AN90" s="493"/>
      <c r="AO90" s="493"/>
      <c r="AP90" s="493"/>
      <c r="AQ90" s="493"/>
      <c r="AR90" s="493"/>
      <c r="AS90" s="493"/>
      <c r="AT90" s="493"/>
      <c r="AU90" s="493"/>
      <c r="AV90" s="493"/>
      <c r="AW90" s="493"/>
      <c r="AX90" s="493"/>
      <c r="AY90" s="493"/>
      <c r="AZ90" s="493"/>
      <c r="BA90" s="493"/>
      <c r="BB90" s="493"/>
      <c r="BC90" s="493"/>
      <c r="BD90" s="493"/>
      <c r="BE90" s="493"/>
      <c r="BF90" s="493"/>
      <c r="BG90" s="493"/>
      <c r="BH90" s="493"/>
      <c r="BI90" s="493"/>
      <c r="BJ90" s="493"/>
      <c r="BK90" s="493"/>
      <c r="BL90" s="493"/>
      <c r="BM90" s="493"/>
      <c r="BN90" s="493"/>
      <c r="BO90" s="493"/>
      <c r="BP90" s="493"/>
      <c r="BQ90" s="493"/>
      <c r="BR90" s="493"/>
      <c r="BS90" s="493"/>
      <c r="BT90" s="493"/>
      <c r="BU90" s="493"/>
      <c r="BV90" s="493"/>
      <c r="BW90" s="493"/>
      <c r="BX90" s="493"/>
      <c r="BY90" s="493"/>
      <c r="BZ90" s="493"/>
      <c r="CA90" s="493"/>
      <c r="CB90" s="493"/>
      <c r="CC90" s="493"/>
      <c r="CD90" s="493"/>
      <c r="CE90" s="493"/>
      <c r="CF90" s="493"/>
      <c r="CG90" s="493"/>
      <c r="CH90" s="493"/>
      <c r="CI90" s="493"/>
      <c r="CJ90" s="493"/>
      <c r="CK90" s="493"/>
      <c r="CL90" s="493"/>
      <c r="CM90" s="493"/>
      <c r="CN90" s="493"/>
      <c r="CO90" s="493"/>
      <c r="CP90" s="493"/>
      <c r="CQ90" s="493"/>
      <c r="CR90" s="493"/>
      <c r="CS90" s="493"/>
      <c r="CT90" s="493"/>
      <c r="CU90" s="493"/>
      <c r="CV90" s="493"/>
      <c r="CW90" s="493"/>
      <c r="CX90" s="493"/>
      <c r="CY90" s="493"/>
      <c r="CZ90" s="493"/>
      <c r="DA90" s="493"/>
      <c r="DB90" s="493"/>
      <c r="DC90" s="493"/>
      <c r="DD90" s="493"/>
      <c r="DE90" s="493"/>
      <c r="DF90" s="493"/>
      <c r="DG90" s="493"/>
      <c r="DH90" s="493"/>
      <c r="DI90" s="493"/>
      <c r="DJ90" s="493"/>
      <c r="DK90" s="493"/>
      <c r="DL90" s="493"/>
      <c r="DM90" s="493"/>
      <c r="DN90" s="493"/>
      <c r="DO90" s="493"/>
    </row>
    <row r="91" spans="1:119" s="477" customFormat="1" ht="18.75" hidden="1" customHeight="1">
      <c r="A91" s="3932"/>
      <c r="B91" s="1560" t="s">
        <v>35</v>
      </c>
      <c r="C91" s="3892" t="s">
        <v>170</v>
      </c>
      <c r="D91" s="1561">
        <f>SUM(E91:P91)</f>
        <v>0</v>
      </c>
      <c r="E91" s="1561">
        <f t="shared" si="58"/>
        <v>0</v>
      </c>
      <c r="F91" s="1561">
        <f t="shared" si="58"/>
        <v>0</v>
      </c>
      <c r="G91" s="1561">
        <f t="shared" si="58"/>
        <v>0</v>
      </c>
      <c r="H91" s="1561">
        <f t="shared" si="58"/>
        <v>0</v>
      </c>
      <c r="I91" s="1561">
        <f t="shared" si="58"/>
        <v>0</v>
      </c>
      <c r="J91" s="1561">
        <f t="shared" si="58"/>
        <v>0</v>
      </c>
      <c r="K91" s="1561">
        <f t="shared" si="58"/>
        <v>0</v>
      </c>
      <c r="L91" s="1561">
        <f t="shared" si="58"/>
        <v>0</v>
      </c>
      <c r="M91" s="1561"/>
      <c r="N91" s="1561">
        <f t="shared" si="58"/>
        <v>0</v>
      </c>
      <c r="O91" s="1561">
        <f t="shared" si="58"/>
        <v>0</v>
      </c>
      <c r="P91" s="1561">
        <f t="shared" si="58"/>
        <v>0</v>
      </c>
      <c r="Q91" s="1561">
        <f t="shared" si="58"/>
        <v>0</v>
      </c>
      <c r="R91" s="1561">
        <f t="shared" si="58"/>
        <v>0</v>
      </c>
      <c r="S91" s="1561"/>
      <c r="T91" s="1561"/>
      <c r="U91" s="1561"/>
      <c r="V91" s="1561"/>
      <c r="W91" s="1561"/>
      <c r="X91" s="1562">
        <f>+X92</f>
        <v>0</v>
      </c>
      <c r="Y91" s="3945"/>
    </row>
    <row r="92" spans="1:119" s="1530" customFormat="1" ht="18.75" hidden="1" customHeight="1" thickBot="1">
      <c r="A92" s="3933"/>
      <c r="B92" s="1563" t="s">
        <v>23</v>
      </c>
      <c r="C92" s="3905"/>
      <c r="D92" s="1564">
        <f>SUM(E92:P92)</f>
        <v>0</v>
      </c>
      <c r="E92" s="1564">
        <f>256114-256114</f>
        <v>0</v>
      </c>
      <c r="F92" s="1564"/>
      <c r="G92" s="1564"/>
      <c r="H92" s="1564"/>
      <c r="I92" s="1564">
        <f>5990843-2500000-3490843</f>
        <v>0</v>
      </c>
      <c r="J92" s="1564">
        <f>7154456-7154456</f>
        <v>0</v>
      </c>
      <c r="K92" s="1564">
        <v>0</v>
      </c>
      <c r="L92" s="1564">
        <v>0</v>
      </c>
      <c r="M92" s="1564"/>
      <c r="N92" s="1564">
        <v>0</v>
      </c>
      <c r="O92" s="1564">
        <v>0</v>
      </c>
      <c r="P92" s="1564">
        <v>0</v>
      </c>
      <c r="Q92" s="1564">
        <v>0</v>
      </c>
      <c r="R92" s="1564">
        <v>0</v>
      </c>
      <c r="S92" s="1564"/>
      <c r="T92" s="1564"/>
      <c r="U92" s="1564"/>
      <c r="V92" s="1564"/>
      <c r="W92" s="1564"/>
      <c r="X92" s="1543">
        <f>SUM(P92:S92)</f>
        <v>0</v>
      </c>
      <c r="Y92" s="3946"/>
      <c r="Z92" s="493"/>
      <c r="AA92" s="493"/>
      <c r="AB92" s="493"/>
      <c r="AC92" s="493"/>
      <c r="AD92" s="493"/>
      <c r="AE92" s="493"/>
      <c r="AF92" s="493"/>
      <c r="AG92" s="493"/>
      <c r="AH92" s="493"/>
      <c r="AI92" s="493"/>
      <c r="AJ92" s="493"/>
      <c r="AK92" s="493"/>
      <c r="AL92" s="493"/>
      <c r="AM92" s="493"/>
      <c r="AN92" s="493"/>
      <c r="AO92" s="493"/>
      <c r="AP92" s="493"/>
      <c r="AQ92" s="493"/>
      <c r="AR92" s="493"/>
      <c r="AS92" s="493"/>
      <c r="AT92" s="493"/>
      <c r="AU92" s="493"/>
      <c r="AV92" s="493"/>
      <c r="AW92" s="493"/>
      <c r="AX92" s="493"/>
      <c r="AY92" s="493"/>
      <c r="AZ92" s="493"/>
      <c r="BA92" s="493"/>
      <c r="BB92" s="493"/>
      <c r="BC92" s="493"/>
      <c r="BD92" s="493"/>
      <c r="BE92" s="493"/>
      <c r="BF92" s="493"/>
      <c r="BG92" s="493"/>
      <c r="BH92" s="493"/>
      <c r="BI92" s="493"/>
      <c r="BJ92" s="493"/>
      <c r="BK92" s="493"/>
      <c r="BL92" s="493"/>
      <c r="BM92" s="493"/>
      <c r="BN92" s="493"/>
      <c r="BO92" s="493"/>
      <c r="BP92" s="493"/>
      <c r="BQ92" s="493"/>
      <c r="BR92" s="493"/>
      <c r="BS92" s="493"/>
      <c r="BT92" s="493"/>
      <c r="BU92" s="493"/>
      <c r="BV92" s="493"/>
      <c r="BW92" s="493"/>
      <c r="BX92" s="493"/>
      <c r="BY92" s="493"/>
      <c r="BZ92" s="493"/>
      <c r="CA92" s="493"/>
      <c r="CB92" s="493"/>
      <c r="CC92" s="493"/>
      <c r="CD92" s="493"/>
      <c r="CE92" s="493"/>
      <c r="CF92" s="493"/>
      <c r="CG92" s="493"/>
      <c r="CH92" s="493"/>
      <c r="CI92" s="493"/>
      <c r="CJ92" s="493"/>
      <c r="CK92" s="493"/>
      <c r="CL92" s="493"/>
      <c r="CM92" s="493"/>
      <c r="CN92" s="493"/>
      <c r="CO92" s="493"/>
      <c r="CP92" s="493"/>
      <c r="CQ92" s="493"/>
      <c r="CR92" s="493"/>
      <c r="CS92" s="493"/>
      <c r="CT92" s="493"/>
      <c r="CU92" s="493"/>
      <c r="CV92" s="493"/>
      <c r="CW92" s="493"/>
      <c r="CX92" s="493"/>
      <c r="CY92" s="493"/>
      <c r="CZ92" s="493"/>
      <c r="DA92" s="493"/>
      <c r="DB92" s="493"/>
      <c r="DC92" s="493"/>
      <c r="DD92" s="493"/>
      <c r="DE92" s="493"/>
      <c r="DF92" s="493"/>
      <c r="DG92" s="493"/>
      <c r="DH92" s="493"/>
      <c r="DI92" s="493"/>
      <c r="DJ92" s="493"/>
      <c r="DK92" s="493"/>
      <c r="DL92" s="493"/>
      <c r="DM92" s="493"/>
      <c r="DN92" s="493"/>
      <c r="DO92" s="493"/>
    </row>
    <row r="93" spans="1:119" ht="12.75" hidden="1" customHeight="1">
      <c r="A93" s="3940" t="s">
        <v>78</v>
      </c>
      <c r="B93" s="3211" t="s">
        <v>171</v>
      </c>
      <c r="C93" s="3214" t="s">
        <v>95</v>
      </c>
      <c r="D93" s="3214"/>
      <c r="E93" s="3214"/>
      <c r="F93" s="3214"/>
      <c r="G93" s="3214"/>
      <c r="H93" s="3214"/>
      <c r="I93" s="3214"/>
      <c r="J93" s="3214"/>
      <c r="K93" s="3214"/>
      <c r="L93" s="3214"/>
      <c r="M93" s="3214"/>
      <c r="N93" s="3214"/>
      <c r="O93" s="3214"/>
      <c r="P93" s="3214"/>
      <c r="Q93" s="3214"/>
      <c r="R93" s="3214"/>
      <c r="S93" s="3214"/>
      <c r="T93" s="3214"/>
      <c r="U93" s="3214"/>
      <c r="V93" s="3214"/>
      <c r="W93" s="3214"/>
      <c r="X93" s="1565"/>
      <c r="Y93" s="3747" t="s">
        <v>172</v>
      </c>
    </row>
    <row r="94" spans="1:119" ht="13.5" hidden="1" customHeight="1">
      <c r="A94" s="3936"/>
      <c r="B94" s="1320" t="s">
        <v>21</v>
      </c>
      <c r="C94" s="1566"/>
      <c r="D94" s="3214">
        <f>SUM(E94:P94)</f>
        <v>0</v>
      </c>
      <c r="E94" s="1567">
        <v>0</v>
      </c>
      <c r="F94" s="1567"/>
      <c r="G94" s="1567"/>
      <c r="H94" s="1567"/>
      <c r="I94" s="1567">
        <v>0</v>
      </c>
      <c r="J94" s="1567">
        <f>J95</f>
        <v>0</v>
      </c>
      <c r="K94" s="1567">
        <f>K95</f>
        <v>0</v>
      </c>
      <c r="L94" s="3214">
        <v>0</v>
      </c>
      <c r="M94" s="3214"/>
      <c r="N94" s="3214">
        <v>0</v>
      </c>
      <c r="O94" s="3214">
        <v>0</v>
      </c>
      <c r="P94" s="3214">
        <v>0</v>
      </c>
      <c r="Q94" s="3214">
        <v>0</v>
      </c>
      <c r="R94" s="3214">
        <v>0</v>
      </c>
      <c r="S94" s="3214"/>
      <c r="T94" s="3214"/>
      <c r="U94" s="3214"/>
      <c r="V94" s="3214"/>
      <c r="W94" s="3214"/>
      <c r="X94" s="1565"/>
      <c r="Y94" s="3747"/>
    </row>
    <row r="95" spans="1:119" ht="14.25" hidden="1" customHeight="1">
      <c r="A95" s="3936"/>
      <c r="B95" s="3211" t="s">
        <v>35</v>
      </c>
      <c r="C95" s="3941" t="s">
        <v>173</v>
      </c>
      <c r="D95" s="3214">
        <f>SUM(E95:P95)</f>
        <v>0</v>
      </c>
      <c r="E95" s="3214">
        <v>0</v>
      </c>
      <c r="F95" s="3214"/>
      <c r="G95" s="3214"/>
      <c r="H95" s="3214"/>
      <c r="I95" s="3214">
        <v>0</v>
      </c>
      <c r="J95" s="3214">
        <f>J96</f>
        <v>0</v>
      </c>
      <c r="K95" s="3214">
        <f>K96</f>
        <v>0</v>
      </c>
      <c r="L95" s="3214">
        <v>0</v>
      </c>
      <c r="M95" s="3214"/>
      <c r="N95" s="3214">
        <v>0</v>
      </c>
      <c r="O95" s="3214">
        <v>0</v>
      </c>
      <c r="P95" s="3214">
        <v>0</v>
      </c>
      <c r="Q95" s="3214">
        <v>0</v>
      </c>
      <c r="R95" s="3214">
        <v>0</v>
      </c>
      <c r="S95" s="3214"/>
      <c r="T95" s="3214"/>
      <c r="U95" s="3214"/>
      <c r="V95" s="3214"/>
      <c r="W95" s="3214"/>
      <c r="X95" s="1565"/>
      <c r="Y95" s="3881"/>
    </row>
    <row r="96" spans="1:119" ht="15" hidden="1" customHeight="1" thickBot="1">
      <c r="A96" s="3936"/>
      <c r="B96" s="3211" t="s">
        <v>23</v>
      </c>
      <c r="C96" s="3941"/>
      <c r="D96" s="3214">
        <f>SUM(E96:P96)</f>
        <v>0</v>
      </c>
      <c r="E96" s="3214">
        <v>0</v>
      </c>
      <c r="F96" s="3214"/>
      <c r="G96" s="3214"/>
      <c r="H96" s="3214"/>
      <c r="I96" s="3214">
        <v>0</v>
      </c>
      <c r="J96" s="3214">
        <v>0</v>
      </c>
      <c r="K96" s="3214">
        <v>0</v>
      </c>
      <c r="L96" s="3214">
        <v>0</v>
      </c>
      <c r="M96" s="3214"/>
      <c r="N96" s="3214">
        <v>0</v>
      </c>
      <c r="O96" s="3214">
        <v>0</v>
      </c>
      <c r="P96" s="3214">
        <v>0</v>
      </c>
      <c r="Q96" s="3214">
        <v>0</v>
      </c>
      <c r="R96" s="3214">
        <v>0</v>
      </c>
      <c r="S96" s="3214"/>
      <c r="T96" s="3214"/>
      <c r="U96" s="3214"/>
      <c r="V96" s="3214"/>
      <c r="W96" s="3214"/>
      <c r="X96" s="1565"/>
      <c r="Y96" s="3881"/>
    </row>
    <row r="97" spans="1:25" ht="36.75" hidden="1" customHeight="1">
      <c r="A97" s="3935" t="s">
        <v>77</v>
      </c>
      <c r="B97" s="233" t="s">
        <v>298</v>
      </c>
      <c r="C97" s="1568" t="s">
        <v>95</v>
      </c>
      <c r="D97" s="242"/>
      <c r="E97" s="216"/>
      <c r="F97" s="216"/>
      <c r="G97" s="216"/>
      <c r="H97" s="216"/>
      <c r="I97" s="216"/>
      <c r="J97" s="216"/>
      <c r="K97" s="216"/>
      <c r="L97" s="235"/>
      <c r="M97" s="235"/>
      <c r="N97" s="235"/>
      <c r="O97" s="235"/>
      <c r="P97" s="236"/>
      <c r="Q97" s="236"/>
      <c r="R97" s="236"/>
      <c r="S97" s="236"/>
      <c r="T97" s="236"/>
      <c r="U97" s="236"/>
      <c r="V97" s="236"/>
      <c r="W97" s="236"/>
      <c r="X97" s="1569"/>
      <c r="Y97" s="3942" t="s">
        <v>248</v>
      </c>
    </row>
    <row r="98" spans="1:25" ht="14.25" hidden="1" customHeight="1">
      <c r="A98" s="3940"/>
      <c r="B98" s="1049" t="s">
        <v>21</v>
      </c>
      <c r="C98" s="1566"/>
      <c r="D98" s="1333">
        <f>+D99+D102</f>
        <v>0</v>
      </c>
      <c r="E98" s="1333">
        <f>+E99+E102</f>
        <v>0</v>
      </c>
      <c r="F98" s="1333"/>
      <c r="G98" s="1333"/>
      <c r="H98" s="1333"/>
      <c r="I98" s="1333">
        <f>I99</f>
        <v>0</v>
      </c>
      <c r="J98" s="1333">
        <f>+J99+J102</f>
        <v>0</v>
      </c>
      <c r="K98" s="1333">
        <f>+K99+K102</f>
        <v>0</v>
      </c>
      <c r="L98" s="1333">
        <f>+L99+L102</f>
        <v>0</v>
      </c>
      <c r="M98" s="1333">
        <f>+M99+M102</f>
        <v>0</v>
      </c>
      <c r="N98" s="1333">
        <f>+N99+N102</f>
        <v>0</v>
      </c>
      <c r="O98" s="1333">
        <v>0</v>
      </c>
      <c r="P98" s="1333">
        <v>0</v>
      </c>
      <c r="Q98" s="1333">
        <v>0</v>
      </c>
      <c r="R98" s="1333">
        <v>0</v>
      </c>
      <c r="S98" s="1333">
        <v>0</v>
      </c>
      <c r="T98" s="1333">
        <v>0</v>
      </c>
      <c r="U98" s="1333">
        <v>0</v>
      </c>
      <c r="V98" s="1333">
        <v>0</v>
      </c>
      <c r="W98" s="1333">
        <v>0</v>
      </c>
      <c r="X98" s="241">
        <f>+X99</f>
        <v>0</v>
      </c>
      <c r="Y98" s="3942"/>
    </row>
    <row r="99" spans="1:25" ht="15.75" hidden="1" customHeight="1">
      <c r="A99" s="3940"/>
      <c r="B99" s="1338" t="s">
        <v>35</v>
      </c>
      <c r="C99" s="3892" t="s">
        <v>174</v>
      </c>
      <c r="D99" s="1339">
        <f>D100+D101</f>
        <v>0</v>
      </c>
      <c r="E99" s="1339">
        <f t="shared" ref="E99:P99" si="59">E100+E101</f>
        <v>0</v>
      </c>
      <c r="F99" s="1339">
        <f t="shared" si="59"/>
        <v>0</v>
      </c>
      <c r="G99" s="1339">
        <f t="shared" si="59"/>
        <v>0</v>
      </c>
      <c r="H99" s="1339">
        <f t="shared" si="59"/>
        <v>0</v>
      </c>
      <c r="I99" s="1339">
        <f t="shared" si="59"/>
        <v>0</v>
      </c>
      <c r="J99" s="1339">
        <f t="shared" si="59"/>
        <v>0</v>
      </c>
      <c r="K99" s="1339">
        <f t="shared" si="59"/>
        <v>0</v>
      </c>
      <c r="L99" s="1339">
        <f t="shared" si="59"/>
        <v>0</v>
      </c>
      <c r="M99" s="1339">
        <f t="shared" si="59"/>
        <v>0</v>
      </c>
      <c r="N99" s="1339">
        <f t="shared" si="59"/>
        <v>0</v>
      </c>
      <c r="O99" s="1339">
        <f t="shared" si="59"/>
        <v>0</v>
      </c>
      <c r="P99" s="1339">
        <f t="shared" si="59"/>
        <v>0</v>
      </c>
      <c r="Q99" s="1339">
        <f t="shared" ref="Q99:W99" si="60">Q100+Q101</f>
        <v>0</v>
      </c>
      <c r="R99" s="1339">
        <f t="shared" si="60"/>
        <v>0</v>
      </c>
      <c r="S99" s="1339">
        <f t="shared" si="60"/>
        <v>0</v>
      </c>
      <c r="T99" s="1339">
        <f t="shared" si="60"/>
        <v>0</v>
      </c>
      <c r="U99" s="1339">
        <f t="shared" si="60"/>
        <v>0</v>
      </c>
      <c r="V99" s="1339">
        <f t="shared" si="60"/>
        <v>0</v>
      </c>
      <c r="W99" s="1339">
        <f t="shared" si="60"/>
        <v>0</v>
      </c>
      <c r="X99" s="1483">
        <f>+X101</f>
        <v>0</v>
      </c>
      <c r="Y99" s="3942"/>
    </row>
    <row r="100" spans="1:25" ht="13.5" hidden="1" customHeight="1">
      <c r="A100" s="3940"/>
      <c r="B100" s="295" t="s">
        <v>165</v>
      </c>
      <c r="C100" s="3862"/>
      <c r="D100" s="1503">
        <f>M100+O100+P100+Q100+R100+S100+T100+U100+V100+W100</f>
        <v>0</v>
      </c>
      <c r="E100" s="1344">
        <v>0</v>
      </c>
      <c r="F100" s="1344"/>
      <c r="G100" s="1344"/>
      <c r="H100" s="1344"/>
      <c r="I100" s="1344">
        <v>0</v>
      </c>
      <c r="J100" s="1344">
        <v>0</v>
      </c>
      <c r="K100" s="1344">
        <f>2079+2921-5000</f>
        <v>0</v>
      </c>
      <c r="L100" s="1344">
        <v>0</v>
      </c>
      <c r="M100" s="1503">
        <f>+L100+N100</f>
        <v>0</v>
      </c>
      <c r="N100" s="1344">
        <v>0</v>
      </c>
      <c r="O100" s="1344">
        <v>0</v>
      </c>
      <c r="P100" s="1344">
        <v>0</v>
      </c>
      <c r="Q100" s="1344">
        <v>0</v>
      </c>
      <c r="R100" s="1344">
        <v>0</v>
      </c>
      <c r="S100" s="1344">
        <v>0</v>
      </c>
      <c r="T100" s="1344">
        <v>0</v>
      </c>
      <c r="U100" s="1344">
        <v>0</v>
      </c>
      <c r="V100" s="1344">
        <v>0</v>
      </c>
      <c r="W100" s="1344">
        <v>0</v>
      </c>
      <c r="X100" s="1547" t="s">
        <v>75</v>
      </c>
      <c r="Y100" s="3942"/>
    </row>
    <row r="101" spans="1:25" ht="13.5" hidden="1" customHeight="1">
      <c r="A101" s="3940"/>
      <c r="B101" s="1348" t="s">
        <v>166</v>
      </c>
      <c r="C101" s="3862"/>
      <c r="D101" s="1503">
        <f>M101+O101+P101+Q101+R101+S101+T101+U101+V101+W101</f>
        <v>0</v>
      </c>
      <c r="E101" s="1357">
        <v>0</v>
      </c>
      <c r="F101" s="1357"/>
      <c r="G101" s="1357"/>
      <c r="H101" s="1357"/>
      <c r="I101" s="1357">
        <v>0</v>
      </c>
      <c r="J101" s="1357">
        <v>0</v>
      </c>
      <c r="K101" s="1357">
        <v>0</v>
      </c>
      <c r="L101" s="1357">
        <v>0</v>
      </c>
      <c r="M101" s="1503">
        <f>+L101+N101</f>
        <v>0</v>
      </c>
      <c r="N101" s="1357">
        <v>0</v>
      </c>
      <c r="O101" s="1357">
        <v>0</v>
      </c>
      <c r="P101" s="1357">
        <v>0</v>
      </c>
      <c r="Q101" s="1357">
        <v>0</v>
      </c>
      <c r="R101" s="1357">
        <v>0</v>
      </c>
      <c r="S101" s="1357">
        <v>0</v>
      </c>
      <c r="T101" s="1357">
        <v>0</v>
      </c>
      <c r="U101" s="1357">
        <v>0</v>
      </c>
      <c r="V101" s="1357">
        <v>0</v>
      </c>
      <c r="W101" s="1357">
        <v>0</v>
      </c>
      <c r="X101" s="1483">
        <f>+P101+Q101+R101</f>
        <v>0</v>
      </c>
      <c r="Y101" s="3942"/>
    </row>
    <row r="102" spans="1:25" ht="12" hidden="1" customHeight="1">
      <c r="A102" s="3940"/>
      <c r="B102" s="1338" t="s">
        <v>29</v>
      </c>
      <c r="C102" s="3862"/>
      <c r="D102" s="1339">
        <f>+D103</f>
        <v>0</v>
      </c>
      <c r="E102" s="1339">
        <f>+E103</f>
        <v>0</v>
      </c>
      <c r="F102" s="1339"/>
      <c r="G102" s="1339"/>
      <c r="H102" s="1339"/>
      <c r="I102" s="1339">
        <f t="shared" ref="I102:N102" si="61">+I103</f>
        <v>0</v>
      </c>
      <c r="J102" s="1339">
        <f t="shared" si="61"/>
        <v>0</v>
      </c>
      <c r="K102" s="1339">
        <f t="shared" si="61"/>
        <v>0</v>
      </c>
      <c r="L102" s="1339">
        <f t="shared" si="61"/>
        <v>0</v>
      </c>
      <c r="M102" s="1339">
        <f t="shared" si="61"/>
        <v>0</v>
      </c>
      <c r="N102" s="1339">
        <f t="shared" si="61"/>
        <v>0</v>
      </c>
      <c r="O102" s="1339">
        <v>0</v>
      </c>
      <c r="P102" s="1339">
        <v>0</v>
      </c>
      <c r="Q102" s="1339">
        <v>0</v>
      </c>
      <c r="R102" s="1339">
        <v>0</v>
      </c>
      <c r="S102" s="1339">
        <v>0</v>
      </c>
      <c r="T102" s="1339">
        <v>0</v>
      </c>
      <c r="U102" s="1339">
        <v>0</v>
      </c>
      <c r="V102" s="1339">
        <v>0</v>
      </c>
      <c r="W102" s="1339">
        <v>0</v>
      </c>
      <c r="X102" s="1547" t="str">
        <f>+X103</f>
        <v>x</v>
      </c>
      <c r="Y102" s="3942"/>
    </row>
    <row r="103" spans="1:25" ht="14.25" hidden="1" customHeight="1">
      <c r="A103" s="3940"/>
      <c r="B103" s="1570" t="s">
        <v>46</v>
      </c>
      <c r="C103" s="3883"/>
      <c r="D103" s="1503">
        <f>M103+O103+P103+Q103+R103+S103+T103+U103+V103+W103</f>
        <v>0</v>
      </c>
      <c r="E103" s="1357">
        <v>0</v>
      </c>
      <c r="F103" s="1357"/>
      <c r="G103" s="1357"/>
      <c r="H103" s="1357"/>
      <c r="I103" s="1357">
        <v>0</v>
      </c>
      <c r="J103" s="1357">
        <v>0</v>
      </c>
      <c r="K103" s="1357">
        <f>6237+8763-15000</f>
        <v>0</v>
      </c>
      <c r="L103" s="1357">
        <v>0</v>
      </c>
      <c r="M103" s="1503">
        <f>+L103+N103</f>
        <v>0</v>
      </c>
      <c r="N103" s="1357">
        <v>0</v>
      </c>
      <c r="O103" s="1571">
        <v>0</v>
      </c>
      <c r="P103" s="1571">
        <v>0</v>
      </c>
      <c r="Q103" s="1571">
        <v>0</v>
      </c>
      <c r="R103" s="1571">
        <v>0</v>
      </c>
      <c r="S103" s="1571">
        <v>0</v>
      </c>
      <c r="T103" s="1571">
        <v>0</v>
      </c>
      <c r="U103" s="1571">
        <v>0</v>
      </c>
      <c r="V103" s="1571">
        <v>0</v>
      </c>
      <c r="W103" s="1571">
        <v>0</v>
      </c>
      <c r="X103" s="1572" t="s">
        <v>75</v>
      </c>
      <c r="Y103" s="3942"/>
    </row>
    <row r="104" spans="1:25" ht="13.5" hidden="1" customHeight="1">
      <c r="A104" s="3940"/>
      <c r="B104" s="1320" t="s">
        <v>33</v>
      </c>
      <c r="C104" s="1566"/>
      <c r="D104" s="1333">
        <f>D108+D105</f>
        <v>0</v>
      </c>
      <c r="E104" s="1333">
        <f t="shared" ref="E104:J104" si="62">E108</f>
        <v>0</v>
      </c>
      <c r="F104" s="1333"/>
      <c r="G104" s="1333"/>
      <c r="H104" s="1333"/>
      <c r="I104" s="1333">
        <f t="shared" si="62"/>
        <v>0</v>
      </c>
      <c r="J104" s="1333">
        <f t="shared" si="62"/>
        <v>0</v>
      </c>
      <c r="K104" s="1333">
        <f>K108+K105</f>
        <v>0</v>
      </c>
      <c r="L104" s="1333">
        <f>L108+L105</f>
        <v>0</v>
      </c>
      <c r="M104" s="1333">
        <f>M108+M105</f>
        <v>0</v>
      </c>
      <c r="N104" s="1333">
        <f>N108+N105</f>
        <v>0</v>
      </c>
      <c r="O104" s="1333">
        <f>O108+O105</f>
        <v>0</v>
      </c>
      <c r="P104" s="1333">
        <v>0</v>
      </c>
      <c r="Q104" s="1333">
        <v>0</v>
      </c>
      <c r="R104" s="1333">
        <v>0</v>
      </c>
      <c r="S104" s="1333">
        <v>0</v>
      </c>
      <c r="T104" s="1333">
        <v>0</v>
      </c>
      <c r="U104" s="1333">
        <v>0</v>
      </c>
      <c r="V104" s="1333">
        <v>0</v>
      </c>
      <c r="W104" s="1333">
        <v>0</v>
      </c>
      <c r="X104" s="241"/>
      <c r="Y104" s="3942"/>
    </row>
    <row r="105" spans="1:25" ht="14.25" hidden="1" customHeight="1">
      <c r="A105" s="3940"/>
      <c r="B105" s="1251" t="s">
        <v>35</v>
      </c>
      <c r="C105" s="3926" t="s">
        <v>34</v>
      </c>
      <c r="D105" s="1573">
        <f>+D107+D106</f>
        <v>0</v>
      </c>
      <c r="E105" s="1573">
        <f t="shared" ref="E105:P105" si="63">+E107+E106</f>
        <v>0</v>
      </c>
      <c r="F105" s="1573">
        <f t="shared" si="63"/>
        <v>0</v>
      </c>
      <c r="G105" s="1573">
        <f t="shared" si="63"/>
        <v>0</v>
      </c>
      <c r="H105" s="1573">
        <f t="shared" si="63"/>
        <v>0</v>
      </c>
      <c r="I105" s="1573">
        <f t="shared" si="63"/>
        <v>0</v>
      </c>
      <c r="J105" s="1573">
        <f t="shared" si="63"/>
        <v>0</v>
      </c>
      <c r="K105" s="1573">
        <f t="shared" si="63"/>
        <v>0</v>
      </c>
      <c r="L105" s="1573">
        <f t="shared" si="63"/>
        <v>0</v>
      </c>
      <c r="M105" s="1573">
        <f t="shared" si="63"/>
        <v>0</v>
      </c>
      <c r="N105" s="1573">
        <f t="shared" si="63"/>
        <v>0</v>
      </c>
      <c r="O105" s="1573">
        <f t="shared" si="63"/>
        <v>0</v>
      </c>
      <c r="P105" s="1339">
        <f t="shared" si="63"/>
        <v>0</v>
      </c>
      <c r="Q105" s="1339">
        <f t="shared" ref="Q105:W105" si="64">+Q107+Q106</f>
        <v>0</v>
      </c>
      <c r="R105" s="1339">
        <f t="shared" si="64"/>
        <v>0</v>
      </c>
      <c r="S105" s="1339">
        <f t="shared" si="64"/>
        <v>0</v>
      </c>
      <c r="T105" s="1339">
        <f t="shared" si="64"/>
        <v>0</v>
      </c>
      <c r="U105" s="1339">
        <f t="shared" si="64"/>
        <v>0</v>
      </c>
      <c r="V105" s="1339">
        <f t="shared" si="64"/>
        <v>0</v>
      </c>
      <c r="W105" s="1339">
        <f t="shared" si="64"/>
        <v>0</v>
      </c>
      <c r="X105" s="3913" t="s">
        <v>75</v>
      </c>
      <c r="Y105" s="3942"/>
    </row>
    <row r="106" spans="1:25" ht="13.5" hidden="1" customHeight="1">
      <c r="A106" s="3940"/>
      <c r="B106" s="295" t="s">
        <v>165</v>
      </c>
      <c r="C106" s="3927"/>
      <c r="D106" s="1503">
        <f>M106+O106+P106+Q106+R106+S106+T106+U106+V106+W106</f>
        <v>0</v>
      </c>
      <c r="E106" s="1574">
        <v>0</v>
      </c>
      <c r="F106" s="1574"/>
      <c r="G106" s="1574"/>
      <c r="H106" s="1574"/>
      <c r="I106" s="1574">
        <v>0</v>
      </c>
      <c r="J106" s="1574">
        <v>0</v>
      </c>
      <c r="K106" s="1574">
        <f>2079+2921-5000</f>
        <v>0</v>
      </c>
      <c r="L106" s="1574">
        <v>0</v>
      </c>
      <c r="M106" s="1503">
        <f>+L106+N106</f>
        <v>0</v>
      </c>
      <c r="N106" s="1574">
        <v>0</v>
      </c>
      <c r="O106" s="1574">
        <v>0</v>
      </c>
      <c r="P106" s="1575">
        <v>0</v>
      </c>
      <c r="Q106" s="1575">
        <v>0</v>
      </c>
      <c r="R106" s="1575">
        <v>0</v>
      </c>
      <c r="S106" s="1575">
        <v>0</v>
      </c>
      <c r="T106" s="1575">
        <v>0</v>
      </c>
      <c r="U106" s="1575">
        <v>0</v>
      </c>
      <c r="V106" s="1575">
        <v>0</v>
      </c>
      <c r="W106" s="1575">
        <v>0</v>
      </c>
      <c r="X106" s="3914"/>
      <c r="Y106" s="3942"/>
    </row>
    <row r="107" spans="1:25" ht="13.5" hidden="1" customHeight="1">
      <c r="A107" s="3940"/>
      <c r="B107" s="1348" t="s">
        <v>175</v>
      </c>
      <c r="C107" s="3927"/>
      <c r="D107" s="1503">
        <f>M107+O107+P107+Q107+R107+S107+T107+U107+V107+W107</f>
        <v>0</v>
      </c>
      <c r="E107" s="1357">
        <v>0</v>
      </c>
      <c r="F107" s="1357"/>
      <c r="G107" s="1357"/>
      <c r="H107" s="1357"/>
      <c r="I107" s="1357">
        <v>0</v>
      </c>
      <c r="J107" s="1357">
        <v>0</v>
      </c>
      <c r="K107" s="1357">
        <v>0</v>
      </c>
      <c r="L107" s="1357">
        <f>2111463-51216-2060247</f>
        <v>0</v>
      </c>
      <c r="M107" s="1574">
        <f>+L107</f>
        <v>0</v>
      </c>
      <c r="N107" s="1357">
        <f>1489154-9350-1479804</f>
        <v>0</v>
      </c>
      <c r="O107" s="1357">
        <v>0</v>
      </c>
      <c r="P107" s="1357">
        <v>0</v>
      </c>
      <c r="Q107" s="1357">
        <v>0</v>
      </c>
      <c r="R107" s="1357">
        <v>0</v>
      </c>
      <c r="S107" s="1357">
        <v>0</v>
      </c>
      <c r="T107" s="1357">
        <v>0</v>
      </c>
      <c r="U107" s="1357">
        <v>0</v>
      </c>
      <c r="V107" s="1357">
        <v>0</v>
      </c>
      <c r="W107" s="1357">
        <v>0</v>
      </c>
      <c r="X107" s="3914"/>
      <c r="Y107" s="3942"/>
    </row>
    <row r="108" spans="1:25" ht="12.75" hidden="1" customHeight="1">
      <c r="A108" s="3940"/>
      <c r="B108" s="1338" t="s">
        <v>29</v>
      </c>
      <c r="C108" s="3927"/>
      <c r="D108" s="1573">
        <f>+D109</f>
        <v>0</v>
      </c>
      <c r="E108" s="1573">
        <f>+E109</f>
        <v>0</v>
      </c>
      <c r="F108" s="1573"/>
      <c r="G108" s="1573"/>
      <c r="H108" s="1573"/>
      <c r="I108" s="1573">
        <f t="shared" ref="I108:O108" si="65">+I109</f>
        <v>0</v>
      </c>
      <c r="J108" s="1573">
        <f t="shared" si="65"/>
        <v>0</v>
      </c>
      <c r="K108" s="1573">
        <f t="shared" si="65"/>
        <v>0</v>
      </c>
      <c r="L108" s="1573">
        <f t="shared" si="65"/>
        <v>0</v>
      </c>
      <c r="M108" s="1573">
        <f t="shared" si="65"/>
        <v>0</v>
      </c>
      <c r="N108" s="1573">
        <f t="shared" si="65"/>
        <v>0</v>
      </c>
      <c r="O108" s="1573">
        <f t="shared" si="65"/>
        <v>0</v>
      </c>
      <c r="P108" s="1339">
        <v>0</v>
      </c>
      <c r="Q108" s="1339">
        <v>0</v>
      </c>
      <c r="R108" s="1339">
        <v>0</v>
      </c>
      <c r="S108" s="1339">
        <v>0</v>
      </c>
      <c r="T108" s="1339">
        <v>0</v>
      </c>
      <c r="U108" s="1339"/>
      <c r="V108" s="1339"/>
      <c r="W108" s="1339"/>
      <c r="X108" s="3914"/>
      <c r="Y108" s="3942"/>
    </row>
    <row r="109" spans="1:25" ht="13.5" hidden="1" customHeight="1" thickBot="1">
      <c r="A109" s="3940"/>
      <c r="B109" s="1576" t="s">
        <v>46</v>
      </c>
      <c r="C109" s="3928"/>
      <c r="D109" s="1503">
        <f>M109+O109+P109+Q109+R109+S109+T109+U109+V109+W109</f>
        <v>0</v>
      </c>
      <c r="E109" s="1574">
        <v>0</v>
      </c>
      <c r="F109" s="1574"/>
      <c r="G109" s="1574"/>
      <c r="H109" s="1574"/>
      <c r="I109" s="1574">
        <v>0</v>
      </c>
      <c r="J109" s="1574">
        <v>0</v>
      </c>
      <c r="K109" s="1574">
        <f>6237+8763-15000</f>
        <v>0</v>
      </c>
      <c r="L109" s="1574">
        <v>0</v>
      </c>
      <c r="M109" s="1503">
        <v>0</v>
      </c>
      <c r="N109" s="1574">
        <v>0</v>
      </c>
      <c r="O109" s="1575">
        <v>0</v>
      </c>
      <c r="P109" s="1575">
        <v>0</v>
      </c>
      <c r="Q109" s="1575">
        <v>0</v>
      </c>
      <c r="R109" s="1575">
        <v>0</v>
      </c>
      <c r="S109" s="1575">
        <v>0</v>
      </c>
      <c r="T109" s="1575">
        <v>0</v>
      </c>
      <c r="U109" s="1575">
        <v>0</v>
      </c>
      <c r="V109" s="1575">
        <v>0</v>
      </c>
      <c r="W109" s="1575">
        <v>0</v>
      </c>
      <c r="X109" s="3915"/>
      <c r="Y109" s="3943"/>
    </row>
    <row r="110" spans="1:25" ht="26.25" hidden="1" customHeight="1">
      <c r="A110" s="3935" t="s">
        <v>77</v>
      </c>
      <c r="B110" s="1262" t="s">
        <v>253</v>
      </c>
      <c r="C110" s="1577" t="s">
        <v>95</v>
      </c>
      <c r="D110" s="347"/>
      <c r="E110" s="216"/>
      <c r="F110" s="216"/>
      <c r="G110" s="216"/>
      <c r="H110" s="216"/>
      <c r="I110" s="216"/>
      <c r="J110" s="216"/>
      <c r="K110" s="216"/>
      <c r="L110" s="235"/>
      <c r="M110" s="235"/>
      <c r="N110" s="235"/>
      <c r="O110" s="235"/>
      <c r="P110" s="236"/>
      <c r="Q110" s="236"/>
      <c r="R110" s="236"/>
      <c r="S110" s="236"/>
      <c r="T110" s="236"/>
      <c r="U110" s="236"/>
      <c r="V110" s="236"/>
      <c r="W110" s="236"/>
      <c r="X110" s="1497"/>
      <c r="Y110" s="3632" t="s">
        <v>264</v>
      </c>
    </row>
    <row r="111" spans="1:25" s="1487" customFormat="1" ht="17.25" hidden="1" customHeight="1">
      <c r="A111" s="3936"/>
      <c r="B111" s="1578" t="s">
        <v>21</v>
      </c>
      <c r="C111" s="1566"/>
      <c r="D111" s="1408">
        <f>+D112</f>
        <v>0</v>
      </c>
      <c r="E111" s="1408">
        <f t="shared" ref="E111:U112" si="66">E112</f>
        <v>0</v>
      </c>
      <c r="F111" s="1408">
        <f t="shared" si="66"/>
        <v>0</v>
      </c>
      <c r="G111" s="1408">
        <f t="shared" si="66"/>
        <v>0</v>
      </c>
      <c r="H111" s="1408">
        <f t="shared" si="66"/>
        <v>0</v>
      </c>
      <c r="I111" s="1408">
        <f t="shared" si="66"/>
        <v>0</v>
      </c>
      <c r="J111" s="1408">
        <f t="shared" si="66"/>
        <v>0</v>
      </c>
      <c r="K111" s="1408">
        <f t="shared" si="66"/>
        <v>0</v>
      </c>
      <c r="L111" s="1408">
        <f t="shared" si="66"/>
        <v>0</v>
      </c>
      <c r="M111" s="1408">
        <f t="shared" si="66"/>
        <v>0</v>
      </c>
      <c r="N111" s="1408">
        <f t="shared" si="66"/>
        <v>117496</v>
      </c>
      <c r="O111" s="1408">
        <f t="shared" si="66"/>
        <v>0</v>
      </c>
      <c r="P111" s="1408">
        <f t="shared" si="66"/>
        <v>0</v>
      </c>
      <c r="Q111" s="1408">
        <f t="shared" si="66"/>
        <v>0</v>
      </c>
      <c r="R111" s="1408">
        <f t="shared" si="66"/>
        <v>0</v>
      </c>
      <c r="S111" s="1408">
        <f t="shared" si="66"/>
        <v>0</v>
      </c>
      <c r="T111" s="1408">
        <f t="shared" si="66"/>
        <v>0</v>
      </c>
      <c r="U111" s="1408">
        <f t="shared" si="66"/>
        <v>0</v>
      </c>
      <c r="V111" s="1408">
        <f>V112</f>
        <v>0</v>
      </c>
      <c r="W111" s="1408">
        <f>W112</f>
        <v>0</v>
      </c>
      <c r="X111" s="1579">
        <f>+X112</f>
        <v>0</v>
      </c>
      <c r="Y111" s="3609"/>
    </row>
    <row r="112" spans="1:25" s="1582" customFormat="1" ht="15" hidden="1" customHeight="1">
      <c r="A112" s="3936"/>
      <c r="B112" s="1580" t="s">
        <v>35</v>
      </c>
      <c r="C112" s="3938" t="s">
        <v>174</v>
      </c>
      <c r="D112" s="1573">
        <f>D113</f>
        <v>0</v>
      </c>
      <c r="E112" s="1573">
        <f t="shared" si="66"/>
        <v>0</v>
      </c>
      <c r="F112" s="1573">
        <f t="shared" si="66"/>
        <v>0</v>
      </c>
      <c r="G112" s="1573">
        <f t="shared" si="66"/>
        <v>0</v>
      </c>
      <c r="H112" s="1573">
        <f t="shared" si="66"/>
        <v>0</v>
      </c>
      <c r="I112" s="1573">
        <f t="shared" si="66"/>
        <v>0</v>
      </c>
      <c r="J112" s="1573">
        <f t="shared" si="66"/>
        <v>0</v>
      </c>
      <c r="K112" s="1573">
        <f t="shared" si="66"/>
        <v>0</v>
      </c>
      <c r="L112" s="1573">
        <f t="shared" si="66"/>
        <v>0</v>
      </c>
      <c r="M112" s="1573">
        <f>M113</f>
        <v>0</v>
      </c>
      <c r="N112" s="1573">
        <f t="shared" si="66"/>
        <v>117496</v>
      </c>
      <c r="O112" s="1573">
        <f t="shared" si="66"/>
        <v>0</v>
      </c>
      <c r="P112" s="1573">
        <f t="shared" si="66"/>
        <v>0</v>
      </c>
      <c r="Q112" s="1573">
        <f t="shared" si="66"/>
        <v>0</v>
      </c>
      <c r="R112" s="1573">
        <f t="shared" si="66"/>
        <v>0</v>
      </c>
      <c r="S112" s="1573">
        <f t="shared" si="66"/>
        <v>0</v>
      </c>
      <c r="T112" s="1573">
        <f t="shared" si="66"/>
        <v>0</v>
      </c>
      <c r="U112" s="1573">
        <f t="shared" si="66"/>
        <v>0</v>
      </c>
      <c r="V112" s="1573">
        <f>V113</f>
        <v>0</v>
      </c>
      <c r="W112" s="1573">
        <f>W113</f>
        <v>0</v>
      </c>
      <c r="X112" s="1581">
        <f>+X113</f>
        <v>0</v>
      </c>
      <c r="Y112" s="3609"/>
    </row>
    <row r="113" spans="1:25" s="1487" customFormat="1" ht="15" hidden="1" customHeight="1" thickBot="1">
      <c r="A113" s="3937"/>
      <c r="B113" s="1583" t="s">
        <v>166</v>
      </c>
      <c r="C113" s="3939"/>
      <c r="D113" s="1258">
        <f>M113+O113+P113+Q113+R113+S113+T113+U113+V113+W113</f>
        <v>0</v>
      </c>
      <c r="E113" s="1421">
        <v>0</v>
      </c>
      <c r="F113" s="1421"/>
      <c r="G113" s="1421"/>
      <c r="H113" s="1421"/>
      <c r="I113" s="1421">
        <v>0</v>
      </c>
      <c r="J113" s="1421">
        <v>0</v>
      </c>
      <c r="K113" s="1421">
        <v>0</v>
      </c>
      <c r="L113" s="1421">
        <v>0</v>
      </c>
      <c r="M113" s="1258">
        <v>0</v>
      </c>
      <c r="N113" s="1421">
        <f>60000+83395-25617-282</f>
        <v>117496</v>
      </c>
      <c r="O113" s="1421">
        <v>0</v>
      </c>
      <c r="P113" s="1421">
        <v>0</v>
      </c>
      <c r="Q113" s="1421">
        <v>0</v>
      </c>
      <c r="R113" s="1421">
        <v>0</v>
      </c>
      <c r="S113" s="1421">
        <v>0</v>
      </c>
      <c r="T113" s="1421">
        <v>0</v>
      </c>
      <c r="U113" s="1421">
        <v>0</v>
      </c>
      <c r="V113" s="1421">
        <v>0</v>
      </c>
      <c r="W113" s="1421">
        <v>0</v>
      </c>
      <c r="X113" s="1584">
        <f>+T113+S113+R113+Q113+P113</f>
        <v>0</v>
      </c>
      <c r="Y113" s="3610"/>
    </row>
    <row r="114" spans="1:25" ht="12.75">
      <c r="A114" s="3214"/>
      <c r="B114" s="3214"/>
      <c r="C114" s="3214"/>
      <c r="D114" s="3214"/>
      <c r="E114" s="3214"/>
      <c r="F114" s="3214"/>
      <c r="G114" s="3214"/>
      <c r="H114" s="3214"/>
      <c r="I114" s="3214"/>
      <c r="J114" s="3214"/>
      <c r="K114" s="3214"/>
      <c r="L114" s="3214"/>
      <c r="M114" s="3214"/>
      <c r="N114" s="3214"/>
      <c r="O114" s="3214"/>
      <c r="P114" s="3214"/>
      <c r="Q114" s="3214"/>
      <c r="R114" s="3214"/>
      <c r="S114" s="3214"/>
      <c r="T114" s="3214"/>
      <c r="U114" s="3214"/>
      <c r="V114" s="3214"/>
      <c r="W114" s="3214"/>
      <c r="X114" s="3214"/>
    </row>
    <row r="115" spans="1:25" ht="12.75">
      <c r="A115" s="3214"/>
      <c r="B115" s="3214"/>
      <c r="C115" s="3214"/>
      <c r="D115" s="3214"/>
      <c r="E115" s="3214"/>
      <c r="F115" s="3214"/>
      <c r="G115" s="3214"/>
      <c r="H115" s="3214"/>
      <c r="I115" s="3214"/>
      <c r="J115" s="3214"/>
      <c r="K115" s="3214"/>
      <c r="L115" s="3214"/>
      <c r="M115" s="3214"/>
      <c r="N115" s="3214"/>
      <c r="O115" s="3214"/>
      <c r="P115" s="3214"/>
      <c r="Q115" s="3214"/>
      <c r="R115" s="3214"/>
      <c r="S115" s="3214"/>
      <c r="T115" s="3214"/>
      <c r="U115" s="3214"/>
      <c r="V115" s="3214"/>
      <c r="W115" s="3214"/>
      <c r="X115" s="3214"/>
    </row>
    <row r="116" spans="1:25" ht="12.75">
      <c r="A116" s="3214"/>
      <c r="B116" s="3214"/>
      <c r="C116" s="3214"/>
      <c r="D116" s="3214"/>
      <c r="E116" s="3214"/>
      <c r="F116" s="3214"/>
      <c r="G116" s="3214"/>
      <c r="H116" s="3214"/>
      <c r="I116" s="3214"/>
      <c r="J116" s="3214"/>
      <c r="K116" s="3214"/>
      <c r="L116" s="3214"/>
      <c r="M116" s="3214"/>
      <c r="N116" s="3214"/>
      <c r="O116" s="3214"/>
      <c r="P116" s="3214"/>
      <c r="Q116" s="3214"/>
      <c r="R116" s="3214"/>
      <c r="S116" s="3214"/>
      <c r="T116" s="3214"/>
      <c r="U116" s="3214"/>
      <c r="V116" s="3214"/>
      <c r="W116" s="3214"/>
      <c r="X116" s="3214"/>
    </row>
    <row r="117" spans="1:25" ht="12.75">
      <c r="A117" s="3214"/>
      <c r="B117" s="3214"/>
      <c r="C117" s="3214"/>
      <c r="D117" s="3214"/>
      <c r="E117" s="3214"/>
      <c r="F117" s="3214"/>
      <c r="G117" s="3214"/>
      <c r="H117" s="3214"/>
      <c r="I117" s="3214"/>
      <c r="J117" s="3214"/>
      <c r="K117" s="3214"/>
      <c r="L117" s="3214"/>
      <c r="M117" s="3214"/>
      <c r="N117" s="3214"/>
      <c r="O117" s="3214"/>
      <c r="P117" s="3214"/>
      <c r="Q117" s="3214"/>
      <c r="R117" s="3214"/>
      <c r="S117" s="3214"/>
      <c r="T117" s="3214"/>
      <c r="U117" s="3214"/>
      <c r="V117" s="3214"/>
      <c r="W117" s="3214"/>
      <c r="X117" s="3214"/>
    </row>
    <row r="118" spans="1:25" ht="12.75">
      <c r="A118" s="3214"/>
      <c r="B118" s="3214"/>
      <c r="C118" s="3214"/>
      <c r="D118" s="3214"/>
      <c r="E118" s="3214"/>
      <c r="F118" s="3214"/>
      <c r="G118" s="3214"/>
      <c r="H118" s="3214"/>
      <c r="I118" s="3214"/>
      <c r="J118" s="3214"/>
      <c r="K118" s="3214"/>
      <c r="L118" s="3214"/>
      <c r="M118" s="3214"/>
      <c r="N118" s="3214"/>
      <c r="O118" s="3214"/>
      <c r="P118" s="3214"/>
      <c r="Q118" s="3214"/>
      <c r="R118" s="3214"/>
      <c r="S118" s="3214"/>
      <c r="T118" s="3214"/>
      <c r="U118" s="3214"/>
      <c r="V118" s="3214"/>
      <c r="W118" s="3214"/>
      <c r="X118" s="3214"/>
    </row>
    <row r="119" spans="1:25">
      <c r="P119" s="243"/>
    </row>
    <row r="120" spans="1:25">
      <c r="P120" s="243"/>
    </row>
    <row r="121" spans="1:25">
      <c r="P121" s="243"/>
    </row>
    <row r="122" spans="1:25">
      <c r="P122" s="243"/>
    </row>
    <row r="123" spans="1:25">
      <c r="P123" s="243"/>
    </row>
    <row r="124" spans="1:25">
      <c r="P124" s="243"/>
    </row>
    <row r="125" spans="1:25">
      <c r="P125" s="243"/>
    </row>
    <row r="126" spans="1:25">
      <c r="P126" s="243"/>
    </row>
    <row r="127" spans="1:25">
      <c r="P127" s="243"/>
    </row>
    <row r="128" spans="1:25">
      <c r="P128" s="243"/>
    </row>
    <row r="129" spans="16:16">
      <c r="P129" s="243"/>
    </row>
    <row r="130" spans="16:16">
      <c r="P130" s="243"/>
    </row>
    <row r="131" spans="16:16">
      <c r="P131" s="243"/>
    </row>
    <row r="132" spans="16:16">
      <c r="P132" s="243"/>
    </row>
    <row r="133" spans="16:16">
      <c r="P133" s="243"/>
    </row>
    <row r="134" spans="16:16">
      <c r="P134" s="243"/>
    </row>
    <row r="135" spans="16:16">
      <c r="P135" s="243"/>
    </row>
    <row r="136" spans="16:16">
      <c r="P136" s="243"/>
    </row>
    <row r="137" spans="16:16">
      <c r="P137" s="243"/>
    </row>
    <row r="138" spans="16:16">
      <c r="P138" s="243"/>
    </row>
    <row r="139" spans="16:16">
      <c r="P139" s="243"/>
    </row>
    <row r="140" spans="16:16">
      <c r="P140" s="243"/>
    </row>
    <row r="141" spans="16:16">
      <c r="P141" s="243"/>
    </row>
    <row r="142" spans="16:16">
      <c r="P142" s="243"/>
    </row>
    <row r="143" spans="16:16">
      <c r="P143" s="243"/>
    </row>
    <row r="144" spans="16:16">
      <c r="P144" s="243"/>
    </row>
    <row r="145" spans="16:16">
      <c r="P145" s="243"/>
    </row>
    <row r="146" spans="16:16">
      <c r="P146" s="243"/>
    </row>
    <row r="147" spans="16:16">
      <c r="P147" s="243"/>
    </row>
    <row r="148" spans="16:16">
      <c r="P148" s="243"/>
    </row>
    <row r="149" spans="16:16">
      <c r="P149" s="243"/>
    </row>
    <row r="150" spans="16:16">
      <c r="P150" s="243"/>
    </row>
    <row r="151" spans="16:16">
      <c r="P151" s="243"/>
    </row>
    <row r="152" spans="16:16">
      <c r="P152" s="243"/>
    </row>
    <row r="153" spans="16:16">
      <c r="P153" s="243"/>
    </row>
    <row r="154" spans="16:16">
      <c r="P154" s="243"/>
    </row>
    <row r="155" spans="16:16">
      <c r="P155" s="243"/>
    </row>
    <row r="156" spans="16:16">
      <c r="P156" s="243"/>
    </row>
    <row r="157" spans="16:16">
      <c r="P157" s="243"/>
    </row>
    <row r="158" spans="16:16">
      <c r="P158" s="243"/>
    </row>
    <row r="159" spans="16:16">
      <c r="P159" s="243"/>
    </row>
    <row r="160" spans="16:16">
      <c r="P160" s="243"/>
    </row>
    <row r="161" spans="16:16">
      <c r="P161" s="243"/>
    </row>
    <row r="162" spans="16:16">
      <c r="P162" s="243"/>
    </row>
    <row r="163" spans="16:16">
      <c r="P163" s="243"/>
    </row>
    <row r="164" spans="16:16">
      <c r="P164" s="243"/>
    </row>
    <row r="165" spans="16:16">
      <c r="P165" s="243"/>
    </row>
    <row r="166" spans="16:16">
      <c r="P166" s="243"/>
    </row>
    <row r="167" spans="16:16">
      <c r="P167" s="243"/>
    </row>
    <row r="168" spans="16:16">
      <c r="P168" s="243"/>
    </row>
    <row r="169" spans="16:16">
      <c r="P169" s="243"/>
    </row>
    <row r="170" spans="16:16">
      <c r="P170" s="243"/>
    </row>
    <row r="171" spans="16:16">
      <c r="P171" s="243"/>
    </row>
    <row r="172" spans="16:16">
      <c r="P172" s="243"/>
    </row>
    <row r="173" spans="16:16">
      <c r="P173" s="243"/>
    </row>
    <row r="174" spans="16:16">
      <c r="P174" s="243"/>
    </row>
    <row r="175" spans="16:16">
      <c r="P175" s="243"/>
    </row>
    <row r="176" spans="16:16">
      <c r="P176" s="243"/>
    </row>
    <row r="177" spans="1:25">
      <c r="P177" s="243"/>
    </row>
    <row r="178" spans="1:25">
      <c r="P178" s="243"/>
    </row>
    <row r="179" spans="1:25">
      <c r="P179" s="243"/>
    </row>
    <row r="180" spans="1:25">
      <c r="P180" s="243"/>
    </row>
    <row r="181" spans="1:25">
      <c r="P181" s="243"/>
    </row>
    <row r="182" spans="1:25">
      <c r="P182" s="243"/>
    </row>
    <row r="183" spans="1:25" ht="12.75">
      <c r="A183" s="3214"/>
      <c r="B183" s="3214" t="s">
        <v>83</v>
      </c>
      <c r="C183" s="3214"/>
      <c r="D183" s="3214"/>
      <c r="E183" s="3214"/>
      <c r="F183" s="3214"/>
      <c r="G183" s="3214"/>
      <c r="H183" s="3214"/>
      <c r="I183" s="3214"/>
      <c r="J183" s="3214"/>
      <c r="K183" s="3214"/>
      <c r="L183" s="3214"/>
      <c r="M183" s="3214"/>
      <c r="N183" s="3214"/>
      <c r="O183" s="3214"/>
      <c r="P183" s="3214"/>
      <c r="Q183" s="3214"/>
      <c r="R183" s="3214"/>
      <c r="S183" s="3214"/>
      <c r="T183" s="3214"/>
      <c r="U183" s="3214"/>
      <c r="V183" s="3214"/>
      <c r="W183" s="3214"/>
      <c r="X183" s="3214"/>
      <c r="Y183" s="3214"/>
    </row>
    <row r="184" spans="1:25" ht="12.75">
      <c r="A184" s="3214"/>
      <c r="P184" s="243"/>
      <c r="Y184" s="3214"/>
    </row>
    <row r="185" spans="1:25" ht="12.75">
      <c r="A185" s="3214"/>
      <c r="P185" s="243"/>
      <c r="Y185" s="3214"/>
    </row>
    <row r="186" spans="1:25" ht="12.75">
      <c r="A186" s="3214"/>
      <c r="P186" s="243"/>
      <c r="Y186" s="3214"/>
    </row>
    <row r="187" spans="1:25" ht="12.75">
      <c r="A187" s="3214"/>
      <c r="P187" s="243"/>
      <c r="Y187" s="3214"/>
    </row>
    <row r="188" spans="1:25" ht="12.75">
      <c r="A188" s="3214"/>
      <c r="P188" s="243"/>
      <c r="Y188" s="3214"/>
    </row>
    <row r="189" spans="1:25" ht="12.75">
      <c r="A189" s="3214"/>
      <c r="P189" s="243"/>
      <c r="Y189" s="3214"/>
    </row>
    <row r="190" spans="1:25" ht="12.75">
      <c r="A190" s="3214"/>
      <c r="P190" s="243"/>
      <c r="Y190" s="3214"/>
    </row>
    <row r="191" spans="1:25" ht="12.75">
      <c r="A191" s="3214"/>
      <c r="P191" s="243"/>
      <c r="Y191" s="3214"/>
    </row>
    <row r="192" spans="1:25" ht="12.75">
      <c r="A192" s="3214"/>
      <c r="P192" s="243"/>
      <c r="Y192" s="3214"/>
    </row>
    <row r="193" spans="1:25" ht="12.75">
      <c r="A193" s="3214"/>
      <c r="P193" s="243"/>
      <c r="Y193" s="3214"/>
    </row>
    <row r="194" spans="1:25" ht="12.75">
      <c r="A194" s="3214"/>
      <c r="B194" s="3214"/>
      <c r="C194" s="3214"/>
      <c r="D194" s="3214"/>
      <c r="E194" s="3214"/>
      <c r="F194" s="3214"/>
      <c r="G194" s="3214"/>
      <c r="H194" s="3214"/>
      <c r="I194" s="3214"/>
      <c r="J194" s="3214"/>
      <c r="K194" s="3214"/>
      <c r="L194" s="3214"/>
      <c r="M194" s="3214"/>
      <c r="N194" s="3214"/>
      <c r="O194" s="3214"/>
      <c r="P194" s="3214"/>
      <c r="Q194" s="3214"/>
      <c r="R194" s="3214"/>
      <c r="S194" s="3214"/>
      <c r="T194" s="3214"/>
      <c r="U194" s="3214"/>
      <c r="V194" s="3214"/>
      <c r="W194" s="3214"/>
      <c r="X194" s="3214"/>
      <c r="Y194" s="3214"/>
    </row>
    <row r="195" spans="1:25">
      <c r="P195" s="243"/>
    </row>
    <row r="196" spans="1:25">
      <c r="P196" s="243"/>
    </row>
    <row r="197" spans="1:25">
      <c r="P197" s="243"/>
    </row>
    <row r="198" spans="1:25">
      <c r="P198" s="243"/>
    </row>
    <row r="199" spans="1:25">
      <c r="P199" s="243"/>
    </row>
    <row r="200" spans="1:25">
      <c r="P200" s="243"/>
    </row>
    <row r="201" spans="1:25">
      <c r="P201" s="243"/>
    </row>
    <row r="202" spans="1:25">
      <c r="P202" s="243"/>
    </row>
    <row r="203" spans="1:25">
      <c r="P203" s="243"/>
    </row>
    <row r="204" spans="1:25">
      <c r="P204" s="243"/>
    </row>
    <row r="205" spans="1:25">
      <c r="P205" s="243"/>
    </row>
    <row r="206" spans="1:25">
      <c r="P206" s="243"/>
    </row>
    <row r="207" spans="1:25">
      <c r="P207" s="243"/>
    </row>
    <row r="208" spans="1:25">
      <c r="P208" s="243"/>
    </row>
    <row r="209" spans="16:16">
      <c r="P209" s="243"/>
    </row>
    <row r="210" spans="16:16">
      <c r="P210" s="243"/>
    </row>
    <row r="211" spans="16:16">
      <c r="P211" s="243"/>
    </row>
    <row r="212" spans="16:16">
      <c r="P212" s="243"/>
    </row>
    <row r="213" spans="16:16">
      <c r="P213" s="243"/>
    </row>
    <row r="214" spans="16:16">
      <c r="P214" s="243"/>
    </row>
    <row r="215" spans="16:16">
      <c r="P215" s="243"/>
    </row>
    <row r="216" spans="16:16">
      <c r="P216" s="243"/>
    </row>
    <row r="217" spans="16:16">
      <c r="P217" s="243"/>
    </row>
    <row r="218" spans="16:16">
      <c r="P218" s="243"/>
    </row>
    <row r="219" spans="16:16">
      <c r="P219" s="243"/>
    </row>
    <row r="220" spans="16:16">
      <c r="P220" s="243"/>
    </row>
    <row r="221" spans="16:16">
      <c r="P221" s="243"/>
    </row>
    <row r="222" spans="16:16">
      <c r="P222" s="243"/>
    </row>
    <row r="223" spans="16:16">
      <c r="P223" s="243"/>
    </row>
    <row r="224" spans="16:16">
      <c r="P224" s="243"/>
    </row>
    <row r="225" spans="16:16">
      <c r="P225" s="243"/>
    </row>
    <row r="226" spans="16:16">
      <c r="P226" s="243"/>
    </row>
    <row r="227" spans="16:16">
      <c r="P227" s="243"/>
    </row>
    <row r="228" spans="16:16">
      <c r="P228" s="243"/>
    </row>
    <row r="229" spans="16:16">
      <c r="P229" s="243"/>
    </row>
    <row r="230" spans="16:16">
      <c r="P230" s="243"/>
    </row>
    <row r="231" spans="16:16">
      <c r="P231" s="243"/>
    </row>
    <row r="232" spans="16:16">
      <c r="P232" s="243"/>
    </row>
    <row r="233" spans="16:16">
      <c r="P233" s="243"/>
    </row>
    <row r="234" spans="16:16">
      <c r="P234" s="243"/>
    </row>
    <row r="235" spans="16:16">
      <c r="P235" s="243"/>
    </row>
    <row r="236" spans="16:16">
      <c r="P236" s="243"/>
    </row>
    <row r="237" spans="16:16">
      <c r="P237" s="243"/>
    </row>
    <row r="238" spans="16:16">
      <c r="P238" s="243"/>
    </row>
    <row r="239" spans="16:16">
      <c r="P239" s="243"/>
    </row>
    <row r="240" spans="16:16">
      <c r="P240" s="243"/>
    </row>
    <row r="241" spans="16:16">
      <c r="P241" s="243"/>
    </row>
    <row r="242" spans="16:16">
      <c r="P242" s="243"/>
    </row>
    <row r="243" spans="16:16">
      <c r="P243" s="243"/>
    </row>
    <row r="244" spans="16:16">
      <c r="P244" s="243"/>
    </row>
    <row r="245" spans="16:16">
      <c r="P245" s="243"/>
    </row>
    <row r="246" spans="16:16">
      <c r="P246" s="243"/>
    </row>
    <row r="247" spans="16:16">
      <c r="P247" s="243"/>
    </row>
    <row r="248" spans="16:16">
      <c r="P248" s="243"/>
    </row>
    <row r="249" spans="16:16">
      <c r="P249" s="243"/>
    </row>
    <row r="250" spans="16:16">
      <c r="P250" s="243"/>
    </row>
    <row r="251" spans="16:16">
      <c r="P251" s="243"/>
    </row>
    <row r="252" spans="16:16">
      <c r="P252" s="243"/>
    </row>
    <row r="253" spans="16:16">
      <c r="P253" s="243"/>
    </row>
    <row r="254" spans="16:16">
      <c r="P254" s="243"/>
    </row>
    <row r="255" spans="16:16">
      <c r="P255" s="243"/>
    </row>
    <row r="256" spans="16:16">
      <c r="P256" s="243"/>
    </row>
    <row r="257" spans="16:16">
      <c r="P257" s="243"/>
    </row>
    <row r="258" spans="16:16">
      <c r="P258" s="243"/>
    </row>
    <row r="259" spans="16:16">
      <c r="P259" s="243"/>
    </row>
    <row r="260" spans="16:16">
      <c r="P260" s="243"/>
    </row>
    <row r="261" spans="16:16">
      <c r="P261" s="243"/>
    </row>
    <row r="262" spans="16:16">
      <c r="P262" s="243"/>
    </row>
    <row r="263" spans="16:16">
      <c r="P263" s="243"/>
    </row>
    <row r="264" spans="16:16">
      <c r="P264" s="243"/>
    </row>
    <row r="265" spans="16:16">
      <c r="P265" s="243"/>
    </row>
    <row r="266" spans="16:16">
      <c r="P266" s="243"/>
    </row>
    <row r="267" spans="16:16">
      <c r="P267" s="243"/>
    </row>
    <row r="268" spans="16:16">
      <c r="P268" s="243"/>
    </row>
    <row r="269" spans="16:16">
      <c r="P269" s="243"/>
    </row>
    <row r="270" spans="16:16">
      <c r="P270" s="243"/>
    </row>
    <row r="271" spans="16:16">
      <c r="P271" s="243"/>
    </row>
    <row r="272" spans="16:16">
      <c r="P272" s="243"/>
    </row>
    <row r="273" spans="16:16">
      <c r="P273" s="243"/>
    </row>
    <row r="274" spans="16:16">
      <c r="P274" s="243"/>
    </row>
    <row r="275" spans="16:16">
      <c r="P275" s="243"/>
    </row>
    <row r="276" spans="16:16">
      <c r="P276" s="243"/>
    </row>
    <row r="277" spans="16:16">
      <c r="P277" s="243"/>
    </row>
    <row r="278" spans="16:16">
      <c r="P278" s="243"/>
    </row>
    <row r="279" spans="16:16">
      <c r="P279" s="243"/>
    </row>
    <row r="280" spans="16:16">
      <c r="P280" s="243"/>
    </row>
    <row r="281" spans="16:16">
      <c r="P281" s="243"/>
    </row>
    <row r="282" spans="16:16">
      <c r="P282" s="243"/>
    </row>
    <row r="283" spans="16:16">
      <c r="P283" s="243"/>
    </row>
    <row r="284" spans="16:16">
      <c r="P284" s="243"/>
    </row>
    <row r="285" spans="16:16">
      <c r="P285" s="243"/>
    </row>
    <row r="286" spans="16:16">
      <c r="P286" s="243"/>
    </row>
    <row r="287" spans="16:16">
      <c r="P287" s="243"/>
    </row>
    <row r="288" spans="16:16">
      <c r="P288" s="243"/>
    </row>
    <row r="289" spans="16:16">
      <c r="P289" s="243"/>
    </row>
    <row r="290" spans="16:16">
      <c r="P290" s="243"/>
    </row>
    <row r="291" spans="16:16">
      <c r="P291" s="243"/>
    </row>
    <row r="292" spans="16:16">
      <c r="P292" s="243"/>
    </row>
    <row r="293" spans="16:16">
      <c r="P293" s="243"/>
    </row>
    <row r="294" spans="16:16">
      <c r="P294" s="243"/>
    </row>
    <row r="295" spans="16:16">
      <c r="P295" s="243"/>
    </row>
    <row r="296" spans="16:16">
      <c r="P296" s="243"/>
    </row>
    <row r="297" spans="16:16">
      <c r="P297" s="243"/>
    </row>
    <row r="298" spans="16:16">
      <c r="P298" s="243"/>
    </row>
    <row r="299" spans="16:16">
      <c r="P299" s="243"/>
    </row>
    <row r="300" spans="16:16">
      <c r="P300" s="243"/>
    </row>
    <row r="301" spans="16:16">
      <c r="P301" s="243"/>
    </row>
    <row r="302" spans="16:16">
      <c r="P302" s="243"/>
    </row>
    <row r="303" spans="16:16">
      <c r="P303" s="243"/>
    </row>
    <row r="304" spans="16:16">
      <c r="P304" s="243"/>
    </row>
    <row r="305" spans="16:16">
      <c r="P305" s="243"/>
    </row>
    <row r="306" spans="16:16">
      <c r="P306" s="243"/>
    </row>
    <row r="307" spans="16:16">
      <c r="P307" s="243"/>
    </row>
    <row r="308" spans="16:16">
      <c r="P308" s="243"/>
    </row>
    <row r="309" spans="16:16">
      <c r="P309" s="243"/>
    </row>
    <row r="310" spans="16:16">
      <c r="P310" s="243"/>
    </row>
    <row r="311" spans="16:16">
      <c r="P311" s="243"/>
    </row>
    <row r="312" spans="16:16">
      <c r="P312" s="243"/>
    </row>
    <row r="313" spans="16:16">
      <c r="P313" s="243"/>
    </row>
    <row r="314" spans="16:16">
      <c r="P314" s="243"/>
    </row>
    <row r="315" spans="16:16">
      <c r="P315" s="243"/>
    </row>
    <row r="316" spans="16:16">
      <c r="P316" s="243"/>
    </row>
    <row r="317" spans="16:16">
      <c r="P317" s="243"/>
    </row>
    <row r="318" spans="16:16">
      <c r="P318" s="243"/>
    </row>
    <row r="319" spans="16:16">
      <c r="P319" s="243"/>
    </row>
    <row r="320" spans="16:16">
      <c r="P320" s="243"/>
    </row>
    <row r="321" spans="16:16">
      <c r="P321" s="243"/>
    </row>
    <row r="322" spans="16:16">
      <c r="P322" s="243"/>
    </row>
    <row r="323" spans="16:16">
      <c r="P323" s="243"/>
    </row>
    <row r="324" spans="16:16">
      <c r="P324" s="243"/>
    </row>
    <row r="325" spans="16:16">
      <c r="P325" s="243"/>
    </row>
    <row r="326" spans="16:16">
      <c r="P326" s="243"/>
    </row>
    <row r="327" spans="16:16">
      <c r="P327" s="243"/>
    </row>
    <row r="328" spans="16:16">
      <c r="P328" s="243"/>
    </row>
    <row r="329" spans="16:16">
      <c r="P329" s="243"/>
    </row>
    <row r="330" spans="16:16">
      <c r="P330" s="243"/>
    </row>
    <row r="331" spans="16:16">
      <c r="P331" s="243"/>
    </row>
    <row r="332" spans="16:16">
      <c r="P332" s="243"/>
    </row>
    <row r="333" spans="16:16">
      <c r="P333" s="243"/>
    </row>
    <row r="334" spans="16:16">
      <c r="P334" s="243"/>
    </row>
    <row r="335" spans="16:16">
      <c r="P335" s="243"/>
    </row>
    <row r="336" spans="16:16">
      <c r="P336" s="243"/>
    </row>
    <row r="337" spans="16:16">
      <c r="P337" s="243"/>
    </row>
    <row r="338" spans="16:16">
      <c r="P338" s="243"/>
    </row>
    <row r="339" spans="16:16">
      <c r="P339" s="243"/>
    </row>
    <row r="340" spans="16:16">
      <c r="P340" s="243"/>
    </row>
    <row r="341" spans="16:16">
      <c r="P341" s="243"/>
    </row>
    <row r="342" spans="16:16">
      <c r="P342" s="243"/>
    </row>
    <row r="343" spans="16:16">
      <c r="P343" s="243"/>
    </row>
    <row r="344" spans="16:16">
      <c r="P344" s="243"/>
    </row>
    <row r="345" spans="16:16">
      <c r="P345" s="243"/>
    </row>
    <row r="346" spans="16:16">
      <c r="P346" s="243"/>
    </row>
    <row r="347" spans="16:16">
      <c r="P347" s="243"/>
    </row>
    <row r="348" spans="16:16">
      <c r="P348" s="243"/>
    </row>
    <row r="349" spans="16:16">
      <c r="P349" s="243"/>
    </row>
    <row r="350" spans="16:16">
      <c r="P350" s="243"/>
    </row>
    <row r="351" spans="16:16">
      <c r="P351" s="243"/>
    </row>
    <row r="352" spans="16:16">
      <c r="P352" s="243"/>
    </row>
    <row r="353" spans="16:16">
      <c r="P353" s="243"/>
    </row>
    <row r="354" spans="16:16">
      <c r="P354" s="243"/>
    </row>
    <row r="355" spans="16:16">
      <c r="P355" s="243"/>
    </row>
    <row r="356" spans="16:16">
      <c r="P356" s="243"/>
    </row>
    <row r="357" spans="16:16">
      <c r="P357" s="243"/>
    </row>
    <row r="358" spans="16:16">
      <c r="P358" s="243"/>
    </row>
    <row r="359" spans="16:16">
      <c r="P359" s="243"/>
    </row>
    <row r="360" spans="16:16">
      <c r="P360" s="243"/>
    </row>
    <row r="361" spans="16:16">
      <c r="P361" s="243"/>
    </row>
    <row r="362" spans="16:16">
      <c r="P362" s="243"/>
    </row>
    <row r="363" spans="16:16">
      <c r="P363" s="243"/>
    </row>
    <row r="364" spans="16:16">
      <c r="P364" s="243"/>
    </row>
    <row r="365" spans="16:16">
      <c r="P365" s="243"/>
    </row>
    <row r="366" spans="16:16">
      <c r="P366" s="243"/>
    </row>
    <row r="367" spans="16:16">
      <c r="P367" s="243"/>
    </row>
    <row r="368" spans="16:16">
      <c r="P368" s="243"/>
    </row>
    <row r="369" spans="16:16">
      <c r="P369" s="243"/>
    </row>
    <row r="370" spans="16:16">
      <c r="P370" s="243"/>
    </row>
    <row r="371" spans="16:16">
      <c r="P371" s="243"/>
    </row>
    <row r="372" spans="16:16">
      <c r="P372" s="243"/>
    </row>
    <row r="373" spans="16:16">
      <c r="P373" s="243"/>
    </row>
    <row r="374" spans="16:16">
      <c r="P374" s="243"/>
    </row>
    <row r="375" spans="16:16">
      <c r="P375" s="243"/>
    </row>
    <row r="376" spans="16:16">
      <c r="P376" s="243"/>
    </row>
    <row r="377" spans="16:16">
      <c r="P377" s="243"/>
    </row>
    <row r="378" spans="16:16">
      <c r="P378" s="243"/>
    </row>
    <row r="379" spans="16:16">
      <c r="P379" s="243"/>
    </row>
    <row r="380" spans="16:16">
      <c r="P380" s="243"/>
    </row>
    <row r="381" spans="16:16">
      <c r="P381" s="243"/>
    </row>
    <row r="382" spans="16:16">
      <c r="P382" s="243"/>
    </row>
    <row r="383" spans="16:16">
      <c r="P383" s="243"/>
    </row>
    <row r="384" spans="16:16">
      <c r="P384" s="243"/>
    </row>
    <row r="385" spans="16:16">
      <c r="P385" s="243"/>
    </row>
    <row r="386" spans="16:16">
      <c r="P386" s="243"/>
    </row>
    <row r="387" spans="16:16">
      <c r="P387" s="243"/>
    </row>
    <row r="388" spans="16:16">
      <c r="P388" s="243"/>
    </row>
    <row r="389" spans="16:16">
      <c r="P389" s="243"/>
    </row>
    <row r="390" spans="16:16">
      <c r="P390" s="243"/>
    </row>
    <row r="391" spans="16:16">
      <c r="P391" s="243"/>
    </row>
    <row r="392" spans="16:16">
      <c r="P392" s="243"/>
    </row>
    <row r="393" spans="16:16">
      <c r="P393" s="243"/>
    </row>
    <row r="394" spans="16:16">
      <c r="P394" s="243"/>
    </row>
    <row r="395" spans="16:16">
      <c r="P395" s="243"/>
    </row>
    <row r="396" spans="16:16">
      <c r="P396" s="243"/>
    </row>
    <row r="397" spans="16:16">
      <c r="P397" s="243"/>
    </row>
    <row r="398" spans="16:16">
      <c r="P398" s="243"/>
    </row>
    <row r="399" spans="16:16">
      <c r="P399" s="243"/>
    </row>
    <row r="400" spans="16:16">
      <c r="P400" s="243"/>
    </row>
    <row r="401" spans="16:16">
      <c r="P401" s="243"/>
    </row>
    <row r="402" spans="16:16">
      <c r="P402" s="243"/>
    </row>
    <row r="403" spans="16:16">
      <c r="P403" s="243"/>
    </row>
    <row r="404" spans="16:16">
      <c r="P404" s="243"/>
    </row>
    <row r="405" spans="16:16">
      <c r="P405" s="243"/>
    </row>
    <row r="406" spans="16:16">
      <c r="P406" s="243"/>
    </row>
    <row r="407" spans="16:16">
      <c r="P407" s="243"/>
    </row>
    <row r="408" spans="16:16">
      <c r="P408" s="243"/>
    </row>
    <row r="409" spans="16:16">
      <c r="P409" s="243"/>
    </row>
    <row r="410" spans="16:16">
      <c r="P410" s="243"/>
    </row>
    <row r="411" spans="16:16">
      <c r="P411" s="243"/>
    </row>
    <row r="412" spans="16:16">
      <c r="P412" s="243"/>
    </row>
    <row r="413" spans="16:16">
      <c r="P413" s="243"/>
    </row>
    <row r="414" spans="16:16">
      <c r="P414" s="243"/>
    </row>
    <row r="415" spans="16:16">
      <c r="P415" s="243"/>
    </row>
    <row r="416" spans="16:16">
      <c r="P416" s="243"/>
    </row>
    <row r="417" spans="16:16">
      <c r="P417" s="243"/>
    </row>
    <row r="418" spans="16:16">
      <c r="P418" s="243"/>
    </row>
    <row r="419" spans="16:16">
      <c r="P419" s="243"/>
    </row>
    <row r="420" spans="16:16">
      <c r="P420" s="243"/>
    </row>
    <row r="421" spans="16:16">
      <c r="P421" s="243"/>
    </row>
    <row r="422" spans="16:16">
      <c r="P422" s="243"/>
    </row>
    <row r="423" spans="16:16">
      <c r="P423" s="243"/>
    </row>
    <row r="424" spans="16:16">
      <c r="P424" s="243"/>
    </row>
    <row r="425" spans="16:16">
      <c r="P425" s="243"/>
    </row>
    <row r="426" spans="16:16">
      <c r="P426" s="243"/>
    </row>
    <row r="427" spans="16:16">
      <c r="P427" s="243"/>
    </row>
    <row r="428" spans="16:16">
      <c r="P428" s="243"/>
    </row>
    <row r="429" spans="16:16">
      <c r="P429" s="243"/>
    </row>
    <row r="430" spans="16:16">
      <c r="P430" s="243"/>
    </row>
    <row r="431" spans="16:16">
      <c r="P431" s="243"/>
    </row>
    <row r="432" spans="16:16">
      <c r="P432" s="243"/>
    </row>
    <row r="433" spans="16:16">
      <c r="P433" s="243"/>
    </row>
    <row r="434" spans="16:16">
      <c r="P434" s="243"/>
    </row>
    <row r="435" spans="16:16">
      <c r="P435" s="243"/>
    </row>
    <row r="436" spans="16:16">
      <c r="P436" s="243"/>
    </row>
    <row r="437" spans="16:16">
      <c r="P437" s="243"/>
    </row>
    <row r="438" spans="16:16">
      <c r="P438" s="243"/>
    </row>
    <row r="439" spans="16:16">
      <c r="P439" s="243"/>
    </row>
    <row r="440" spans="16:16">
      <c r="P440" s="243"/>
    </row>
    <row r="441" spans="16:16">
      <c r="P441" s="243"/>
    </row>
    <row r="442" spans="16:16">
      <c r="P442" s="243"/>
    </row>
    <row r="443" spans="16:16">
      <c r="P443" s="243"/>
    </row>
    <row r="444" spans="16:16">
      <c r="P444" s="243"/>
    </row>
    <row r="445" spans="16:16">
      <c r="P445" s="243"/>
    </row>
    <row r="446" spans="16:16">
      <c r="P446" s="243"/>
    </row>
    <row r="447" spans="16:16">
      <c r="P447" s="243"/>
    </row>
    <row r="448" spans="16:16">
      <c r="P448" s="243"/>
    </row>
    <row r="449" spans="16:16">
      <c r="P449" s="243"/>
    </row>
    <row r="450" spans="16:16">
      <c r="P450" s="243"/>
    </row>
    <row r="451" spans="16:16">
      <c r="P451" s="243"/>
    </row>
    <row r="452" spans="16:16">
      <c r="P452" s="243"/>
    </row>
    <row r="453" spans="16:16">
      <c r="P453" s="243"/>
    </row>
    <row r="454" spans="16:16">
      <c r="P454" s="243"/>
    </row>
    <row r="455" spans="16:16">
      <c r="P455" s="243"/>
    </row>
    <row r="456" spans="16:16">
      <c r="P456" s="243"/>
    </row>
    <row r="457" spans="16:16">
      <c r="P457" s="243"/>
    </row>
    <row r="458" spans="16:16">
      <c r="P458" s="243"/>
    </row>
    <row r="459" spans="16:16">
      <c r="P459" s="243"/>
    </row>
    <row r="460" spans="16:16">
      <c r="P460" s="243"/>
    </row>
    <row r="461" spans="16:16">
      <c r="P461" s="243"/>
    </row>
    <row r="462" spans="16:16">
      <c r="P462" s="243"/>
    </row>
    <row r="463" spans="16:16">
      <c r="P463" s="243"/>
    </row>
    <row r="464" spans="16:16">
      <c r="P464" s="243"/>
    </row>
    <row r="465" spans="16:16">
      <c r="P465" s="243"/>
    </row>
    <row r="466" spans="16:16">
      <c r="P466" s="243"/>
    </row>
    <row r="467" spans="16:16">
      <c r="P467" s="243"/>
    </row>
    <row r="468" spans="16:16">
      <c r="P468" s="243"/>
    </row>
    <row r="469" spans="16:16">
      <c r="P469" s="243"/>
    </row>
    <row r="470" spans="16:16">
      <c r="P470" s="243"/>
    </row>
    <row r="471" spans="16:16">
      <c r="P471" s="243"/>
    </row>
    <row r="472" spans="16:16">
      <c r="P472" s="243"/>
    </row>
    <row r="473" spans="16:16">
      <c r="P473" s="243"/>
    </row>
    <row r="474" spans="16:16">
      <c r="P474" s="243"/>
    </row>
    <row r="475" spans="16:16">
      <c r="P475" s="243"/>
    </row>
    <row r="476" spans="16:16">
      <c r="P476" s="243"/>
    </row>
    <row r="477" spans="16:16">
      <c r="P477" s="243"/>
    </row>
    <row r="478" spans="16:16">
      <c r="P478" s="243"/>
    </row>
    <row r="479" spans="16:16">
      <c r="P479" s="243"/>
    </row>
    <row r="480" spans="16:16">
      <c r="P480" s="243"/>
    </row>
    <row r="481" spans="16:16">
      <c r="P481" s="243"/>
    </row>
    <row r="482" spans="16:16">
      <c r="P482" s="243"/>
    </row>
    <row r="483" spans="16:16">
      <c r="P483" s="243"/>
    </row>
    <row r="484" spans="16:16">
      <c r="P484" s="243"/>
    </row>
    <row r="485" spans="16:16">
      <c r="P485" s="243"/>
    </row>
    <row r="486" spans="16:16">
      <c r="P486" s="243"/>
    </row>
    <row r="487" spans="16:16">
      <c r="P487" s="243"/>
    </row>
    <row r="488" spans="16:16">
      <c r="P488" s="243"/>
    </row>
    <row r="489" spans="16:16">
      <c r="P489" s="243"/>
    </row>
    <row r="490" spans="16:16">
      <c r="P490" s="243"/>
    </row>
    <row r="491" spans="16:16">
      <c r="P491" s="243"/>
    </row>
    <row r="492" spans="16:16">
      <c r="P492" s="243"/>
    </row>
    <row r="493" spans="16:16">
      <c r="P493" s="243"/>
    </row>
    <row r="494" spans="16:16">
      <c r="P494" s="243"/>
    </row>
    <row r="495" spans="16:16">
      <c r="P495" s="243"/>
    </row>
    <row r="496" spans="16:16">
      <c r="P496" s="243"/>
    </row>
    <row r="497" spans="16:16">
      <c r="P497" s="243"/>
    </row>
    <row r="498" spans="16:16">
      <c r="P498" s="243"/>
    </row>
    <row r="499" spans="16:16">
      <c r="P499" s="243"/>
    </row>
    <row r="500" spans="16:16">
      <c r="P500" s="243"/>
    </row>
    <row r="501" spans="16:16">
      <c r="P501" s="243"/>
    </row>
    <row r="502" spans="16:16">
      <c r="P502" s="243"/>
    </row>
    <row r="503" spans="16:16">
      <c r="P503" s="243"/>
    </row>
    <row r="504" spans="16:16">
      <c r="P504" s="243"/>
    </row>
    <row r="505" spans="16:16">
      <c r="P505" s="243"/>
    </row>
    <row r="506" spans="16:16">
      <c r="P506" s="243"/>
    </row>
    <row r="507" spans="16:16">
      <c r="P507" s="243"/>
    </row>
    <row r="508" spans="16:16">
      <c r="P508" s="243"/>
    </row>
    <row r="509" spans="16:16">
      <c r="P509" s="243"/>
    </row>
    <row r="510" spans="16:16">
      <c r="P510" s="243"/>
    </row>
    <row r="511" spans="16:16">
      <c r="P511" s="243"/>
    </row>
    <row r="512" spans="16:16">
      <c r="P512" s="243"/>
    </row>
    <row r="513" spans="16:16">
      <c r="P513" s="243"/>
    </row>
    <row r="514" spans="16:16">
      <c r="P514" s="243"/>
    </row>
    <row r="515" spans="16:16">
      <c r="P515" s="243"/>
    </row>
    <row r="516" spans="16:16">
      <c r="P516" s="243"/>
    </row>
    <row r="517" spans="16:16">
      <c r="P517" s="243"/>
    </row>
    <row r="518" spans="16:16">
      <c r="P518" s="243"/>
    </row>
    <row r="519" spans="16:16">
      <c r="P519" s="243"/>
    </row>
    <row r="520" spans="16:16">
      <c r="P520" s="243"/>
    </row>
    <row r="521" spans="16:16">
      <c r="P521" s="243"/>
    </row>
    <row r="522" spans="16:16">
      <c r="P522" s="243"/>
    </row>
    <row r="523" spans="16:16">
      <c r="P523" s="243"/>
    </row>
    <row r="524" spans="16:16">
      <c r="P524" s="243"/>
    </row>
    <row r="525" spans="16:16">
      <c r="P525" s="243"/>
    </row>
    <row r="526" spans="16:16">
      <c r="P526" s="243"/>
    </row>
    <row r="527" spans="16:16">
      <c r="P527" s="243"/>
    </row>
    <row r="528" spans="16:16">
      <c r="P528" s="243"/>
    </row>
    <row r="529" spans="16:16">
      <c r="P529" s="243"/>
    </row>
    <row r="530" spans="16:16">
      <c r="P530" s="243"/>
    </row>
    <row r="531" spans="16:16">
      <c r="P531" s="243"/>
    </row>
    <row r="532" spans="16:16">
      <c r="P532" s="243"/>
    </row>
    <row r="533" spans="16:16">
      <c r="P533" s="243"/>
    </row>
    <row r="534" spans="16:16">
      <c r="P534" s="243"/>
    </row>
    <row r="535" spans="16:16">
      <c r="P535" s="243"/>
    </row>
  </sheetData>
  <mergeCells count="60">
    <mergeCell ref="A110:A113"/>
    <mergeCell ref="Y110:Y113"/>
    <mergeCell ref="C112:C113"/>
    <mergeCell ref="A50:A56"/>
    <mergeCell ref="Y50:Y56"/>
    <mergeCell ref="C52:C53"/>
    <mergeCell ref="C55:C56"/>
    <mergeCell ref="A93:A96"/>
    <mergeCell ref="Y93:Y96"/>
    <mergeCell ref="C95:C96"/>
    <mergeCell ref="A97:A109"/>
    <mergeCell ref="Y97:Y109"/>
    <mergeCell ref="Y89:Y92"/>
    <mergeCell ref="C91:C92"/>
    <mergeCell ref="Y73:Y75"/>
    <mergeCell ref="Y76:Y80"/>
    <mergeCell ref="A43:A49"/>
    <mergeCell ref="A32:A42"/>
    <mergeCell ref="C34:C37"/>
    <mergeCell ref="A21:A31"/>
    <mergeCell ref="C28:C31"/>
    <mergeCell ref="C23:C26"/>
    <mergeCell ref="C39:C42"/>
    <mergeCell ref="C45:C46"/>
    <mergeCell ref="C48:C49"/>
    <mergeCell ref="C105:C109"/>
    <mergeCell ref="A72:W72"/>
    <mergeCell ref="X105:X109"/>
    <mergeCell ref="X54:X56"/>
    <mergeCell ref="C62:C63"/>
    <mergeCell ref="X61:X63"/>
    <mergeCell ref="C99:C103"/>
    <mergeCell ref="A57:A63"/>
    <mergeCell ref="A89:A92"/>
    <mergeCell ref="X84:X88"/>
    <mergeCell ref="A64:A70"/>
    <mergeCell ref="C59:C60"/>
    <mergeCell ref="A5:Y5"/>
    <mergeCell ref="B6:B8"/>
    <mergeCell ref="C6:C8"/>
    <mergeCell ref="D6:D8"/>
    <mergeCell ref="E6:L7"/>
    <mergeCell ref="Y6:Y8"/>
    <mergeCell ref="X6:X8"/>
    <mergeCell ref="M6:M7"/>
    <mergeCell ref="O6:O7"/>
    <mergeCell ref="P6:P7"/>
    <mergeCell ref="Q6:W7"/>
    <mergeCell ref="Y64:Y70"/>
    <mergeCell ref="C66:C67"/>
    <mergeCell ref="X68:X70"/>
    <mergeCell ref="C69:C70"/>
    <mergeCell ref="Y32:Y42"/>
    <mergeCell ref="Y57:Y63"/>
    <mergeCell ref="X18:X20"/>
    <mergeCell ref="X27:X31"/>
    <mergeCell ref="Y21:Y31"/>
    <mergeCell ref="X38:X42"/>
    <mergeCell ref="Y43:Y49"/>
    <mergeCell ref="X47:X49"/>
  </mergeCells>
  <printOptions horizontalCentered="1"/>
  <pageMargins left="0.15748031496062992" right="0.15748031496062992" top="0.55118110236220474" bottom="0.31496062992125984" header="0.15748031496062992" footer="0.15748031496062992"/>
  <pageSetup paperSize="9" scale="68" firstPageNumber="35" orientation="landscape" useFirstPageNumber="1" r:id="rId1"/>
  <headerFooter alignWithMargins="0">
    <oddHeader>&amp;C&amp;"Arial,Kursywa"Wieloletnia prognoza finansowa Województwa Zachodniopomorskiego na lata 2017 - 2038&amp;"Arial,Normalny"
__________________________________________________________________________________________________________________________________</oddHeader>
    <oddFooter>&amp;C&amp;8&amp;P</oddFooter>
  </headerFooter>
  <rowBreaks count="1" manualBreakCount="1">
    <brk id="70" max="24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</sheetPr>
  <dimension ref="A1:CI834"/>
  <sheetViews>
    <sheetView showGridLines="0" view="pageBreakPreview" topLeftCell="A7" zoomScaleNormal="100" zoomScaleSheetLayoutView="100" workbookViewId="0">
      <pane xSplit="3" ySplit="3" topLeftCell="D10" activePane="bottomRight" state="frozen"/>
      <selection activeCell="A7" sqref="A7"/>
      <selection pane="topRight" activeCell="D7" sqref="D7"/>
      <selection pane="bottomLeft" activeCell="A10" sqref="A10"/>
      <selection pane="bottomRight" activeCell="D10" sqref="D10"/>
    </sheetView>
  </sheetViews>
  <sheetFormatPr defaultColWidth="9.140625" defaultRowHeight="12.75"/>
  <cols>
    <col min="1" max="1" width="4.7109375" style="447" customWidth="1"/>
    <col min="2" max="2" width="52.7109375" style="448" customWidth="1"/>
    <col min="3" max="3" width="10" style="448" customWidth="1"/>
    <col min="4" max="4" width="14.28515625" style="448" customWidth="1"/>
    <col min="5" max="5" width="10.42578125" style="448" hidden="1" customWidth="1"/>
    <col min="6" max="6" width="9.42578125" style="604" hidden="1" customWidth="1"/>
    <col min="7" max="8" width="9.42578125" style="449" hidden="1" customWidth="1"/>
    <col min="9" max="9" width="10.42578125" style="450" hidden="1" customWidth="1"/>
    <col min="10" max="10" width="11.140625" style="450" hidden="1" customWidth="1"/>
    <col min="11" max="12" width="10.42578125" style="450" hidden="1" customWidth="1"/>
    <col min="13" max="13" width="14.28515625" style="448" customWidth="1"/>
    <col min="14" max="14" width="12.28515625" style="448" hidden="1" customWidth="1"/>
    <col min="15" max="15" width="10.85546875" style="448" hidden="1" customWidth="1"/>
    <col min="16" max="16" width="13.140625" style="448" customWidth="1"/>
    <col min="17" max="17" width="10.28515625" style="448" customWidth="1"/>
    <col min="18" max="21" width="9.85546875" style="448" customWidth="1"/>
    <col min="22" max="23" width="10.42578125" style="448" bestFit="1" customWidth="1"/>
    <col min="24" max="24" width="12.5703125" style="448" customWidth="1"/>
    <col min="25" max="25" width="13.5703125" style="586" customWidth="1"/>
    <col min="26" max="26" width="15.140625" style="448" hidden="1" customWidth="1"/>
    <col min="27" max="27" width="11.140625" style="448" hidden="1" customWidth="1"/>
    <col min="28" max="28" width="9.5703125" style="448" hidden="1" customWidth="1"/>
    <col min="29" max="39" width="0" style="448" hidden="1" customWidth="1"/>
    <col min="40" max="16384" width="9.140625" style="448"/>
  </cols>
  <sheetData>
    <row r="1" spans="1:87" ht="3.75" customHeight="1">
      <c r="F1" s="449"/>
      <c r="O1" s="451"/>
      <c r="X1" s="6"/>
      <c r="Y1" s="7"/>
    </row>
    <row r="2" spans="1:87" ht="15" customHeight="1">
      <c r="B2" s="452"/>
      <c r="F2" s="449"/>
      <c r="I2" s="453"/>
      <c r="J2" s="454" t="e">
        <f>+E13+I13+J13+K13+L13+N13+O13+P13+Q13+R13</f>
        <v>#REF!</v>
      </c>
      <c r="K2" s="454"/>
      <c r="L2" s="454"/>
      <c r="M2" s="455"/>
      <c r="O2" s="456"/>
      <c r="T2" s="457" t="s">
        <v>176</v>
      </c>
      <c r="U2" s="457"/>
      <c r="V2" s="457"/>
      <c r="W2" s="457"/>
      <c r="X2" s="6"/>
      <c r="Y2" s="7"/>
    </row>
    <row r="3" spans="1:87" ht="0.75" customHeight="1">
      <c r="F3" s="449"/>
      <c r="N3" s="458"/>
      <c r="O3" s="458"/>
      <c r="P3" s="458"/>
      <c r="Q3" s="458"/>
      <c r="R3" s="458"/>
      <c r="S3" s="458"/>
      <c r="T3" s="458"/>
      <c r="U3" s="458"/>
      <c r="V3" s="458"/>
      <c r="W3" s="458"/>
      <c r="X3" s="6"/>
      <c r="Y3" s="7"/>
    </row>
    <row r="4" spans="1:87" ht="21.75" customHeight="1">
      <c r="F4" s="449"/>
      <c r="N4" s="458"/>
      <c r="O4" s="458"/>
      <c r="P4" s="458"/>
      <c r="Q4" s="458"/>
      <c r="R4" s="458"/>
      <c r="S4" s="458"/>
      <c r="T4" s="458"/>
      <c r="U4" s="458"/>
      <c r="V4" s="458"/>
      <c r="W4" s="458"/>
      <c r="X4" s="6"/>
      <c r="Y4" s="7"/>
    </row>
    <row r="5" spans="1:87" s="459" customFormat="1" ht="39" customHeight="1" thickBot="1">
      <c r="A5" s="3917" t="s">
        <v>177</v>
      </c>
      <c r="B5" s="3917"/>
      <c r="C5" s="3917"/>
      <c r="D5" s="3917"/>
      <c r="E5" s="3917"/>
      <c r="F5" s="3917"/>
      <c r="G5" s="3917"/>
      <c r="H5" s="3917"/>
      <c r="I5" s="3917"/>
      <c r="J5" s="3917"/>
      <c r="K5" s="3917"/>
      <c r="L5" s="3917"/>
      <c r="M5" s="3917"/>
      <c r="N5" s="3917"/>
      <c r="O5" s="3917"/>
      <c r="P5" s="3917"/>
      <c r="Q5" s="3917"/>
      <c r="R5" s="3917"/>
      <c r="S5" s="3917"/>
      <c r="T5" s="3917"/>
      <c r="U5" s="3917"/>
      <c r="V5" s="3917"/>
      <c r="W5" s="3917"/>
      <c r="X5" s="3917"/>
      <c r="Y5" s="3917"/>
    </row>
    <row r="6" spans="1:87" s="462" customFormat="1" ht="33" customHeight="1" thickBot="1">
      <c r="A6" s="192"/>
      <c r="B6" s="3997" t="s">
        <v>89</v>
      </c>
      <c r="C6" s="3674" t="s">
        <v>85</v>
      </c>
      <c r="D6" s="3677" t="s">
        <v>136</v>
      </c>
      <c r="E6" s="2203" t="s">
        <v>262</v>
      </c>
      <c r="F6" s="460"/>
      <c r="G6" s="460"/>
      <c r="H6" s="460"/>
      <c r="I6" s="460"/>
      <c r="J6" s="460"/>
      <c r="K6" s="460"/>
      <c r="L6" s="460"/>
      <c r="M6" s="3698" t="s">
        <v>339</v>
      </c>
      <c r="N6" s="460"/>
      <c r="O6" s="3877" t="s">
        <v>347</v>
      </c>
      <c r="P6" s="3925" t="s">
        <v>494</v>
      </c>
      <c r="Q6" s="3694" t="s">
        <v>495</v>
      </c>
      <c r="R6" s="3694"/>
      <c r="S6" s="3694"/>
      <c r="T6" s="3694"/>
      <c r="U6" s="3694"/>
      <c r="V6" s="3694"/>
      <c r="W6" s="3695"/>
      <c r="X6" s="3686" t="s">
        <v>488</v>
      </c>
      <c r="Y6" s="3869" t="s">
        <v>87</v>
      </c>
      <c r="Z6" s="461"/>
      <c r="AA6" s="461"/>
      <c r="AB6" s="461"/>
      <c r="AC6" s="461"/>
      <c r="AD6" s="461"/>
      <c r="AE6" s="461"/>
      <c r="AF6" s="461"/>
      <c r="AG6" s="461"/>
      <c r="AH6" s="461"/>
      <c r="AI6" s="461"/>
      <c r="AJ6" s="461"/>
      <c r="AK6" s="461"/>
      <c r="AL6" s="461"/>
      <c r="AM6" s="461"/>
      <c r="AN6" s="461"/>
      <c r="AO6" s="461"/>
      <c r="AP6" s="461"/>
      <c r="AQ6" s="461"/>
      <c r="AR6" s="461"/>
      <c r="AS6" s="461"/>
      <c r="AT6" s="461"/>
      <c r="AU6" s="461"/>
      <c r="AV6" s="461"/>
      <c r="AW6" s="461"/>
      <c r="AX6" s="461"/>
      <c r="AY6" s="461"/>
      <c r="AZ6" s="461"/>
      <c r="BA6" s="461"/>
      <c r="BB6" s="461"/>
      <c r="BC6" s="461"/>
      <c r="BD6" s="461"/>
      <c r="BE6" s="461"/>
      <c r="BF6" s="461"/>
      <c r="BG6" s="461"/>
      <c r="BH6" s="461"/>
      <c r="BI6" s="461"/>
      <c r="BJ6" s="461"/>
      <c r="BK6" s="461"/>
      <c r="BL6" s="461"/>
      <c r="BM6" s="461"/>
      <c r="BN6" s="461"/>
      <c r="BO6" s="461"/>
      <c r="BP6" s="461"/>
      <c r="BQ6" s="461"/>
      <c r="BR6" s="461"/>
      <c r="BS6" s="461"/>
      <c r="BT6" s="461"/>
      <c r="BU6" s="461"/>
      <c r="BV6" s="461"/>
      <c r="BW6" s="461"/>
      <c r="BX6" s="461"/>
      <c r="BY6" s="461"/>
      <c r="BZ6" s="461"/>
      <c r="CA6" s="461"/>
      <c r="CB6" s="461"/>
      <c r="CC6" s="461"/>
      <c r="CD6" s="461"/>
      <c r="CE6" s="461"/>
      <c r="CF6" s="461"/>
      <c r="CG6" s="461"/>
      <c r="CH6" s="461"/>
      <c r="CI6" s="461"/>
    </row>
    <row r="7" spans="1:87" s="462" customFormat="1" ht="24" customHeight="1" thickBot="1">
      <c r="A7" s="193" t="s">
        <v>88</v>
      </c>
      <c r="B7" s="3997"/>
      <c r="C7" s="3675"/>
      <c r="D7" s="3678"/>
      <c r="E7" s="2204"/>
      <c r="F7" s="463"/>
      <c r="G7" s="463"/>
      <c r="H7" s="463"/>
      <c r="I7" s="463"/>
      <c r="J7" s="463"/>
      <c r="K7" s="463"/>
      <c r="L7" s="463"/>
      <c r="M7" s="3700"/>
      <c r="N7" s="463"/>
      <c r="O7" s="3878"/>
      <c r="P7" s="3693"/>
      <c r="Q7" s="3696"/>
      <c r="R7" s="3696"/>
      <c r="S7" s="3696"/>
      <c r="T7" s="3696"/>
      <c r="U7" s="3696"/>
      <c r="V7" s="3696"/>
      <c r="W7" s="3697"/>
      <c r="X7" s="3998"/>
      <c r="Y7" s="3870"/>
      <c r="Z7" s="228">
        <f>+M10+O10+P10+Q10+R10+S10+T10+U10+V10+W10</f>
        <v>325814610</v>
      </c>
      <c r="AA7" s="461"/>
      <c r="AB7" s="461"/>
      <c r="AC7" s="461"/>
      <c r="AD7" s="461"/>
      <c r="AE7" s="461"/>
      <c r="AF7" s="461"/>
      <c r="AG7" s="461"/>
      <c r="AH7" s="461"/>
      <c r="AI7" s="461"/>
      <c r="AJ7" s="461"/>
      <c r="AK7" s="461"/>
      <c r="AL7" s="461"/>
      <c r="AM7" s="461"/>
      <c r="AN7" s="461"/>
      <c r="AO7" s="461"/>
      <c r="AP7" s="461"/>
      <c r="AQ7" s="461"/>
      <c r="AR7" s="461"/>
      <c r="AS7" s="461"/>
      <c r="AT7" s="461"/>
      <c r="AU7" s="461"/>
      <c r="AV7" s="461"/>
      <c r="AW7" s="461"/>
      <c r="AX7" s="461"/>
      <c r="AY7" s="461"/>
      <c r="AZ7" s="461"/>
      <c r="BA7" s="461"/>
      <c r="BB7" s="461"/>
      <c r="BC7" s="461"/>
      <c r="BD7" s="461"/>
      <c r="BE7" s="461"/>
      <c r="BF7" s="461"/>
      <c r="BG7" s="461"/>
      <c r="BH7" s="461"/>
      <c r="BI7" s="461"/>
      <c r="BJ7" s="461"/>
      <c r="BK7" s="461"/>
      <c r="BL7" s="461"/>
      <c r="BM7" s="461"/>
      <c r="BN7" s="461"/>
      <c r="BO7" s="461"/>
      <c r="BP7" s="461"/>
      <c r="BQ7" s="461"/>
      <c r="BR7" s="461"/>
      <c r="BS7" s="461"/>
      <c r="BT7" s="461"/>
      <c r="BU7" s="461"/>
      <c r="BV7" s="461"/>
      <c r="BW7" s="461"/>
      <c r="BX7" s="461"/>
      <c r="BY7" s="461"/>
      <c r="BZ7" s="461"/>
      <c r="CA7" s="461"/>
      <c r="CB7" s="461"/>
      <c r="CC7" s="461"/>
      <c r="CD7" s="461"/>
      <c r="CE7" s="461"/>
      <c r="CF7" s="461"/>
      <c r="CG7" s="461"/>
      <c r="CH7" s="461"/>
      <c r="CI7" s="461"/>
    </row>
    <row r="8" spans="1:87" s="462" customFormat="1" ht="18" customHeight="1" thickBot="1">
      <c r="A8" s="193"/>
      <c r="B8" s="3997"/>
      <c r="C8" s="3676"/>
      <c r="D8" s="3679"/>
      <c r="E8" s="2205" t="s">
        <v>5</v>
      </c>
      <c r="F8" s="2206" t="s">
        <v>6</v>
      </c>
      <c r="G8" s="2206" t="s">
        <v>261</v>
      </c>
      <c r="H8" s="2206" t="s">
        <v>8</v>
      </c>
      <c r="I8" s="2206" t="s">
        <v>9</v>
      </c>
      <c r="J8" s="2206" t="s">
        <v>10</v>
      </c>
      <c r="K8" s="2206" t="s">
        <v>11</v>
      </c>
      <c r="L8" s="2206" t="s">
        <v>12</v>
      </c>
      <c r="M8" s="2207" t="s">
        <v>496</v>
      </c>
      <c r="N8" s="3233" t="s">
        <v>13</v>
      </c>
      <c r="O8" s="3233" t="s">
        <v>14</v>
      </c>
      <c r="P8" s="3233" t="s">
        <v>15</v>
      </c>
      <c r="Q8" s="3233" t="s">
        <v>16</v>
      </c>
      <c r="R8" s="3233" t="s">
        <v>17</v>
      </c>
      <c r="S8" s="464" t="s">
        <v>259</v>
      </c>
      <c r="T8" s="464" t="s">
        <v>260</v>
      </c>
      <c r="U8" s="464" t="s">
        <v>327</v>
      </c>
      <c r="V8" s="464" t="s">
        <v>328</v>
      </c>
      <c r="W8" s="464" t="s">
        <v>329</v>
      </c>
      <c r="X8" s="3999"/>
      <c r="Y8" s="3871"/>
      <c r="Z8" s="228"/>
      <c r="AA8" s="461"/>
      <c r="AB8" s="461"/>
      <c r="AC8" s="461"/>
      <c r="AD8" s="461"/>
      <c r="AE8" s="461"/>
      <c r="AF8" s="461"/>
      <c r="AG8" s="461"/>
      <c r="AH8" s="461"/>
      <c r="AI8" s="461"/>
      <c r="AJ8" s="461"/>
      <c r="AK8" s="461"/>
      <c r="AL8" s="461"/>
      <c r="AM8" s="461"/>
      <c r="AN8" s="461"/>
      <c r="AO8" s="461"/>
      <c r="AP8" s="461"/>
      <c r="AQ8" s="461"/>
      <c r="AR8" s="461"/>
      <c r="AS8" s="461"/>
      <c r="AT8" s="461"/>
      <c r="AU8" s="461"/>
      <c r="AV8" s="461"/>
      <c r="AW8" s="461"/>
      <c r="AX8" s="461"/>
      <c r="AY8" s="461"/>
      <c r="AZ8" s="461"/>
      <c r="BA8" s="461"/>
      <c r="BB8" s="461"/>
      <c r="BC8" s="461"/>
      <c r="BD8" s="461"/>
      <c r="BE8" s="461"/>
      <c r="BF8" s="461"/>
      <c r="BG8" s="461"/>
      <c r="BH8" s="461"/>
      <c r="BI8" s="461"/>
      <c r="BJ8" s="461"/>
      <c r="BK8" s="461"/>
      <c r="BL8" s="461"/>
      <c r="BM8" s="461"/>
      <c r="BN8" s="461"/>
      <c r="BO8" s="461"/>
      <c r="BP8" s="461"/>
      <c r="BQ8" s="461"/>
      <c r="BR8" s="461"/>
      <c r="BS8" s="461"/>
      <c r="BT8" s="461"/>
      <c r="BU8" s="461"/>
      <c r="BV8" s="461"/>
      <c r="BW8" s="461"/>
      <c r="BX8" s="461"/>
      <c r="BY8" s="461"/>
      <c r="BZ8" s="461"/>
      <c r="CA8" s="461"/>
      <c r="CB8" s="461"/>
      <c r="CC8" s="461"/>
      <c r="CD8" s="461"/>
      <c r="CE8" s="461"/>
      <c r="CF8" s="461"/>
      <c r="CG8" s="461"/>
      <c r="CH8" s="461"/>
      <c r="CI8" s="461"/>
    </row>
    <row r="9" spans="1:87" s="462" customFormat="1" ht="12.75" customHeight="1" thickBot="1">
      <c r="A9" s="465">
        <v>1</v>
      </c>
      <c r="B9" s="465"/>
      <c r="C9" s="466" t="s">
        <v>137</v>
      </c>
      <c r="D9" s="806" t="s">
        <v>138</v>
      </c>
      <c r="E9" s="806"/>
      <c r="F9" s="2208"/>
      <c r="G9" s="2208"/>
      <c r="H9" s="2208"/>
      <c r="I9" s="806"/>
      <c r="J9" s="806"/>
      <c r="K9" s="806"/>
      <c r="L9" s="806"/>
      <c r="M9" s="2209">
        <v>5</v>
      </c>
      <c r="N9" s="806" t="s">
        <v>326</v>
      </c>
      <c r="O9" s="806" t="s">
        <v>326</v>
      </c>
      <c r="P9" s="189">
        <v>6</v>
      </c>
      <c r="Q9" s="189">
        <v>7</v>
      </c>
      <c r="R9" s="189">
        <v>8</v>
      </c>
      <c r="S9" s="189">
        <v>9</v>
      </c>
      <c r="T9" s="189">
        <v>10</v>
      </c>
      <c r="U9" s="189">
        <v>11</v>
      </c>
      <c r="V9" s="189">
        <v>12</v>
      </c>
      <c r="W9" s="189">
        <v>13</v>
      </c>
      <c r="X9" s="467">
        <v>14</v>
      </c>
      <c r="Y9" s="190">
        <v>15</v>
      </c>
      <c r="Z9" s="462" t="s">
        <v>317</v>
      </c>
    </row>
    <row r="10" spans="1:87" s="3214" customFormat="1" ht="16.5" customHeight="1">
      <c r="A10" s="246"/>
      <c r="B10" s="721" t="s">
        <v>90</v>
      </c>
      <c r="C10" s="640"/>
      <c r="D10" s="641">
        <f>+D11+D12</f>
        <v>324488843</v>
      </c>
      <c r="E10" s="641">
        <f>+E11+E12</f>
        <v>0</v>
      </c>
      <c r="F10" s="2210">
        <f t="shared" ref="F10:O10" si="0">+F11+F12</f>
        <v>0</v>
      </c>
      <c r="G10" s="2210">
        <f>+G11+G12</f>
        <v>0</v>
      </c>
      <c r="H10" s="2210">
        <f>+H11+H12</f>
        <v>0</v>
      </c>
      <c r="I10" s="2211">
        <f t="shared" si="0"/>
        <v>0</v>
      </c>
      <c r="J10" s="2211">
        <f t="shared" si="0"/>
        <v>0</v>
      </c>
      <c r="K10" s="2211">
        <f t="shared" si="0"/>
        <v>0</v>
      </c>
      <c r="L10" s="2211">
        <f>+L11+L12</f>
        <v>0</v>
      </c>
      <c r="M10" s="2212">
        <f>+M11+M12</f>
        <v>1325767</v>
      </c>
      <c r="N10" s="641">
        <f t="shared" si="0"/>
        <v>0</v>
      </c>
      <c r="O10" s="641">
        <f t="shared" si="0"/>
        <v>1325767</v>
      </c>
      <c r="P10" s="641">
        <f t="shared" ref="P10:X10" si="1">+P11+P12</f>
        <v>26419804</v>
      </c>
      <c r="Q10" s="641">
        <f t="shared" si="1"/>
        <v>40162923</v>
      </c>
      <c r="R10" s="641">
        <f t="shared" si="1"/>
        <v>57881093</v>
      </c>
      <c r="S10" s="289">
        <f t="shared" si="1"/>
        <v>67948898</v>
      </c>
      <c r="T10" s="289">
        <f t="shared" si="1"/>
        <v>51748608</v>
      </c>
      <c r="U10" s="289">
        <f t="shared" si="1"/>
        <v>27429729</v>
      </c>
      <c r="V10" s="289">
        <f t="shared" si="1"/>
        <v>25936536</v>
      </c>
      <c r="W10" s="289">
        <f t="shared" si="1"/>
        <v>25635485</v>
      </c>
      <c r="X10" s="195">
        <f t="shared" si="1"/>
        <v>297103649</v>
      </c>
      <c r="Y10" s="21"/>
      <c r="Z10" s="468">
        <f>X10-X13</f>
        <v>360377</v>
      </c>
      <c r="AA10" s="468"/>
    </row>
    <row r="11" spans="1:87" s="3214" customFormat="1" ht="15" customHeight="1">
      <c r="A11" s="246"/>
      <c r="B11" s="279" t="s">
        <v>91</v>
      </c>
      <c r="C11" s="280"/>
      <c r="D11" s="281">
        <f t="shared" ref="D11:W11" si="2">+D28+D70+D48+D90-D98+D152+D182+D209-D213</f>
        <v>233259579</v>
      </c>
      <c r="E11" s="281">
        <f t="shared" si="2"/>
        <v>0</v>
      </c>
      <c r="F11" s="281">
        <f t="shared" si="2"/>
        <v>0</v>
      </c>
      <c r="G11" s="281">
        <f t="shared" si="2"/>
        <v>0</v>
      </c>
      <c r="H11" s="281">
        <f t="shared" si="2"/>
        <v>0</v>
      </c>
      <c r="I11" s="281">
        <f t="shared" si="2"/>
        <v>0</v>
      </c>
      <c r="J11" s="281">
        <f t="shared" si="2"/>
        <v>0</v>
      </c>
      <c r="K11" s="281">
        <f t="shared" si="2"/>
        <v>0</v>
      </c>
      <c r="L11" s="281">
        <f t="shared" si="2"/>
        <v>0</v>
      </c>
      <c r="M11" s="2213">
        <f t="shared" si="2"/>
        <v>1287729</v>
      </c>
      <c r="N11" s="281">
        <f t="shared" si="2"/>
        <v>0</v>
      </c>
      <c r="O11" s="281">
        <f t="shared" si="2"/>
        <v>1287729</v>
      </c>
      <c r="P11" s="281">
        <f t="shared" si="2"/>
        <v>25696159</v>
      </c>
      <c r="Q11" s="281">
        <f t="shared" si="2"/>
        <v>36488688</v>
      </c>
      <c r="R11" s="281">
        <f t="shared" si="2"/>
        <v>33352223</v>
      </c>
      <c r="S11" s="281">
        <f t="shared" si="2"/>
        <v>29503293</v>
      </c>
      <c r="T11" s="281">
        <f t="shared" si="2"/>
        <v>28414237</v>
      </c>
      <c r="U11" s="281">
        <f t="shared" si="2"/>
        <v>27268229</v>
      </c>
      <c r="V11" s="281">
        <f t="shared" si="2"/>
        <v>25775036</v>
      </c>
      <c r="W11" s="281">
        <f t="shared" si="2"/>
        <v>25473985</v>
      </c>
      <c r="X11" s="1202">
        <f>+X28+X70+X48+X90-X98+X152+X182+X209</f>
        <v>206275691</v>
      </c>
      <c r="Y11" s="21"/>
      <c r="Z11" s="468"/>
      <c r="AA11" s="468"/>
    </row>
    <row r="12" spans="1:87" s="3214" customFormat="1" ht="14.25" customHeight="1" thickBot="1">
      <c r="A12" s="246"/>
      <c r="B12" s="282" t="s">
        <v>20</v>
      </c>
      <c r="C12" s="283"/>
      <c r="D12" s="284">
        <f>+D81+D37+D59+D115-D117+D166+D193+D222</f>
        <v>91229264</v>
      </c>
      <c r="E12" s="284">
        <f t="shared" ref="E12:L12" si="3">+E81+E37+E59+E115-E117</f>
        <v>0</v>
      </c>
      <c r="F12" s="284">
        <f t="shared" si="3"/>
        <v>0</v>
      </c>
      <c r="G12" s="284">
        <f t="shared" si="3"/>
        <v>0</v>
      </c>
      <c r="H12" s="284">
        <f t="shared" si="3"/>
        <v>0</v>
      </c>
      <c r="I12" s="284">
        <f t="shared" si="3"/>
        <v>0</v>
      </c>
      <c r="J12" s="284">
        <f t="shared" si="3"/>
        <v>0</v>
      </c>
      <c r="K12" s="284">
        <f t="shared" si="3"/>
        <v>0</v>
      </c>
      <c r="L12" s="284">
        <f t="shared" si="3"/>
        <v>0</v>
      </c>
      <c r="M12" s="284">
        <f>+M81+M37+M59+M115-M117+M166+M193+M222</f>
        <v>38038</v>
      </c>
      <c r="N12" s="284">
        <f>+N81+N37+N59+N115-N117+N166+N193</f>
        <v>0</v>
      </c>
      <c r="O12" s="284">
        <f t="shared" ref="O12:X12" si="4">+O81+O37+O59+O115-O117+O166+O193+O222</f>
        <v>38038</v>
      </c>
      <c r="P12" s="284">
        <f t="shared" si="4"/>
        <v>723645</v>
      </c>
      <c r="Q12" s="284">
        <f t="shared" si="4"/>
        <v>3674235</v>
      </c>
      <c r="R12" s="284">
        <f t="shared" si="4"/>
        <v>24528870</v>
      </c>
      <c r="S12" s="284">
        <f t="shared" si="4"/>
        <v>38445605</v>
      </c>
      <c r="T12" s="284">
        <f t="shared" si="4"/>
        <v>23334371</v>
      </c>
      <c r="U12" s="284">
        <f t="shared" si="4"/>
        <v>161500</v>
      </c>
      <c r="V12" s="284">
        <f t="shared" si="4"/>
        <v>161500</v>
      </c>
      <c r="W12" s="284">
        <f t="shared" si="4"/>
        <v>161500</v>
      </c>
      <c r="X12" s="22">
        <f t="shared" si="4"/>
        <v>90827958</v>
      </c>
      <c r="Y12" s="21"/>
    </row>
    <row r="13" spans="1:87" s="473" customFormat="1" ht="13.5" customHeight="1">
      <c r="A13" s="198"/>
      <c r="B13" s="199" t="s">
        <v>21</v>
      </c>
      <c r="C13" s="200"/>
      <c r="D13" s="201">
        <f>+D14+D19</f>
        <v>326069632</v>
      </c>
      <c r="E13" s="201" t="e">
        <f t="shared" ref="E13:W13" si="5">+E14+E19</f>
        <v>#REF!</v>
      </c>
      <c r="F13" s="469" t="e">
        <f t="shared" si="5"/>
        <v>#REF!</v>
      </c>
      <c r="G13" s="469" t="e">
        <f t="shared" si="5"/>
        <v>#REF!</v>
      </c>
      <c r="H13" s="469" t="e">
        <f t="shared" si="5"/>
        <v>#REF!</v>
      </c>
      <c r="I13" s="470" t="e">
        <f t="shared" si="5"/>
        <v>#REF!</v>
      </c>
      <c r="J13" s="470" t="e">
        <f t="shared" si="5"/>
        <v>#REF!</v>
      </c>
      <c r="K13" s="470" t="e">
        <f t="shared" si="5"/>
        <v>#REF!</v>
      </c>
      <c r="L13" s="470" t="e">
        <f t="shared" si="5"/>
        <v>#REF!</v>
      </c>
      <c r="M13" s="201">
        <f t="shared" si="5"/>
        <v>1325767</v>
      </c>
      <c r="N13" s="201">
        <f t="shared" si="5"/>
        <v>0</v>
      </c>
      <c r="O13" s="201">
        <f t="shared" si="5"/>
        <v>1325767</v>
      </c>
      <c r="P13" s="201">
        <f t="shared" si="5"/>
        <v>26810920</v>
      </c>
      <c r="Q13" s="201">
        <f t="shared" si="5"/>
        <v>40787230</v>
      </c>
      <c r="R13" s="201">
        <f t="shared" si="5"/>
        <v>58126366</v>
      </c>
      <c r="S13" s="201">
        <f t="shared" si="5"/>
        <v>68012917</v>
      </c>
      <c r="T13" s="201">
        <f t="shared" si="5"/>
        <v>51812627</v>
      </c>
      <c r="U13" s="201">
        <f t="shared" si="5"/>
        <v>27493748</v>
      </c>
      <c r="V13" s="201">
        <f t="shared" si="5"/>
        <v>26000554</v>
      </c>
      <c r="W13" s="201">
        <f t="shared" si="5"/>
        <v>25699503</v>
      </c>
      <c r="X13" s="247">
        <f>+X14+X19</f>
        <v>296743272</v>
      </c>
      <c r="Y13" s="196"/>
      <c r="Z13" s="471">
        <f>+M13+O13+P13+Q13+R13+S13+T13+U13+V13+W13</f>
        <v>327395399</v>
      </c>
      <c r="AA13" s="472"/>
    </row>
    <row r="14" spans="1:87" s="478" customFormat="1" ht="13.5" customHeight="1">
      <c r="A14" s="194"/>
      <c r="B14" s="202" t="s">
        <v>22</v>
      </c>
      <c r="C14" s="203"/>
      <c r="D14" s="474">
        <f>+D15+D16+D17+D18</f>
        <v>56206873</v>
      </c>
      <c r="E14" s="474" t="e">
        <f t="shared" ref="E14:L14" si="6">+E15+E16+E18</f>
        <v>#REF!</v>
      </c>
      <c r="F14" s="474" t="e">
        <f t="shared" si="6"/>
        <v>#REF!</v>
      </c>
      <c r="G14" s="474" t="e">
        <f t="shared" si="6"/>
        <v>#REF!</v>
      </c>
      <c r="H14" s="474" t="e">
        <f t="shared" si="6"/>
        <v>#REF!</v>
      </c>
      <c r="I14" s="474" t="e">
        <f t="shared" si="6"/>
        <v>#REF!</v>
      </c>
      <c r="J14" s="474" t="e">
        <f t="shared" si="6"/>
        <v>#REF!</v>
      </c>
      <c r="K14" s="474" t="e">
        <f t="shared" si="6"/>
        <v>#REF!</v>
      </c>
      <c r="L14" s="474" t="e">
        <f t="shared" si="6"/>
        <v>#REF!</v>
      </c>
      <c r="M14" s="474">
        <f t="shared" ref="M14:W14" si="7">+M15+M16+M17+M18</f>
        <v>197092</v>
      </c>
      <c r="N14" s="474">
        <f t="shared" si="7"/>
        <v>0</v>
      </c>
      <c r="O14" s="474">
        <f t="shared" si="7"/>
        <v>197092</v>
      </c>
      <c r="P14" s="474">
        <f t="shared" si="7"/>
        <v>4713822</v>
      </c>
      <c r="Q14" s="474">
        <f t="shared" si="7"/>
        <v>6714959</v>
      </c>
      <c r="R14" s="474">
        <f t="shared" si="7"/>
        <v>10488917</v>
      </c>
      <c r="S14" s="474">
        <f t="shared" si="7"/>
        <v>14304594</v>
      </c>
      <c r="T14" s="474">
        <f t="shared" si="7"/>
        <v>8696346</v>
      </c>
      <c r="U14" s="474">
        <f t="shared" si="7"/>
        <v>4898800</v>
      </c>
      <c r="V14" s="474">
        <f t="shared" si="7"/>
        <v>3065555</v>
      </c>
      <c r="W14" s="474">
        <f t="shared" si="7"/>
        <v>3126788</v>
      </c>
      <c r="X14" s="475">
        <f>+X15+X16+X17+X18</f>
        <v>50106286</v>
      </c>
      <c r="Y14" s="476"/>
      <c r="Z14" s="477"/>
      <c r="AA14" s="477"/>
      <c r="AB14" s="477"/>
      <c r="AC14" s="477"/>
      <c r="AD14" s="477"/>
      <c r="AE14" s="477"/>
      <c r="AF14" s="477"/>
      <c r="AG14" s="477"/>
      <c r="AH14" s="477"/>
      <c r="AI14" s="477"/>
      <c r="AJ14" s="477"/>
      <c r="AK14" s="477"/>
    </row>
    <row r="15" spans="1:87" s="481" customFormat="1" ht="12" customHeight="1">
      <c r="A15" s="204"/>
      <c r="B15" s="205" t="s">
        <v>23</v>
      </c>
      <c r="C15" s="206"/>
      <c r="D15" s="479">
        <f>+D83+D92+D136+D211+D30</f>
        <v>47395724</v>
      </c>
      <c r="E15" s="479">
        <f t="shared" ref="E15:L15" si="8">+E83+E92</f>
        <v>0</v>
      </c>
      <c r="F15" s="479">
        <f t="shared" si="8"/>
        <v>0</v>
      </c>
      <c r="G15" s="479">
        <f t="shared" si="8"/>
        <v>0</v>
      </c>
      <c r="H15" s="479">
        <f t="shared" si="8"/>
        <v>0</v>
      </c>
      <c r="I15" s="479">
        <f t="shared" si="8"/>
        <v>0</v>
      </c>
      <c r="J15" s="479">
        <f t="shared" si="8"/>
        <v>0</v>
      </c>
      <c r="K15" s="479">
        <f t="shared" si="8"/>
        <v>0</v>
      </c>
      <c r="L15" s="479">
        <f t="shared" si="8"/>
        <v>0</v>
      </c>
      <c r="M15" s="479">
        <f>+M83+M92+M136+M211+M30</f>
        <v>12575</v>
      </c>
      <c r="N15" s="479">
        <f>+N83+N92+N136</f>
        <v>0</v>
      </c>
      <c r="O15" s="479">
        <f t="shared" ref="O15:W15" si="9">+O83+O92+O136+O211+O30</f>
        <v>12575</v>
      </c>
      <c r="P15" s="479">
        <f t="shared" si="9"/>
        <v>4094218</v>
      </c>
      <c r="Q15" s="479">
        <f t="shared" si="9"/>
        <v>5148005</v>
      </c>
      <c r="R15" s="479">
        <f t="shared" si="9"/>
        <v>9803936</v>
      </c>
      <c r="S15" s="479">
        <f t="shared" si="9"/>
        <v>10687375</v>
      </c>
      <c r="T15" s="479">
        <f t="shared" si="9"/>
        <v>6750527</v>
      </c>
      <c r="U15" s="479">
        <f t="shared" si="9"/>
        <v>4834781</v>
      </c>
      <c r="V15" s="479">
        <f t="shared" si="9"/>
        <v>3001537</v>
      </c>
      <c r="W15" s="479">
        <f t="shared" si="9"/>
        <v>3062770</v>
      </c>
      <c r="X15" s="480">
        <f>SUM(Q15:W15)</f>
        <v>43288931</v>
      </c>
      <c r="Y15" s="196"/>
      <c r="Z15" s="471">
        <f>+Z13-Z7</f>
        <v>1580789</v>
      </c>
      <c r="AA15" s="481" t="s">
        <v>362</v>
      </c>
    </row>
    <row r="16" spans="1:87" s="481" customFormat="1" ht="11.25" customHeight="1">
      <c r="A16" s="204"/>
      <c r="B16" s="482" t="s">
        <v>24</v>
      </c>
      <c r="C16" s="483"/>
      <c r="D16" s="479">
        <f>+D72+D39+D50+D61+D212+D224</f>
        <v>2230360</v>
      </c>
      <c r="E16" s="479" t="e">
        <f>+#REF!+E72+E39+E50+E61</f>
        <v>#REF!</v>
      </c>
      <c r="F16" s="484" t="e">
        <f>+#REF!+F72+F39</f>
        <v>#REF!</v>
      </c>
      <c r="G16" s="484" t="e">
        <f>+#REF!+G72+G39</f>
        <v>#REF!</v>
      </c>
      <c r="H16" s="484" t="e">
        <f>+#REF!+H72+H39</f>
        <v>#REF!</v>
      </c>
      <c r="I16" s="485" t="e">
        <f>+#REF!+I72+I39+I50+I61</f>
        <v>#REF!</v>
      </c>
      <c r="J16" s="485" t="e">
        <f>+#REF!+J72+J39+J50+J61</f>
        <v>#REF!</v>
      </c>
      <c r="K16" s="485" t="e">
        <f>+#REF!+K72+K39+K50+K61</f>
        <v>#REF!</v>
      </c>
      <c r="L16" s="485" t="e">
        <f>+#REF!+L72+L39+L50+L61</f>
        <v>#REF!</v>
      </c>
      <c r="M16" s="479">
        <f t="shared" ref="M16:W16" si="10">+M72+M39+M50+M61+M212+M224</f>
        <v>184517</v>
      </c>
      <c r="N16" s="479">
        <f t="shared" si="10"/>
        <v>0</v>
      </c>
      <c r="O16" s="479">
        <f t="shared" si="10"/>
        <v>184517</v>
      </c>
      <c r="P16" s="479">
        <f t="shared" si="10"/>
        <v>228488</v>
      </c>
      <c r="Q16" s="479">
        <f t="shared" si="10"/>
        <v>942647</v>
      </c>
      <c r="R16" s="479">
        <f t="shared" si="10"/>
        <v>439708</v>
      </c>
      <c r="S16" s="479">
        <f t="shared" si="10"/>
        <v>225000</v>
      </c>
      <c r="T16" s="479">
        <f t="shared" si="10"/>
        <v>210000</v>
      </c>
      <c r="U16" s="479">
        <f t="shared" si="10"/>
        <v>0</v>
      </c>
      <c r="V16" s="479">
        <f t="shared" si="10"/>
        <v>0</v>
      </c>
      <c r="W16" s="479">
        <f t="shared" si="10"/>
        <v>0</v>
      </c>
      <c r="X16" s="480">
        <f>SUM(Q16:W16)</f>
        <v>1817355</v>
      </c>
      <c r="Y16" s="196"/>
      <c r="Z16" s="471">
        <f>R15+R16+R17+R20-R10</f>
        <v>0</v>
      </c>
    </row>
    <row r="17" spans="1:37" s="481" customFormat="1" ht="11.25" customHeight="1">
      <c r="A17" s="204"/>
      <c r="B17" s="482" t="s">
        <v>27</v>
      </c>
      <c r="C17" s="483"/>
      <c r="D17" s="486">
        <f>+D137</f>
        <v>5000000</v>
      </c>
      <c r="E17" s="486"/>
      <c r="F17" s="623"/>
      <c r="G17" s="623"/>
      <c r="H17" s="623"/>
      <c r="I17" s="624"/>
      <c r="J17" s="624"/>
      <c r="K17" s="624"/>
      <c r="L17" s="624"/>
      <c r="M17" s="486">
        <f>+M137</f>
        <v>0</v>
      </c>
      <c r="N17" s="486">
        <f t="shared" ref="N17:W17" si="11">+N137</f>
        <v>0</v>
      </c>
      <c r="O17" s="486">
        <f t="shared" si="11"/>
        <v>0</v>
      </c>
      <c r="P17" s="486">
        <f t="shared" si="11"/>
        <v>0</v>
      </c>
      <c r="Q17" s="486">
        <f t="shared" si="11"/>
        <v>0</v>
      </c>
      <c r="R17" s="486">
        <f t="shared" si="11"/>
        <v>0</v>
      </c>
      <c r="S17" s="486">
        <f t="shared" si="11"/>
        <v>3328200</v>
      </c>
      <c r="T17" s="486">
        <f t="shared" si="11"/>
        <v>1671800</v>
      </c>
      <c r="U17" s="486">
        <f t="shared" si="11"/>
        <v>0</v>
      </c>
      <c r="V17" s="486">
        <f t="shared" si="11"/>
        <v>0</v>
      </c>
      <c r="W17" s="486">
        <f t="shared" si="11"/>
        <v>0</v>
      </c>
      <c r="X17" s="480">
        <f>SUM(Q17:W17)</f>
        <v>5000000</v>
      </c>
      <c r="Y17" s="196"/>
      <c r="Z17" s="471"/>
    </row>
    <row r="18" spans="1:37" s="481" customFormat="1" ht="12" customHeight="1">
      <c r="A18" s="204"/>
      <c r="B18" s="482" t="s">
        <v>43</v>
      </c>
      <c r="C18" s="483"/>
      <c r="D18" s="486">
        <f>D98+D117+D213</f>
        <v>1580789</v>
      </c>
      <c r="E18" s="486">
        <f t="shared" ref="E18:L18" si="12">E98+E117</f>
        <v>0</v>
      </c>
      <c r="F18" s="486">
        <f t="shared" si="12"/>
        <v>0</v>
      </c>
      <c r="G18" s="486">
        <f t="shared" si="12"/>
        <v>0</v>
      </c>
      <c r="H18" s="486">
        <f t="shared" si="12"/>
        <v>0</v>
      </c>
      <c r="I18" s="486">
        <f t="shared" si="12"/>
        <v>0</v>
      </c>
      <c r="J18" s="486">
        <f t="shared" si="12"/>
        <v>0</v>
      </c>
      <c r="K18" s="486">
        <f t="shared" si="12"/>
        <v>0</v>
      </c>
      <c r="L18" s="486">
        <f t="shared" si="12"/>
        <v>0</v>
      </c>
      <c r="M18" s="486">
        <f>M98+M117+M213</f>
        <v>0</v>
      </c>
      <c r="N18" s="486">
        <f>N98+N117</f>
        <v>0</v>
      </c>
      <c r="O18" s="486">
        <f t="shared" ref="O18:W18" si="13">O98+O117+O213</f>
        <v>0</v>
      </c>
      <c r="P18" s="486">
        <f t="shared" si="13"/>
        <v>391116</v>
      </c>
      <c r="Q18" s="486">
        <f t="shared" si="13"/>
        <v>624307</v>
      </c>
      <c r="R18" s="486">
        <f t="shared" si="13"/>
        <v>245273</v>
      </c>
      <c r="S18" s="486">
        <f t="shared" si="13"/>
        <v>64019</v>
      </c>
      <c r="T18" s="486">
        <f t="shared" si="13"/>
        <v>64019</v>
      </c>
      <c r="U18" s="486">
        <f t="shared" si="13"/>
        <v>64019</v>
      </c>
      <c r="V18" s="486">
        <f t="shared" si="13"/>
        <v>64018</v>
      </c>
      <c r="W18" s="486">
        <f t="shared" si="13"/>
        <v>64018</v>
      </c>
      <c r="X18" s="487">
        <f>X98+X117</f>
        <v>0</v>
      </c>
      <c r="Y18" s="196"/>
      <c r="Z18" s="471"/>
    </row>
    <row r="19" spans="1:37" s="478" customFormat="1" ht="12" customHeight="1">
      <c r="A19" s="194"/>
      <c r="B19" s="207" t="s">
        <v>29</v>
      </c>
      <c r="C19" s="208"/>
      <c r="D19" s="209">
        <f>SUM(D20)</f>
        <v>269862759</v>
      </c>
      <c r="E19" s="209">
        <f t="shared" ref="E19:O19" si="14">SUM(E20)</f>
        <v>0</v>
      </c>
      <c r="F19" s="488">
        <f t="shared" si="14"/>
        <v>0</v>
      </c>
      <c r="G19" s="488">
        <f t="shared" si="14"/>
        <v>0</v>
      </c>
      <c r="H19" s="488">
        <f t="shared" si="14"/>
        <v>0</v>
      </c>
      <c r="I19" s="489">
        <f t="shared" si="14"/>
        <v>0</v>
      </c>
      <c r="J19" s="489">
        <f t="shared" si="14"/>
        <v>0</v>
      </c>
      <c r="K19" s="489">
        <f t="shared" si="14"/>
        <v>0</v>
      </c>
      <c r="L19" s="489">
        <f t="shared" si="14"/>
        <v>0</v>
      </c>
      <c r="M19" s="209">
        <f t="shared" si="14"/>
        <v>1128675</v>
      </c>
      <c r="N19" s="209">
        <f t="shared" si="14"/>
        <v>0</v>
      </c>
      <c r="O19" s="209">
        <f t="shared" si="14"/>
        <v>1128675</v>
      </c>
      <c r="P19" s="209">
        <f t="shared" ref="P19:X19" si="15">SUM(P20)</f>
        <v>22097098</v>
      </c>
      <c r="Q19" s="209">
        <f t="shared" si="15"/>
        <v>34072271</v>
      </c>
      <c r="R19" s="209">
        <f t="shared" si="15"/>
        <v>47637449</v>
      </c>
      <c r="S19" s="209">
        <f t="shared" si="15"/>
        <v>53708323</v>
      </c>
      <c r="T19" s="209">
        <f t="shared" si="15"/>
        <v>43116281</v>
      </c>
      <c r="U19" s="209">
        <f t="shared" si="15"/>
        <v>22594948</v>
      </c>
      <c r="V19" s="209">
        <f t="shared" si="15"/>
        <v>22934999</v>
      </c>
      <c r="W19" s="209">
        <f t="shared" si="15"/>
        <v>22572715</v>
      </c>
      <c r="X19" s="475">
        <f t="shared" si="15"/>
        <v>246636986</v>
      </c>
      <c r="Y19" s="476"/>
      <c r="Z19" s="477"/>
      <c r="AA19" s="477"/>
      <c r="AB19" s="477"/>
      <c r="AC19" s="477"/>
      <c r="AD19" s="477"/>
      <c r="AE19" s="477"/>
      <c r="AF19" s="477"/>
      <c r="AG19" s="477"/>
      <c r="AH19" s="477"/>
      <c r="AI19" s="477"/>
      <c r="AJ19" s="477"/>
      <c r="AK19" s="477"/>
    </row>
    <row r="20" spans="1:37" s="494" customFormat="1" ht="12" customHeight="1">
      <c r="A20" s="210"/>
      <c r="B20" s="490" t="s">
        <v>32</v>
      </c>
      <c r="C20" s="491"/>
      <c r="D20" s="479">
        <f>+D32+D74+D85+D41+D52+D63+D102+D121+D139+D215+D226</f>
        <v>269862759</v>
      </c>
      <c r="E20" s="479">
        <f t="shared" ref="E20:L20" si="16">+E32+E74+E85+E41+E52+E63+E102+E121</f>
        <v>0</v>
      </c>
      <c r="F20" s="479">
        <f t="shared" si="16"/>
        <v>0</v>
      </c>
      <c r="G20" s="479">
        <f t="shared" si="16"/>
        <v>0</v>
      </c>
      <c r="H20" s="479">
        <f t="shared" si="16"/>
        <v>0</v>
      </c>
      <c r="I20" s="479">
        <f t="shared" si="16"/>
        <v>0</v>
      </c>
      <c r="J20" s="479">
        <f t="shared" si="16"/>
        <v>0</v>
      </c>
      <c r="K20" s="479">
        <f t="shared" si="16"/>
        <v>0</v>
      </c>
      <c r="L20" s="479">
        <f t="shared" si="16"/>
        <v>0</v>
      </c>
      <c r="M20" s="479">
        <f>+M32+M74+M85+M41+M52+M63+M102+M121+M139+M215+M226</f>
        <v>1128675</v>
      </c>
      <c r="N20" s="479">
        <f>+N32+N74+N85+N41+N52+N63+N102+N121+N139</f>
        <v>0</v>
      </c>
      <c r="O20" s="479">
        <f t="shared" ref="O20:W20" si="17">+O32+O74+O85+O41+O52+O63+O102+O121+O139+O215+O226</f>
        <v>1128675</v>
      </c>
      <c r="P20" s="479">
        <f t="shared" si="17"/>
        <v>22097098</v>
      </c>
      <c r="Q20" s="479">
        <f t="shared" si="17"/>
        <v>34072271</v>
      </c>
      <c r="R20" s="479">
        <f t="shared" si="17"/>
        <v>47637449</v>
      </c>
      <c r="S20" s="479">
        <f t="shared" si="17"/>
        <v>53708323</v>
      </c>
      <c r="T20" s="479">
        <f t="shared" si="17"/>
        <v>43116281</v>
      </c>
      <c r="U20" s="479">
        <f t="shared" si="17"/>
        <v>22594948</v>
      </c>
      <c r="V20" s="479">
        <f t="shared" si="17"/>
        <v>22934999</v>
      </c>
      <c r="W20" s="479">
        <f t="shared" si="17"/>
        <v>22572715</v>
      </c>
      <c r="X20" s="480">
        <f>SUM(Q20:W20)</f>
        <v>246636986</v>
      </c>
      <c r="Y20" s="492"/>
      <c r="Z20" s="471">
        <f>D15+D16+D17+D20-D10</f>
        <v>0</v>
      </c>
      <c r="AA20" s="493"/>
      <c r="AB20" s="493"/>
      <c r="AC20" s="493"/>
      <c r="AD20" s="493"/>
      <c r="AE20" s="493"/>
      <c r="AF20" s="493"/>
      <c r="AG20" s="493"/>
      <c r="AH20" s="493"/>
      <c r="AI20" s="493"/>
      <c r="AJ20" s="493"/>
      <c r="AK20" s="493"/>
    </row>
    <row r="21" spans="1:37" s="494" customFormat="1" ht="12.75" customHeight="1">
      <c r="A21" s="210"/>
      <c r="B21" s="101" t="s">
        <v>33</v>
      </c>
      <c r="C21" s="650"/>
      <c r="D21" s="651">
        <f>+D22+D25</f>
        <v>277093119</v>
      </c>
      <c r="E21" s="651" t="e">
        <f t="shared" ref="E21:W21" si="18">+E22+E25</f>
        <v>#REF!</v>
      </c>
      <c r="F21" s="651" t="e">
        <f t="shared" si="18"/>
        <v>#REF!</v>
      </c>
      <c r="G21" s="651" t="e">
        <f t="shared" si="18"/>
        <v>#REF!</v>
      </c>
      <c r="H21" s="651" t="e">
        <f t="shared" si="18"/>
        <v>#REF!</v>
      </c>
      <c r="I21" s="651" t="e">
        <f t="shared" si="18"/>
        <v>#REF!</v>
      </c>
      <c r="J21" s="651" t="e">
        <f t="shared" si="18"/>
        <v>#REF!</v>
      </c>
      <c r="K21" s="651" t="e">
        <f t="shared" si="18"/>
        <v>#REF!</v>
      </c>
      <c r="L21" s="651" t="e">
        <f t="shared" si="18"/>
        <v>#REF!</v>
      </c>
      <c r="M21" s="651">
        <f t="shared" si="18"/>
        <v>1230114</v>
      </c>
      <c r="N21" s="651">
        <f t="shared" si="18"/>
        <v>0</v>
      </c>
      <c r="O21" s="651">
        <f t="shared" si="18"/>
        <v>1230114</v>
      </c>
      <c r="P21" s="651">
        <f t="shared" si="18"/>
        <v>16567339</v>
      </c>
      <c r="Q21" s="651">
        <f t="shared" si="18"/>
        <v>38971329</v>
      </c>
      <c r="R21" s="651">
        <f t="shared" si="18"/>
        <v>43968051</v>
      </c>
      <c r="S21" s="651">
        <f t="shared" si="18"/>
        <v>62974773</v>
      </c>
      <c r="T21" s="651">
        <f t="shared" si="18"/>
        <v>44998081</v>
      </c>
      <c r="U21" s="651">
        <f t="shared" si="18"/>
        <v>22594948</v>
      </c>
      <c r="V21" s="651">
        <f t="shared" si="18"/>
        <v>22935629</v>
      </c>
      <c r="W21" s="651">
        <f t="shared" si="18"/>
        <v>22852855</v>
      </c>
      <c r="X21" s="4000" t="s">
        <v>75</v>
      </c>
      <c r="Y21" s="196"/>
      <c r="Z21" s="500">
        <f>D53+D64+D75+D86+D111+D130+D143+D216</f>
        <v>275122595</v>
      </c>
      <c r="AA21" s="493"/>
      <c r="AB21" s="493"/>
      <c r="AC21" s="493"/>
      <c r="AD21" s="493"/>
      <c r="AE21" s="493"/>
      <c r="AF21" s="493"/>
      <c r="AG21" s="493"/>
      <c r="AH21" s="493"/>
      <c r="AI21" s="493"/>
      <c r="AJ21" s="493"/>
      <c r="AK21" s="493"/>
    </row>
    <row r="22" spans="1:37" s="478" customFormat="1" ht="12" customHeight="1">
      <c r="A22" s="194"/>
      <c r="B22" s="202" t="s">
        <v>22</v>
      </c>
      <c r="C22" s="203"/>
      <c r="D22" s="474">
        <f>+D23+D24</f>
        <v>7230360</v>
      </c>
      <c r="E22" s="474" t="e">
        <f t="shared" ref="E22:L22" si="19">+E23</f>
        <v>#REF!</v>
      </c>
      <c r="F22" s="495" t="e">
        <f t="shared" si="19"/>
        <v>#REF!</v>
      </c>
      <c r="G22" s="495" t="e">
        <f t="shared" si="19"/>
        <v>#REF!</v>
      </c>
      <c r="H22" s="495" t="e">
        <f t="shared" si="19"/>
        <v>#REF!</v>
      </c>
      <c r="I22" s="496" t="e">
        <f t="shared" si="19"/>
        <v>#REF!</v>
      </c>
      <c r="J22" s="496" t="e">
        <f t="shared" si="19"/>
        <v>#REF!</v>
      </c>
      <c r="K22" s="496" t="e">
        <f t="shared" si="19"/>
        <v>#REF!</v>
      </c>
      <c r="L22" s="496" t="e">
        <f t="shared" si="19"/>
        <v>#REF!</v>
      </c>
      <c r="M22" s="474">
        <f t="shared" ref="M22:W22" si="20">+M23+M24</f>
        <v>184517</v>
      </c>
      <c r="N22" s="474">
        <f t="shared" si="20"/>
        <v>0</v>
      </c>
      <c r="O22" s="474">
        <f t="shared" si="20"/>
        <v>184517</v>
      </c>
      <c r="P22" s="474">
        <f t="shared" si="20"/>
        <v>228488</v>
      </c>
      <c r="Q22" s="474">
        <f t="shared" si="20"/>
        <v>942647</v>
      </c>
      <c r="R22" s="474">
        <f t="shared" si="20"/>
        <v>439708</v>
      </c>
      <c r="S22" s="474">
        <f t="shared" si="20"/>
        <v>3553200</v>
      </c>
      <c r="T22" s="474">
        <f t="shared" si="20"/>
        <v>1881800</v>
      </c>
      <c r="U22" s="474">
        <f t="shared" si="20"/>
        <v>0</v>
      </c>
      <c r="V22" s="474">
        <f t="shared" si="20"/>
        <v>0</v>
      </c>
      <c r="W22" s="474">
        <f t="shared" si="20"/>
        <v>0</v>
      </c>
      <c r="X22" s="3911"/>
      <c r="Y22" s="476"/>
      <c r="Z22" s="500"/>
      <c r="AA22" s="477"/>
      <c r="AB22" s="477"/>
      <c r="AC22" s="477"/>
      <c r="AD22" s="477"/>
      <c r="AE22" s="477"/>
      <c r="AF22" s="477"/>
      <c r="AG22" s="477"/>
      <c r="AH22" s="477"/>
      <c r="AI22" s="477"/>
      <c r="AJ22" s="477"/>
      <c r="AK22" s="477"/>
    </row>
    <row r="23" spans="1:37" s="494" customFormat="1" ht="12" customHeight="1">
      <c r="A23" s="210"/>
      <c r="B23" s="482" t="s">
        <v>24</v>
      </c>
      <c r="C23" s="497"/>
      <c r="D23" s="479">
        <f>+D77+D44+D55+D61+D218+D229</f>
        <v>2230360</v>
      </c>
      <c r="E23" s="479" t="e">
        <f>+#REF!+E77+E44+E55+E61+E218+E229</f>
        <v>#REF!</v>
      </c>
      <c r="F23" s="479" t="e">
        <f>+#REF!+F77+F44+F55+F61+F218+F229</f>
        <v>#REF!</v>
      </c>
      <c r="G23" s="479" t="e">
        <f>+#REF!+G77+G44+G55+G61+G218+G229</f>
        <v>#REF!</v>
      </c>
      <c r="H23" s="479" t="e">
        <f>+#REF!+H77+H44+H55+H61+H218+H229</f>
        <v>#REF!</v>
      </c>
      <c r="I23" s="479" t="e">
        <f>+#REF!+I77+I44+I55+I61+I218+I229</f>
        <v>#REF!</v>
      </c>
      <c r="J23" s="479" t="e">
        <f>+#REF!+J77+J44+J55+J61+J218+J229</f>
        <v>#REF!</v>
      </c>
      <c r="K23" s="479" t="e">
        <f>+#REF!+K77+K44+K55+K61+K218+K229</f>
        <v>#REF!</v>
      </c>
      <c r="L23" s="479" t="e">
        <f>+#REF!+L77+L44+L55+L61+L218+L229</f>
        <v>#REF!</v>
      </c>
      <c r="M23" s="479">
        <f t="shared" ref="M23:W23" si="21">+M77+M44+M55+M61+M218+M229</f>
        <v>184517</v>
      </c>
      <c r="N23" s="479">
        <f t="shared" si="21"/>
        <v>0</v>
      </c>
      <c r="O23" s="479">
        <f t="shared" si="21"/>
        <v>184517</v>
      </c>
      <c r="P23" s="479">
        <f t="shared" si="21"/>
        <v>228488</v>
      </c>
      <c r="Q23" s="479">
        <f t="shared" si="21"/>
        <v>942647</v>
      </c>
      <c r="R23" s="479">
        <f t="shared" si="21"/>
        <v>439708</v>
      </c>
      <c r="S23" s="479">
        <f t="shared" si="21"/>
        <v>225000</v>
      </c>
      <c r="T23" s="479">
        <f t="shared" si="21"/>
        <v>210000</v>
      </c>
      <c r="U23" s="479">
        <f t="shared" si="21"/>
        <v>0</v>
      </c>
      <c r="V23" s="479">
        <f t="shared" si="21"/>
        <v>0</v>
      </c>
      <c r="W23" s="479">
        <f t="shared" si="21"/>
        <v>0</v>
      </c>
      <c r="X23" s="3911"/>
      <c r="Y23" s="492"/>
      <c r="Z23" s="500"/>
      <c r="AA23" s="493"/>
      <c r="AB23" s="493"/>
      <c r="AC23" s="493"/>
      <c r="AD23" s="493"/>
      <c r="AE23" s="493"/>
      <c r="AF23" s="493"/>
      <c r="AG23" s="493"/>
      <c r="AH23" s="493"/>
      <c r="AI23" s="493"/>
      <c r="AJ23" s="493"/>
      <c r="AK23" s="493"/>
    </row>
    <row r="24" spans="1:37" s="494" customFormat="1" ht="12" customHeight="1">
      <c r="A24" s="210"/>
      <c r="B24" s="482" t="s">
        <v>27</v>
      </c>
      <c r="C24" s="497"/>
      <c r="D24" s="486">
        <f>+D145</f>
        <v>5000000</v>
      </c>
      <c r="E24" s="486"/>
      <c r="F24" s="623"/>
      <c r="G24" s="623"/>
      <c r="H24" s="623"/>
      <c r="I24" s="624"/>
      <c r="J24" s="624"/>
      <c r="K24" s="624"/>
      <c r="L24" s="624"/>
      <c r="M24" s="486">
        <f>+M145</f>
        <v>0</v>
      </c>
      <c r="N24" s="486"/>
      <c r="O24" s="486">
        <f t="shared" ref="O24:W24" si="22">+O145</f>
        <v>0</v>
      </c>
      <c r="P24" s="486">
        <f t="shared" si="22"/>
        <v>0</v>
      </c>
      <c r="Q24" s="486">
        <f t="shared" si="22"/>
        <v>0</v>
      </c>
      <c r="R24" s="486">
        <f t="shared" si="22"/>
        <v>0</v>
      </c>
      <c r="S24" s="486">
        <f t="shared" si="22"/>
        <v>3328200</v>
      </c>
      <c r="T24" s="486">
        <f t="shared" si="22"/>
        <v>1671800</v>
      </c>
      <c r="U24" s="486">
        <f t="shared" si="22"/>
        <v>0</v>
      </c>
      <c r="V24" s="486">
        <f t="shared" si="22"/>
        <v>0</v>
      </c>
      <c r="W24" s="486">
        <f t="shared" si="22"/>
        <v>0</v>
      </c>
      <c r="X24" s="3911"/>
      <c r="Y24" s="492"/>
      <c r="Z24" s="500"/>
      <c r="AA24" s="493"/>
      <c r="AB24" s="493"/>
      <c r="AC24" s="493"/>
      <c r="AD24" s="493"/>
      <c r="AE24" s="493"/>
      <c r="AF24" s="493"/>
      <c r="AG24" s="493"/>
      <c r="AH24" s="493"/>
      <c r="AI24" s="493"/>
      <c r="AJ24" s="493"/>
      <c r="AK24" s="493"/>
    </row>
    <row r="25" spans="1:37" s="478" customFormat="1" ht="12" customHeight="1">
      <c r="A25" s="194"/>
      <c r="B25" s="207" t="s">
        <v>29</v>
      </c>
      <c r="C25" s="208"/>
      <c r="D25" s="209">
        <f>+D26</f>
        <v>269862759</v>
      </c>
      <c r="E25" s="209">
        <f t="shared" ref="E25:O25" si="23">+E26</f>
        <v>0</v>
      </c>
      <c r="F25" s="488">
        <f t="shared" si="23"/>
        <v>0</v>
      </c>
      <c r="G25" s="488">
        <f t="shared" si="23"/>
        <v>2563346</v>
      </c>
      <c r="H25" s="488">
        <f t="shared" si="23"/>
        <v>8310034</v>
      </c>
      <c r="I25" s="489">
        <f t="shared" si="23"/>
        <v>0</v>
      </c>
      <c r="J25" s="489">
        <f t="shared" si="23"/>
        <v>0</v>
      </c>
      <c r="K25" s="489">
        <f t="shared" si="23"/>
        <v>0</v>
      </c>
      <c r="L25" s="489">
        <f t="shared" si="23"/>
        <v>0</v>
      </c>
      <c r="M25" s="209">
        <f t="shared" si="23"/>
        <v>1045597</v>
      </c>
      <c r="N25" s="209">
        <f t="shared" si="23"/>
        <v>0</v>
      </c>
      <c r="O25" s="209">
        <f t="shared" si="23"/>
        <v>1045597</v>
      </c>
      <c r="P25" s="209">
        <f t="shared" ref="P25:W25" si="24">+P26</f>
        <v>16338851</v>
      </c>
      <c r="Q25" s="209">
        <f t="shared" si="24"/>
        <v>38028682</v>
      </c>
      <c r="R25" s="209">
        <f t="shared" si="24"/>
        <v>43528343</v>
      </c>
      <c r="S25" s="209">
        <f t="shared" si="24"/>
        <v>59421573</v>
      </c>
      <c r="T25" s="209">
        <f t="shared" si="24"/>
        <v>43116281</v>
      </c>
      <c r="U25" s="209">
        <f t="shared" si="24"/>
        <v>22594948</v>
      </c>
      <c r="V25" s="209">
        <f t="shared" si="24"/>
        <v>22935629</v>
      </c>
      <c r="W25" s="209">
        <f t="shared" si="24"/>
        <v>22852855</v>
      </c>
      <c r="X25" s="3911"/>
      <c r="Y25" s="476"/>
      <c r="Z25" s="500"/>
      <c r="AA25" s="477"/>
      <c r="AB25" s="477"/>
      <c r="AC25" s="477"/>
      <c r="AD25" s="477"/>
      <c r="AE25" s="477"/>
      <c r="AF25" s="477"/>
      <c r="AG25" s="477"/>
      <c r="AH25" s="477"/>
      <c r="AI25" s="477"/>
      <c r="AJ25" s="477"/>
      <c r="AK25" s="477"/>
    </row>
    <row r="26" spans="1:37" s="494" customFormat="1" ht="12" customHeight="1" thickBot="1">
      <c r="A26" s="211"/>
      <c r="B26" s="498" t="s">
        <v>32</v>
      </c>
      <c r="C26" s="212"/>
      <c r="D26" s="213">
        <f t="shared" ref="D26:W26" si="25">+D35+D79+D88+D46+D57+D68+D113+D132+D147+D220+D231</f>
        <v>269862759</v>
      </c>
      <c r="E26" s="213">
        <f t="shared" si="25"/>
        <v>0</v>
      </c>
      <c r="F26" s="213">
        <f t="shared" si="25"/>
        <v>0</v>
      </c>
      <c r="G26" s="213">
        <f t="shared" si="25"/>
        <v>2563346</v>
      </c>
      <c r="H26" s="213">
        <f t="shared" si="25"/>
        <v>8310034</v>
      </c>
      <c r="I26" s="213">
        <f t="shared" si="25"/>
        <v>0</v>
      </c>
      <c r="J26" s="213">
        <f t="shared" si="25"/>
        <v>0</v>
      </c>
      <c r="K26" s="213">
        <f t="shared" si="25"/>
        <v>0</v>
      </c>
      <c r="L26" s="213">
        <f t="shared" si="25"/>
        <v>0</v>
      </c>
      <c r="M26" s="213">
        <f t="shared" si="25"/>
        <v>1045597</v>
      </c>
      <c r="N26" s="213">
        <f t="shared" si="25"/>
        <v>0</v>
      </c>
      <c r="O26" s="213">
        <f t="shared" si="25"/>
        <v>1045597</v>
      </c>
      <c r="P26" s="213">
        <f t="shared" si="25"/>
        <v>16338851</v>
      </c>
      <c r="Q26" s="213">
        <f t="shared" si="25"/>
        <v>38028682</v>
      </c>
      <c r="R26" s="213">
        <f t="shared" si="25"/>
        <v>43528343</v>
      </c>
      <c r="S26" s="213">
        <f t="shared" si="25"/>
        <v>59421573</v>
      </c>
      <c r="T26" s="213">
        <f t="shared" si="25"/>
        <v>43116281</v>
      </c>
      <c r="U26" s="213">
        <f t="shared" si="25"/>
        <v>22594948</v>
      </c>
      <c r="V26" s="213">
        <f t="shared" si="25"/>
        <v>22935629</v>
      </c>
      <c r="W26" s="213">
        <f t="shared" si="25"/>
        <v>22852855</v>
      </c>
      <c r="X26" s="3912"/>
      <c r="Y26" s="499"/>
      <c r="Z26" s="500">
        <f>D20-D26</f>
        <v>0</v>
      </c>
      <c r="AA26" s="493"/>
      <c r="AB26" s="493"/>
      <c r="AC26" s="493"/>
      <c r="AD26" s="493"/>
      <c r="AE26" s="493"/>
      <c r="AF26" s="493"/>
      <c r="AG26" s="493"/>
      <c r="AH26" s="493"/>
      <c r="AI26" s="493"/>
      <c r="AJ26" s="493"/>
      <c r="AK26" s="493"/>
    </row>
    <row r="27" spans="1:37" s="493" customFormat="1" ht="29.25" customHeight="1">
      <c r="A27" s="3929" t="s">
        <v>77</v>
      </c>
      <c r="B27" s="214" t="s">
        <v>471</v>
      </c>
      <c r="C27" s="215" t="s">
        <v>125</v>
      </c>
      <c r="D27" s="236"/>
      <c r="E27" s="614"/>
      <c r="F27" s="615"/>
      <c r="G27" s="615"/>
      <c r="H27" s="616"/>
      <c r="I27" s="617"/>
      <c r="J27" s="617"/>
      <c r="K27" s="618"/>
      <c r="L27" s="618"/>
      <c r="M27" s="234"/>
      <c r="N27" s="234"/>
      <c r="O27" s="234"/>
      <c r="P27" s="234"/>
      <c r="Q27" s="234"/>
      <c r="R27" s="234"/>
      <c r="S27" s="234"/>
      <c r="T27" s="234"/>
      <c r="U27" s="234"/>
      <c r="V27" s="234"/>
      <c r="W27" s="347"/>
      <c r="X27" s="501"/>
      <c r="Y27" s="4002" t="s">
        <v>472</v>
      </c>
    </row>
    <row r="28" spans="1:37" s="493" customFormat="1" ht="14.25" customHeight="1">
      <c r="A28" s="3930"/>
      <c r="B28" s="25" t="s">
        <v>21</v>
      </c>
      <c r="C28" s="225"/>
      <c r="D28" s="502">
        <f>+D29+D31</f>
        <v>1966760</v>
      </c>
      <c r="E28" s="502"/>
      <c r="F28" s="503"/>
      <c r="G28" s="503"/>
      <c r="H28" s="503"/>
      <c r="I28" s="504"/>
      <c r="J28" s="504"/>
      <c r="K28" s="504"/>
      <c r="L28" s="504"/>
      <c r="M28" s="1273">
        <f t="shared" ref="M28:V28" si="26">+M29+M31</f>
        <v>0</v>
      </c>
      <c r="N28" s="1273">
        <f t="shared" si="26"/>
        <v>0</v>
      </c>
      <c r="O28" s="1273">
        <f t="shared" si="26"/>
        <v>0</v>
      </c>
      <c r="P28" s="502">
        <f t="shared" si="26"/>
        <v>280870</v>
      </c>
      <c r="Q28" s="502">
        <f t="shared" si="26"/>
        <v>281070</v>
      </c>
      <c r="R28" s="502">
        <f t="shared" si="26"/>
        <v>281170</v>
      </c>
      <c r="S28" s="502">
        <f t="shared" si="26"/>
        <v>281170</v>
      </c>
      <c r="T28" s="502">
        <f t="shared" si="26"/>
        <v>281170</v>
      </c>
      <c r="U28" s="502">
        <f t="shared" si="26"/>
        <v>280970</v>
      </c>
      <c r="V28" s="502">
        <f t="shared" si="26"/>
        <v>280340</v>
      </c>
      <c r="W28" s="502"/>
      <c r="X28" s="505">
        <f>X29+X31</f>
        <v>1685890</v>
      </c>
      <c r="Y28" s="4003"/>
      <c r="Z28" s="468"/>
    </row>
    <row r="29" spans="1:37" s="511" customFormat="1" ht="12" customHeight="1">
      <c r="A29" s="3930"/>
      <c r="B29" s="217" t="s">
        <v>35</v>
      </c>
      <c r="C29" s="3952" t="s">
        <v>179</v>
      </c>
      <c r="D29" s="506">
        <f>+D30</f>
        <v>2000</v>
      </c>
      <c r="E29" s="506">
        <f t="shared" ref="E29:O29" si="27">+E31</f>
        <v>0</v>
      </c>
      <c r="F29" s="506">
        <f t="shared" si="27"/>
        <v>0</v>
      </c>
      <c r="G29" s="506">
        <f t="shared" si="27"/>
        <v>0</v>
      </c>
      <c r="H29" s="506">
        <f t="shared" si="27"/>
        <v>0</v>
      </c>
      <c r="I29" s="506">
        <f t="shared" si="27"/>
        <v>0</v>
      </c>
      <c r="J29" s="506">
        <f t="shared" si="27"/>
        <v>0</v>
      </c>
      <c r="K29" s="506">
        <f t="shared" si="27"/>
        <v>0</v>
      </c>
      <c r="L29" s="506">
        <f t="shared" si="27"/>
        <v>0</v>
      </c>
      <c r="M29" s="1274">
        <f t="shared" si="27"/>
        <v>0</v>
      </c>
      <c r="N29" s="1274">
        <f t="shared" si="27"/>
        <v>0</v>
      </c>
      <c r="O29" s="1274">
        <f t="shared" si="27"/>
        <v>0</v>
      </c>
      <c r="P29" s="506">
        <f>+P30</f>
        <v>100</v>
      </c>
      <c r="Q29" s="506">
        <f t="shared" ref="Q29:V29" si="28">+Q30</f>
        <v>300</v>
      </c>
      <c r="R29" s="506">
        <f t="shared" si="28"/>
        <v>400</v>
      </c>
      <c r="S29" s="506">
        <f t="shared" si="28"/>
        <v>400</v>
      </c>
      <c r="T29" s="506">
        <f t="shared" si="28"/>
        <v>400</v>
      </c>
      <c r="U29" s="506">
        <f t="shared" si="28"/>
        <v>200</v>
      </c>
      <c r="V29" s="506">
        <f t="shared" si="28"/>
        <v>200</v>
      </c>
      <c r="W29" s="506"/>
      <c r="X29" s="509">
        <f>+X30</f>
        <v>1900</v>
      </c>
      <c r="Y29" s="4003"/>
      <c r="Z29" s="510"/>
    </row>
    <row r="30" spans="1:37" s="511" customFormat="1" ht="11.25" customHeight="1">
      <c r="A30" s="3930"/>
      <c r="B30" s="218" t="s">
        <v>23</v>
      </c>
      <c r="C30" s="3954"/>
      <c r="D30" s="325">
        <f>M30+P30+Q30+R30+S30+T30+U30+V30+W30</f>
        <v>2000</v>
      </c>
      <c r="E30" s="1585"/>
      <c r="F30" s="1586"/>
      <c r="G30" s="1586"/>
      <c r="H30" s="1586"/>
      <c r="I30" s="1587"/>
      <c r="J30" s="1587"/>
      <c r="K30" s="1587"/>
      <c r="L30" s="1587"/>
      <c r="M30" s="2097">
        <f>+E30+I30+J30+K30+L30+N30+O30</f>
        <v>0</v>
      </c>
      <c r="N30" s="1588"/>
      <c r="O30" s="1588">
        <v>0</v>
      </c>
      <c r="P30" s="1585">
        <v>100</v>
      </c>
      <c r="Q30" s="1585">
        <v>300</v>
      </c>
      <c r="R30" s="1585">
        <v>400</v>
      </c>
      <c r="S30" s="1585">
        <v>400</v>
      </c>
      <c r="T30" s="1585">
        <v>400</v>
      </c>
      <c r="U30" s="1585">
        <v>200</v>
      </c>
      <c r="V30" s="1585">
        <v>200</v>
      </c>
      <c r="W30" s="1589"/>
      <c r="X30" s="1590">
        <f>SUM(Q30:W30)</f>
        <v>1900</v>
      </c>
      <c r="Y30" s="4003"/>
      <c r="Z30" s="510"/>
    </row>
    <row r="31" spans="1:37" s="493" customFormat="1" ht="12" customHeight="1">
      <c r="A31" s="3930"/>
      <c r="B31" s="104" t="s">
        <v>29</v>
      </c>
      <c r="C31" s="3862"/>
      <c r="D31" s="515">
        <f>+D32</f>
        <v>1964760</v>
      </c>
      <c r="E31" s="515"/>
      <c r="F31" s="507"/>
      <c r="G31" s="507"/>
      <c r="H31" s="507"/>
      <c r="I31" s="508"/>
      <c r="J31" s="508"/>
      <c r="K31" s="508"/>
      <c r="L31" s="508"/>
      <c r="M31" s="1275">
        <f t="shared" ref="M31:V31" si="29">M32</f>
        <v>0</v>
      </c>
      <c r="N31" s="1275">
        <f t="shared" si="29"/>
        <v>0</v>
      </c>
      <c r="O31" s="1275">
        <f t="shared" si="29"/>
        <v>0</v>
      </c>
      <c r="P31" s="515">
        <f t="shared" si="29"/>
        <v>280770</v>
      </c>
      <c r="Q31" s="515">
        <f t="shared" si="29"/>
        <v>280770</v>
      </c>
      <c r="R31" s="515">
        <f t="shared" si="29"/>
        <v>280770</v>
      </c>
      <c r="S31" s="515">
        <f t="shared" si="29"/>
        <v>280770</v>
      </c>
      <c r="T31" s="515">
        <f t="shared" si="29"/>
        <v>280770</v>
      </c>
      <c r="U31" s="515">
        <f t="shared" si="29"/>
        <v>280770</v>
      </c>
      <c r="V31" s="515">
        <f t="shared" si="29"/>
        <v>280140</v>
      </c>
      <c r="W31" s="515"/>
      <c r="X31" s="509">
        <f>+X32</f>
        <v>1683990</v>
      </c>
      <c r="Y31" s="4003"/>
      <c r="Z31" s="500"/>
      <c r="AA31" s="500"/>
    </row>
    <row r="32" spans="1:37" s="3214" customFormat="1">
      <c r="A32" s="3930"/>
      <c r="B32" s="516" t="s">
        <v>32</v>
      </c>
      <c r="C32" s="3883"/>
      <c r="D32" s="325">
        <f>M32+P32+Q32+R32+S32+T32+U32+V32+W32</f>
        <v>1964760</v>
      </c>
      <c r="E32" s="517"/>
      <c r="F32" s="518"/>
      <c r="G32" s="518"/>
      <c r="H32" s="518"/>
      <c r="I32" s="519"/>
      <c r="J32" s="519"/>
      <c r="K32" s="519"/>
      <c r="L32" s="519"/>
      <c r="M32" s="2097">
        <f>+E32+I32+J32+K32+L32+N32+O32</f>
        <v>0</v>
      </c>
      <c r="N32" s="434"/>
      <c r="O32" s="434">
        <f>491426-491426</f>
        <v>0</v>
      </c>
      <c r="P32" s="1079">
        <v>280770</v>
      </c>
      <c r="Q32" s="1079">
        <v>280770</v>
      </c>
      <c r="R32" s="1079">
        <v>280770</v>
      </c>
      <c r="S32" s="1079">
        <v>280770</v>
      </c>
      <c r="T32" s="1079">
        <v>280770</v>
      </c>
      <c r="U32" s="1079">
        <v>280770</v>
      </c>
      <c r="V32" s="1079">
        <v>280140</v>
      </c>
      <c r="W32" s="1079"/>
      <c r="X32" s="1590">
        <f>SUM(Q32:W32)</f>
        <v>1683990</v>
      </c>
      <c r="Y32" s="4003"/>
      <c r="Z32" s="468"/>
    </row>
    <row r="33" spans="1:26" s="3214" customFormat="1" ht="12.75" customHeight="1">
      <c r="A33" s="3637"/>
      <c r="B33" s="25" t="s">
        <v>33</v>
      </c>
      <c r="C33" s="220"/>
      <c r="D33" s="502">
        <f>+D34</f>
        <v>1964760</v>
      </c>
      <c r="E33" s="502"/>
      <c r="F33" s="503"/>
      <c r="G33" s="503"/>
      <c r="H33" s="503"/>
      <c r="I33" s="504"/>
      <c r="J33" s="504"/>
      <c r="K33" s="504"/>
      <c r="L33" s="504"/>
      <c r="M33" s="1273">
        <f>+M34</f>
        <v>0</v>
      </c>
      <c r="N33" s="1273">
        <f t="shared" ref="N33:W33" si="30">+N34</f>
        <v>0</v>
      </c>
      <c r="O33" s="1273">
        <f t="shared" si="30"/>
        <v>0</v>
      </c>
      <c r="P33" s="502">
        <f t="shared" si="30"/>
        <v>0</v>
      </c>
      <c r="Q33" s="502">
        <f t="shared" si="30"/>
        <v>280770</v>
      </c>
      <c r="R33" s="502">
        <f t="shared" si="30"/>
        <v>280770</v>
      </c>
      <c r="S33" s="502">
        <f t="shared" si="30"/>
        <v>280770</v>
      </c>
      <c r="T33" s="502">
        <f t="shared" si="30"/>
        <v>280770</v>
      </c>
      <c r="U33" s="502">
        <f t="shared" si="30"/>
        <v>280770</v>
      </c>
      <c r="V33" s="502">
        <f t="shared" si="30"/>
        <v>280770</v>
      </c>
      <c r="W33" s="502">
        <f t="shared" si="30"/>
        <v>280140</v>
      </c>
      <c r="X33" s="3953" t="s">
        <v>75</v>
      </c>
      <c r="Y33" s="4003"/>
      <c r="Z33" s="468"/>
    </row>
    <row r="34" spans="1:26" s="3214" customFormat="1" ht="12.75" customHeight="1">
      <c r="A34" s="3637"/>
      <c r="B34" s="523" t="s">
        <v>29</v>
      </c>
      <c r="C34" s="3862" t="s">
        <v>179</v>
      </c>
      <c r="D34" s="515">
        <f>+D35</f>
        <v>1964760</v>
      </c>
      <c r="E34" s="515"/>
      <c r="F34" s="507"/>
      <c r="G34" s="507"/>
      <c r="H34" s="507"/>
      <c r="I34" s="508"/>
      <c r="J34" s="508"/>
      <c r="K34" s="508"/>
      <c r="L34" s="508"/>
      <c r="M34" s="1275">
        <f t="shared" ref="M34:W34" si="31">M35</f>
        <v>0</v>
      </c>
      <c r="N34" s="1275">
        <f t="shared" si="31"/>
        <v>0</v>
      </c>
      <c r="O34" s="1275">
        <f t="shared" si="31"/>
        <v>0</v>
      </c>
      <c r="P34" s="515">
        <f t="shared" si="31"/>
        <v>0</v>
      </c>
      <c r="Q34" s="515">
        <f t="shared" si="31"/>
        <v>280770</v>
      </c>
      <c r="R34" s="515">
        <f t="shared" si="31"/>
        <v>280770</v>
      </c>
      <c r="S34" s="515">
        <f t="shared" si="31"/>
        <v>280770</v>
      </c>
      <c r="T34" s="515">
        <f t="shared" si="31"/>
        <v>280770</v>
      </c>
      <c r="U34" s="515">
        <f t="shared" si="31"/>
        <v>280770</v>
      </c>
      <c r="V34" s="515">
        <f t="shared" si="31"/>
        <v>280770</v>
      </c>
      <c r="W34" s="515">
        <f t="shared" si="31"/>
        <v>280140</v>
      </c>
      <c r="X34" s="3914"/>
      <c r="Y34" s="4003"/>
    </row>
    <row r="35" spans="1:26" s="3214" customFormat="1" ht="12" customHeight="1" thickBot="1">
      <c r="A35" s="3638"/>
      <c r="B35" s="524" t="s">
        <v>32</v>
      </c>
      <c r="C35" s="3905"/>
      <c r="D35" s="325">
        <f>M35+P35+Q35+R35+S35+T35+U35+V35+W35</f>
        <v>1964760</v>
      </c>
      <c r="E35" s="224"/>
      <c r="F35" s="525"/>
      <c r="G35" s="525"/>
      <c r="H35" s="525"/>
      <c r="I35" s="526"/>
      <c r="J35" s="526"/>
      <c r="K35" s="526"/>
      <c r="L35" s="526"/>
      <c r="M35" s="2097">
        <f>+E35+I35+J35+K35+L35+N35+O35</f>
        <v>0</v>
      </c>
      <c r="N35" s="404"/>
      <c r="O35" s="404">
        <f>491426-491426</f>
        <v>0</v>
      </c>
      <c r="P35" s="224">
        <v>0</v>
      </c>
      <c r="Q35" s="1079">
        <v>280770</v>
      </c>
      <c r="R35" s="1079">
        <v>280770</v>
      </c>
      <c r="S35" s="1079">
        <v>280770</v>
      </c>
      <c r="T35" s="1079">
        <v>280770</v>
      </c>
      <c r="U35" s="1079">
        <v>280770</v>
      </c>
      <c r="V35" s="1079">
        <v>280770</v>
      </c>
      <c r="W35" s="1079">
        <v>280140</v>
      </c>
      <c r="X35" s="3915"/>
      <c r="Y35" s="4004"/>
    </row>
    <row r="36" spans="1:26" s="3214" customFormat="1" ht="36.75" hidden="1" customHeight="1">
      <c r="A36" s="3929"/>
      <c r="B36" s="214" t="s">
        <v>180</v>
      </c>
      <c r="C36" s="215" t="s">
        <v>95</v>
      </c>
      <c r="D36" s="236"/>
      <c r="E36" s="614"/>
      <c r="F36" s="615"/>
      <c r="G36" s="615"/>
      <c r="H36" s="616"/>
      <c r="I36" s="617"/>
      <c r="J36" s="617"/>
      <c r="K36" s="618"/>
      <c r="L36" s="618"/>
      <c r="M36" s="234"/>
      <c r="N36" s="234"/>
      <c r="O36" s="234"/>
      <c r="P36" s="234"/>
      <c r="Q36" s="234"/>
      <c r="R36" s="234"/>
      <c r="S36" s="234"/>
      <c r="T36" s="234"/>
      <c r="U36" s="234"/>
      <c r="V36" s="234"/>
      <c r="W36" s="347"/>
      <c r="X36" s="501"/>
      <c r="Y36" s="4002" t="s">
        <v>178</v>
      </c>
    </row>
    <row r="37" spans="1:26" s="3214" customFormat="1" ht="12" hidden="1" customHeight="1">
      <c r="A37" s="3930"/>
      <c r="B37" s="25" t="s">
        <v>21</v>
      </c>
      <c r="C37" s="225"/>
      <c r="D37" s="502"/>
      <c r="E37" s="502"/>
      <c r="F37" s="503"/>
      <c r="G37" s="503"/>
      <c r="H37" s="503"/>
      <c r="I37" s="504"/>
      <c r="J37" s="504"/>
      <c r="K37" s="504"/>
      <c r="L37" s="504"/>
      <c r="M37" s="502"/>
      <c r="N37" s="502">
        <f t="shared" ref="N37:T37" si="32">+N38+N40</f>
        <v>0</v>
      </c>
      <c r="O37" s="502">
        <f t="shared" si="32"/>
        <v>0</v>
      </c>
      <c r="P37" s="502">
        <f t="shared" si="32"/>
        <v>0</v>
      </c>
      <c r="Q37" s="502">
        <f t="shared" si="32"/>
        <v>0</v>
      </c>
      <c r="R37" s="502">
        <f t="shared" si="32"/>
        <v>0</v>
      </c>
      <c r="S37" s="502">
        <f t="shared" si="32"/>
        <v>0</v>
      </c>
      <c r="T37" s="502">
        <f t="shared" si="32"/>
        <v>0</v>
      </c>
      <c r="U37" s="502"/>
      <c r="V37" s="502"/>
      <c r="W37" s="502"/>
      <c r="X37" s="505">
        <f>X38+X40</f>
        <v>0</v>
      </c>
      <c r="Y37" s="4003"/>
      <c r="Z37" s="468"/>
    </row>
    <row r="38" spans="1:26" s="3214" customFormat="1" ht="12" hidden="1" customHeight="1">
      <c r="A38" s="3930"/>
      <c r="B38" s="217" t="s">
        <v>35</v>
      </c>
      <c r="C38" s="3952" t="s">
        <v>179</v>
      </c>
      <c r="D38" s="506"/>
      <c r="E38" s="506"/>
      <c r="F38" s="507"/>
      <c r="G38" s="507"/>
      <c r="H38" s="507"/>
      <c r="I38" s="508"/>
      <c r="J38" s="508"/>
      <c r="K38" s="508"/>
      <c r="L38" s="508"/>
      <c r="M38" s="506"/>
      <c r="N38" s="506">
        <f t="shared" ref="N38:S38" si="33">+N39</f>
        <v>0</v>
      </c>
      <c r="O38" s="506">
        <f t="shared" si="33"/>
        <v>0</v>
      </c>
      <c r="P38" s="506">
        <f t="shared" si="33"/>
        <v>0</v>
      </c>
      <c r="Q38" s="506">
        <f t="shared" si="33"/>
        <v>0</v>
      </c>
      <c r="R38" s="506">
        <f t="shared" si="33"/>
        <v>0</v>
      </c>
      <c r="S38" s="506">
        <f t="shared" si="33"/>
        <v>0</v>
      </c>
      <c r="T38" s="506">
        <f>+T39</f>
        <v>0</v>
      </c>
      <c r="U38" s="506"/>
      <c r="V38" s="506"/>
      <c r="W38" s="506"/>
      <c r="X38" s="509">
        <f>+X39</f>
        <v>0</v>
      </c>
      <c r="Y38" s="4003"/>
    </row>
    <row r="39" spans="1:26" s="3214" customFormat="1" ht="12" hidden="1" customHeight="1">
      <c r="A39" s="3930"/>
      <c r="B39" s="218" t="s">
        <v>24</v>
      </c>
      <c r="C39" s="3862"/>
      <c r="D39" s="512"/>
      <c r="E39" s="512"/>
      <c r="F39" s="513"/>
      <c r="G39" s="513"/>
      <c r="H39" s="513"/>
      <c r="I39" s="514"/>
      <c r="J39" s="514"/>
      <c r="K39" s="514"/>
      <c r="L39" s="514"/>
      <c r="M39" s="512"/>
      <c r="N39" s="512">
        <v>0</v>
      </c>
      <c r="O39" s="512">
        <v>0</v>
      </c>
      <c r="P39" s="219">
        <v>0</v>
      </c>
      <c r="Q39" s="219">
        <v>0</v>
      </c>
      <c r="R39" s="219">
        <v>0</v>
      </c>
      <c r="S39" s="219">
        <v>0</v>
      </c>
      <c r="T39" s="219">
        <v>0</v>
      </c>
      <c r="U39" s="219"/>
      <c r="V39" s="219"/>
      <c r="W39" s="219"/>
      <c r="X39" s="480">
        <f>SUM(P39:T39)</f>
        <v>0</v>
      </c>
      <c r="Y39" s="4003"/>
    </row>
    <row r="40" spans="1:26" s="3214" customFormat="1" ht="12" hidden="1" customHeight="1">
      <c r="A40" s="3930"/>
      <c r="B40" s="104" t="s">
        <v>29</v>
      </c>
      <c r="C40" s="3862"/>
      <c r="D40" s="515"/>
      <c r="E40" s="515"/>
      <c r="F40" s="507"/>
      <c r="G40" s="507"/>
      <c r="H40" s="507"/>
      <c r="I40" s="508"/>
      <c r="J40" s="508"/>
      <c r="K40" s="508"/>
      <c r="L40" s="508"/>
      <c r="M40" s="515"/>
      <c r="N40" s="515">
        <f>N41</f>
        <v>0</v>
      </c>
      <c r="O40" s="515">
        <f t="shared" ref="O40:T40" si="34">O41</f>
        <v>0</v>
      </c>
      <c r="P40" s="515">
        <f t="shared" si="34"/>
        <v>0</v>
      </c>
      <c r="Q40" s="515">
        <f t="shared" si="34"/>
        <v>0</v>
      </c>
      <c r="R40" s="515">
        <f t="shared" si="34"/>
        <v>0</v>
      </c>
      <c r="S40" s="515">
        <f t="shared" si="34"/>
        <v>0</v>
      </c>
      <c r="T40" s="515">
        <f t="shared" si="34"/>
        <v>0</v>
      </c>
      <c r="U40" s="515"/>
      <c r="V40" s="515"/>
      <c r="W40" s="515"/>
      <c r="X40" s="527"/>
      <c r="Y40" s="4003"/>
    </row>
    <row r="41" spans="1:26" s="3214" customFormat="1" ht="12" hidden="1" customHeight="1">
      <c r="A41" s="3930"/>
      <c r="B41" s="516" t="s">
        <v>32</v>
      </c>
      <c r="C41" s="3883"/>
      <c r="D41" s="512"/>
      <c r="E41" s="512"/>
      <c r="F41" s="518"/>
      <c r="G41" s="518"/>
      <c r="H41" s="518"/>
      <c r="I41" s="519"/>
      <c r="J41" s="519"/>
      <c r="K41" s="519"/>
      <c r="L41" s="519"/>
      <c r="M41" s="512"/>
      <c r="N41" s="517">
        <v>0</v>
      </c>
      <c r="O41" s="517">
        <v>0</v>
      </c>
      <c r="P41" s="175">
        <v>0</v>
      </c>
      <c r="Q41" s="175">
        <v>0</v>
      </c>
      <c r="R41" s="175">
        <v>0</v>
      </c>
      <c r="S41" s="175">
        <v>0</v>
      </c>
      <c r="T41" s="175">
        <v>0</v>
      </c>
      <c r="U41" s="175"/>
      <c r="V41" s="175"/>
      <c r="W41" s="175"/>
      <c r="X41" s="480">
        <f>SUM(P41:T41)</f>
        <v>0</v>
      </c>
      <c r="Y41" s="4003"/>
    </row>
    <row r="42" spans="1:26" s="3214" customFormat="1" ht="12" hidden="1" customHeight="1">
      <c r="A42" s="3637"/>
      <c r="B42" s="25" t="s">
        <v>33</v>
      </c>
      <c r="C42" s="220"/>
      <c r="D42" s="502"/>
      <c r="E42" s="502"/>
      <c r="F42" s="503"/>
      <c r="G42" s="503"/>
      <c r="H42" s="503"/>
      <c r="I42" s="504"/>
      <c r="J42" s="504"/>
      <c r="K42" s="504"/>
      <c r="L42" s="504"/>
      <c r="M42" s="502"/>
      <c r="N42" s="502">
        <f t="shared" ref="N42:T42" si="35">N43+N45</f>
        <v>0</v>
      </c>
      <c r="O42" s="502">
        <f t="shared" si="35"/>
        <v>0</v>
      </c>
      <c r="P42" s="502">
        <f t="shared" si="35"/>
        <v>0</v>
      </c>
      <c r="Q42" s="502">
        <f t="shared" si="35"/>
        <v>0</v>
      </c>
      <c r="R42" s="502">
        <f t="shared" si="35"/>
        <v>0</v>
      </c>
      <c r="S42" s="502">
        <f t="shared" si="35"/>
        <v>0</v>
      </c>
      <c r="T42" s="502">
        <f t="shared" si="35"/>
        <v>0</v>
      </c>
      <c r="U42" s="502"/>
      <c r="V42" s="502"/>
      <c r="W42" s="502"/>
      <c r="X42" s="3953" t="s">
        <v>75</v>
      </c>
      <c r="Y42" s="4003"/>
    </row>
    <row r="43" spans="1:26" s="3214" customFormat="1" ht="12" hidden="1" customHeight="1">
      <c r="A43" s="3637"/>
      <c r="B43" s="221" t="s">
        <v>35</v>
      </c>
      <c r="C43" s="3952" t="s">
        <v>179</v>
      </c>
      <c r="D43" s="506"/>
      <c r="E43" s="506"/>
      <c r="F43" s="507"/>
      <c r="G43" s="507"/>
      <c r="H43" s="507"/>
      <c r="I43" s="508"/>
      <c r="J43" s="508"/>
      <c r="K43" s="508"/>
      <c r="L43" s="508"/>
      <c r="M43" s="506"/>
      <c r="N43" s="506">
        <f t="shared" ref="N43:T43" si="36">N44</f>
        <v>0</v>
      </c>
      <c r="O43" s="506">
        <f t="shared" si="36"/>
        <v>0</v>
      </c>
      <c r="P43" s="506">
        <f t="shared" si="36"/>
        <v>0</v>
      </c>
      <c r="Q43" s="506">
        <f t="shared" si="36"/>
        <v>0</v>
      </c>
      <c r="R43" s="506">
        <f t="shared" si="36"/>
        <v>0</v>
      </c>
      <c r="S43" s="506">
        <f t="shared" si="36"/>
        <v>0</v>
      </c>
      <c r="T43" s="506">
        <f t="shared" si="36"/>
        <v>0</v>
      </c>
      <c r="U43" s="506"/>
      <c r="V43" s="506"/>
      <c r="W43" s="506"/>
      <c r="X43" s="3914"/>
      <c r="Y43" s="4003"/>
    </row>
    <row r="44" spans="1:26" s="3214" customFormat="1" ht="12" hidden="1" customHeight="1">
      <c r="A44" s="3637"/>
      <c r="B44" s="222" t="s">
        <v>24</v>
      </c>
      <c r="C44" s="3862"/>
      <c r="D44" s="512"/>
      <c r="E44" s="512"/>
      <c r="F44" s="521"/>
      <c r="G44" s="521"/>
      <c r="H44" s="521"/>
      <c r="I44" s="522"/>
      <c r="J44" s="522"/>
      <c r="K44" s="522"/>
      <c r="L44" s="522"/>
      <c r="M44" s="512"/>
      <c r="N44" s="520">
        <v>0</v>
      </c>
      <c r="O44" s="520">
        <v>0</v>
      </c>
      <c r="P44" s="520">
        <v>0</v>
      </c>
      <c r="Q44" s="520">
        <v>0</v>
      </c>
      <c r="R44" s="520">
        <v>0</v>
      </c>
      <c r="S44" s="520">
        <v>0</v>
      </c>
      <c r="T44" s="520">
        <v>0</v>
      </c>
      <c r="U44" s="520"/>
      <c r="V44" s="520"/>
      <c r="W44" s="520"/>
      <c r="X44" s="3914"/>
      <c r="Y44" s="4003"/>
    </row>
    <row r="45" spans="1:26" s="3214" customFormat="1" ht="12" hidden="1" customHeight="1">
      <c r="A45" s="3637"/>
      <c r="B45" s="523" t="s">
        <v>29</v>
      </c>
      <c r="C45" s="3862"/>
      <c r="D45" s="515"/>
      <c r="E45" s="515"/>
      <c r="F45" s="507"/>
      <c r="G45" s="507"/>
      <c r="H45" s="507"/>
      <c r="I45" s="508"/>
      <c r="J45" s="508"/>
      <c r="K45" s="508"/>
      <c r="L45" s="508"/>
      <c r="M45" s="515"/>
      <c r="N45" s="515">
        <f t="shared" ref="N45:T45" si="37">N46</f>
        <v>0</v>
      </c>
      <c r="O45" s="515">
        <f t="shared" si="37"/>
        <v>0</v>
      </c>
      <c r="P45" s="515">
        <f t="shared" si="37"/>
        <v>0</v>
      </c>
      <c r="Q45" s="515">
        <f t="shared" si="37"/>
        <v>0</v>
      </c>
      <c r="R45" s="515">
        <f t="shared" si="37"/>
        <v>0</v>
      </c>
      <c r="S45" s="515">
        <f t="shared" si="37"/>
        <v>0</v>
      </c>
      <c r="T45" s="515">
        <f t="shared" si="37"/>
        <v>0</v>
      </c>
      <c r="U45" s="515"/>
      <c r="V45" s="515"/>
      <c r="W45" s="515"/>
      <c r="X45" s="3914"/>
      <c r="Y45" s="4003"/>
    </row>
    <row r="46" spans="1:26" s="3214" customFormat="1" ht="12" hidden="1" customHeight="1" thickBot="1">
      <c r="A46" s="3638"/>
      <c r="B46" s="524" t="s">
        <v>32</v>
      </c>
      <c r="C46" s="3905"/>
      <c r="D46" s="227"/>
      <c r="E46" s="223"/>
      <c r="F46" s="525"/>
      <c r="G46" s="525"/>
      <c r="H46" s="525"/>
      <c r="I46" s="526"/>
      <c r="J46" s="526"/>
      <c r="K46" s="526"/>
      <c r="L46" s="526"/>
      <c r="M46" s="227"/>
      <c r="N46" s="224">
        <v>0</v>
      </c>
      <c r="O46" s="224">
        <v>0</v>
      </c>
      <c r="P46" s="224">
        <v>0</v>
      </c>
      <c r="Q46" s="224">
        <v>0</v>
      </c>
      <c r="R46" s="224">
        <v>0</v>
      </c>
      <c r="S46" s="224">
        <v>0</v>
      </c>
      <c r="T46" s="224">
        <v>0</v>
      </c>
      <c r="U46" s="224"/>
      <c r="V46" s="224"/>
      <c r="W46" s="224"/>
      <c r="X46" s="3915"/>
      <c r="Y46" s="4004"/>
    </row>
    <row r="47" spans="1:26" s="3214" customFormat="1" ht="42" customHeight="1">
      <c r="A47" s="3929" t="s">
        <v>78</v>
      </c>
      <c r="B47" s="214" t="s">
        <v>342</v>
      </c>
      <c r="C47" s="215" t="s">
        <v>125</v>
      </c>
      <c r="D47" s="236"/>
      <c r="E47" s="614"/>
      <c r="F47" s="615"/>
      <c r="G47" s="615"/>
      <c r="H47" s="616"/>
      <c r="I47" s="617"/>
      <c r="J47" s="617"/>
      <c r="K47" s="618"/>
      <c r="L47" s="618"/>
      <c r="M47" s="234"/>
      <c r="N47" s="234"/>
      <c r="O47" s="234"/>
      <c r="P47" s="234"/>
      <c r="Q47" s="234"/>
      <c r="R47" s="234"/>
      <c r="S47" s="234"/>
      <c r="T47" s="234"/>
      <c r="U47" s="234"/>
      <c r="V47" s="234"/>
      <c r="W47" s="347"/>
      <c r="X47" s="501"/>
      <c r="Y47" s="3949" t="s">
        <v>431</v>
      </c>
    </row>
    <row r="48" spans="1:26" s="3214" customFormat="1" ht="12" customHeight="1">
      <c r="A48" s="3930"/>
      <c r="B48" s="1320" t="s">
        <v>21</v>
      </c>
      <c r="C48" s="1517"/>
      <c r="D48" s="2235">
        <f>+D49+D51</f>
        <v>9889029</v>
      </c>
      <c r="E48" s="2235">
        <f t="shared" ref="E48:P48" si="38">+E49+E51</f>
        <v>0</v>
      </c>
      <c r="F48" s="2236">
        <f t="shared" si="38"/>
        <v>0</v>
      </c>
      <c r="G48" s="2236">
        <f t="shared" si="38"/>
        <v>0</v>
      </c>
      <c r="H48" s="2236">
        <f t="shared" si="38"/>
        <v>0</v>
      </c>
      <c r="I48" s="2237">
        <f t="shared" si="38"/>
        <v>0</v>
      </c>
      <c r="J48" s="2237">
        <f t="shared" si="38"/>
        <v>0</v>
      </c>
      <c r="K48" s="2237">
        <f t="shared" si="38"/>
        <v>0</v>
      </c>
      <c r="L48" s="2237">
        <f t="shared" si="38"/>
        <v>0</v>
      </c>
      <c r="M48" s="2235">
        <f>+M49+M51</f>
        <v>1192076</v>
      </c>
      <c r="N48" s="2235">
        <f t="shared" si="38"/>
        <v>0</v>
      </c>
      <c r="O48" s="2235">
        <f t="shared" si="38"/>
        <v>1192076</v>
      </c>
      <c r="P48" s="2235">
        <f t="shared" si="38"/>
        <v>1396953</v>
      </c>
      <c r="Q48" s="2235">
        <f>+Q49+Q51</f>
        <v>2200000</v>
      </c>
      <c r="R48" s="2235">
        <f>+R49+R51</f>
        <v>2200000</v>
      </c>
      <c r="S48" s="2235">
        <f>+S49+S51</f>
        <v>1500000</v>
      </c>
      <c r="T48" s="2235">
        <f>+T49+T51</f>
        <v>1400000</v>
      </c>
      <c r="U48" s="2235"/>
      <c r="V48" s="2235"/>
      <c r="W48" s="2235"/>
      <c r="X48" s="2238">
        <f>X49+X51</f>
        <v>7300000</v>
      </c>
      <c r="Y48" s="3950"/>
    </row>
    <row r="49" spans="1:25" s="3214" customFormat="1" ht="12" customHeight="1">
      <c r="A49" s="3930"/>
      <c r="B49" s="1251" t="s">
        <v>35</v>
      </c>
      <c r="C49" s="3934" t="s">
        <v>257</v>
      </c>
      <c r="D49" s="2239">
        <f>+D50</f>
        <v>1483354</v>
      </c>
      <c r="E49" s="2239">
        <f t="shared" ref="E49:T49" si="39">+E50</f>
        <v>0</v>
      </c>
      <c r="F49" s="2240">
        <f t="shared" si="39"/>
        <v>0</v>
      </c>
      <c r="G49" s="2240">
        <f t="shared" si="39"/>
        <v>0</v>
      </c>
      <c r="H49" s="2240">
        <f t="shared" si="39"/>
        <v>0</v>
      </c>
      <c r="I49" s="2241">
        <f t="shared" si="39"/>
        <v>0</v>
      </c>
      <c r="J49" s="2241">
        <f t="shared" si="39"/>
        <v>0</v>
      </c>
      <c r="K49" s="2241">
        <f t="shared" si="39"/>
        <v>0</v>
      </c>
      <c r="L49" s="2241">
        <f t="shared" si="39"/>
        <v>0</v>
      </c>
      <c r="M49" s="2239">
        <f>+M50</f>
        <v>178811</v>
      </c>
      <c r="N49" s="2239">
        <f t="shared" si="39"/>
        <v>0</v>
      </c>
      <c r="O49" s="2239">
        <f t="shared" si="39"/>
        <v>178811</v>
      </c>
      <c r="P49" s="2239">
        <f t="shared" si="39"/>
        <v>209543</v>
      </c>
      <c r="Q49" s="2239">
        <f t="shared" si="39"/>
        <v>330000</v>
      </c>
      <c r="R49" s="2239">
        <f t="shared" si="39"/>
        <v>330000</v>
      </c>
      <c r="S49" s="2239">
        <f t="shared" si="39"/>
        <v>225000</v>
      </c>
      <c r="T49" s="2239">
        <f t="shared" si="39"/>
        <v>210000</v>
      </c>
      <c r="U49" s="2239"/>
      <c r="V49" s="2239"/>
      <c r="W49" s="2239"/>
      <c r="X49" s="1502">
        <f>+X50</f>
        <v>1095000</v>
      </c>
      <c r="Y49" s="3950"/>
    </row>
    <row r="50" spans="1:25" s="3214" customFormat="1" ht="12" customHeight="1">
      <c r="A50" s="3930"/>
      <c r="B50" s="218" t="s">
        <v>24</v>
      </c>
      <c r="C50" s="3862"/>
      <c r="D50" s="2234">
        <f>M50+P50+Q50+R50+S50+T50+U50+V50+W50</f>
        <v>1483354</v>
      </c>
      <c r="E50" s="2242">
        <v>0</v>
      </c>
      <c r="F50" s="2243"/>
      <c r="G50" s="2243"/>
      <c r="H50" s="2243">
        <v>0</v>
      </c>
      <c r="I50" s="2244"/>
      <c r="J50" s="2244"/>
      <c r="K50" s="2244"/>
      <c r="L50" s="2244"/>
      <c r="M50" s="2234">
        <f>+E50+I50+J50+K50+L50+N50+O50</f>
        <v>178811</v>
      </c>
      <c r="N50" s="2242">
        <v>0</v>
      </c>
      <c r="O50" s="2242">
        <f>277800-98989</f>
        <v>178811</v>
      </c>
      <c r="P50" s="219">
        <f>345000-78784-56673</f>
        <v>209543</v>
      </c>
      <c r="Q50" s="219">
        <v>330000</v>
      </c>
      <c r="R50" s="219">
        <v>330000</v>
      </c>
      <c r="S50" s="219">
        <v>225000</v>
      </c>
      <c r="T50" s="219">
        <v>210000</v>
      </c>
      <c r="U50" s="219"/>
      <c r="V50" s="219"/>
      <c r="W50" s="219"/>
      <c r="X50" s="2245">
        <f>SUM(Q50:W50)</f>
        <v>1095000</v>
      </c>
      <c r="Y50" s="3950"/>
    </row>
    <row r="51" spans="1:25" s="3214" customFormat="1" ht="12" customHeight="1">
      <c r="A51" s="3930"/>
      <c r="B51" s="1505" t="s">
        <v>29</v>
      </c>
      <c r="C51" s="3862"/>
      <c r="D51" s="2246">
        <f>+D52</f>
        <v>8405675</v>
      </c>
      <c r="E51" s="2246">
        <f t="shared" ref="E51:T51" si="40">E52</f>
        <v>0</v>
      </c>
      <c r="F51" s="2240">
        <f t="shared" si="40"/>
        <v>0</v>
      </c>
      <c r="G51" s="2240">
        <f t="shared" si="40"/>
        <v>0</v>
      </c>
      <c r="H51" s="2240">
        <f t="shared" si="40"/>
        <v>0</v>
      </c>
      <c r="I51" s="2241">
        <f t="shared" si="40"/>
        <v>0</v>
      </c>
      <c r="J51" s="2241">
        <f t="shared" si="40"/>
        <v>0</v>
      </c>
      <c r="K51" s="2241">
        <f t="shared" si="40"/>
        <v>0</v>
      </c>
      <c r="L51" s="2241">
        <f t="shared" si="40"/>
        <v>0</v>
      </c>
      <c r="M51" s="2246">
        <f t="shared" si="40"/>
        <v>1013265</v>
      </c>
      <c r="N51" s="2246">
        <f t="shared" si="40"/>
        <v>0</v>
      </c>
      <c r="O51" s="2246">
        <f t="shared" si="40"/>
        <v>1013265</v>
      </c>
      <c r="P51" s="2246">
        <f t="shared" si="40"/>
        <v>1187410</v>
      </c>
      <c r="Q51" s="2246">
        <f t="shared" si="40"/>
        <v>1870000</v>
      </c>
      <c r="R51" s="2246">
        <f t="shared" si="40"/>
        <v>1870000</v>
      </c>
      <c r="S51" s="2246">
        <f t="shared" si="40"/>
        <v>1275000</v>
      </c>
      <c r="T51" s="2246">
        <f t="shared" si="40"/>
        <v>1190000</v>
      </c>
      <c r="U51" s="2246"/>
      <c r="V51" s="2246"/>
      <c r="W51" s="2246"/>
      <c r="X51" s="1502">
        <f>+X52</f>
        <v>6205000</v>
      </c>
      <c r="Y51" s="3950"/>
    </row>
    <row r="52" spans="1:25" s="3214" customFormat="1" ht="12" customHeight="1">
      <c r="A52" s="3930"/>
      <c r="B52" s="1507" t="s">
        <v>32</v>
      </c>
      <c r="C52" s="3883"/>
      <c r="D52" s="2234">
        <f>M52+P52+Q52+R52+S52+T52+U52+V52+W52</f>
        <v>8405675</v>
      </c>
      <c r="E52" s="1509">
        <v>0</v>
      </c>
      <c r="F52" s="2247"/>
      <c r="G52" s="2247"/>
      <c r="H52" s="2247">
        <v>0</v>
      </c>
      <c r="I52" s="2248"/>
      <c r="J52" s="2248"/>
      <c r="K52" s="2248"/>
      <c r="L52" s="2248"/>
      <c r="M52" s="2234">
        <f>+E52+I52+J52+K52+L52+N52+O52</f>
        <v>1013265</v>
      </c>
      <c r="N52" s="1509">
        <v>0</v>
      </c>
      <c r="O52" s="1509">
        <f>1574200-560935</f>
        <v>1013265</v>
      </c>
      <c r="P52" s="175">
        <f>1955000-446442-321148</f>
        <v>1187410</v>
      </c>
      <c r="Q52" s="175">
        <v>1870000</v>
      </c>
      <c r="R52" s="175">
        <v>1870000</v>
      </c>
      <c r="S52" s="175">
        <v>1275000</v>
      </c>
      <c r="T52" s="175">
        <v>1190000</v>
      </c>
      <c r="U52" s="175"/>
      <c r="V52" s="175"/>
      <c r="W52" s="175"/>
      <c r="X52" s="2245">
        <f>SUM(Q52:W52)</f>
        <v>6205000</v>
      </c>
      <c r="Y52" s="3950"/>
    </row>
    <row r="53" spans="1:25" s="3214" customFormat="1" ht="12" customHeight="1">
      <c r="A53" s="3637"/>
      <c r="B53" s="1320" t="s">
        <v>33</v>
      </c>
      <c r="C53" s="1510"/>
      <c r="D53" s="2235">
        <f>+D54+D56</f>
        <v>9889029</v>
      </c>
      <c r="E53" s="2235">
        <f t="shared" ref="E53:P53" si="41">E54+E56</f>
        <v>0</v>
      </c>
      <c r="F53" s="2236">
        <f t="shared" si="41"/>
        <v>0</v>
      </c>
      <c r="G53" s="2236">
        <f t="shared" si="41"/>
        <v>0</v>
      </c>
      <c r="H53" s="2236">
        <f t="shared" si="41"/>
        <v>0</v>
      </c>
      <c r="I53" s="2237">
        <f t="shared" si="41"/>
        <v>0</v>
      </c>
      <c r="J53" s="2237">
        <f t="shared" si="41"/>
        <v>0</v>
      </c>
      <c r="K53" s="2237">
        <f t="shared" si="41"/>
        <v>0</v>
      </c>
      <c r="L53" s="2237">
        <f t="shared" si="41"/>
        <v>0</v>
      </c>
      <c r="M53" s="2235">
        <f>M54+M56</f>
        <v>1192076</v>
      </c>
      <c r="N53" s="2235">
        <f t="shared" si="41"/>
        <v>0</v>
      </c>
      <c r="O53" s="2235">
        <f t="shared" si="41"/>
        <v>1192076</v>
      </c>
      <c r="P53" s="2235">
        <f t="shared" si="41"/>
        <v>1396953</v>
      </c>
      <c r="Q53" s="2235">
        <f>Q54+Q56</f>
        <v>2200000</v>
      </c>
      <c r="R53" s="2235">
        <f>R54+R56</f>
        <v>2200000</v>
      </c>
      <c r="S53" s="1321">
        <f>S54+S56</f>
        <v>1500000</v>
      </c>
      <c r="T53" s="2235">
        <f>T54+T56</f>
        <v>1400000</v>
      </c>
      <c r="U53" s="2235"/>
      <c r="V53" s="2235"/>
      <c r="W53" s="2235"/>
      <c r="X53" s="3913" t="s">
        <v>75</v>
      </c>
      <c r="Y53" s="3950"/>
    </row>
    <row r="54" spans="1:25" s="3214" customFormat="1" ht="12" customHeight="1">
      <c r="A54" s="3637"/>
      <c r="B54" s="1512" t="s">
        <v>35</v>
      </c>
      <c r="C54" s="3934" t="s">
        <v>257</v>
      </c>
      <c r="D54" s="2239">
        <f>+D55</f>
        <v>1483354</v>
      </c>
      <c r="E54" s="2239">
        <f t="shared" ref="E54:T54" si="42">E55</f>
        <v>0</v>
      </c>
      <c r="F54" s="2240">
        <f t="shared" si="42"/>
        <v>0</v>
      </c>
      <c r="G54" s="2240">
        <f t="shared" si="42"/>
        <v>0</v>
      </c>
      <c r="H54" s="2240">
        <f t="shared" si="42"/>
        <v>0</v>
      </c>
      <c r="I54" s="2241">
        <f t="shared" si="42"/>
        <v>0</v>
      </c>
      <c r="J54" s="2241">
        <f t="shared" si="42"/>
        <v>0</v>
      </c>
      <c r="K54" s="2241">
        <f t="shared" si="42"/>
        <v>0</v>
      </c>
      <c r="L54" s="2241">
        <f t="shared" si="42"/>
        <v>0</v>
      </c>
      <c r="M54" s="2239">
        <f t="shared" si="42"/>
        <v>178811</v>
      </c>
      <c r="N54" s="2239">
        <f t="shared" si="42"/>
        <v>0</v>
      </c>
      <c r="O54" s="2239">
        <f t="shared" si="42"/>
        <v>178811</v>
      </c>
      <c r="P54" s="2239">
        <f t="shared" si="42"/>
        <v>209543</v>
      </c>
      <c r="Q54" s="2239">
        <f t="shared" si="42"/>
        <v>330000</v>
      </c>
      <c r="R54" s="2239">
        <f t="shared" si="42"/>
        <v>330000</v>
      </c>
      <c r="S54" s="1513">
        <f t="shared" si="42"/>
        <v>225000</v>
      </c>
      <c r="T54" s="2239">
        <f t="shared" si="42"/>
        <v>210000</v>
      </c>
      <c r="U54" s="2239"/>
      <c r="V54" s="2239"/>
      <c r="W54" s="2239"/>
      <c r="X54" s="3914"/>
      <c r="Y54" s="3950"/>
    </row>
    <row r="55" spans="1:25" s="3214" customFormat="1" ht="12" customHeight="1">
      <c r="A55" s="3637"/>
      <c r="B55" s="222" t="s">
        <v>24</v>
      </c>
      <c r="C55" s="3862"/>
      <c r="D55" s="2234">
        <f>M55+P55+Q55+R55+S55+T55+U55+V55+W55</f>
        <v>1483354</v>
      </c>
      <c r="E55" s="1344">
        <v>0</v>
      </c>
      <c r="F55" s="2249"/>
      <c r="G55" s="2249"/>
      <c r="H55" s="2249"/>
      <c r="I55" s="2250"/>
      <c r="J55" s="2250"/>
      <c r="K55" s="2250"/>
      <c r="L55" s="2250"/>
      <c r="M55" s="2234">
        <f>+E55+I55+J55+K55+L55+N55+O55</f>
        <v>178811</v>
      </c>
      <c r="N55" s="1344">
        <v>0</v>
      </c>
      <c r="O55" s="1344">
        <f>277800-98989</f>
        <v>178811</v>
      </c>
      <c r="P55" s="1344">
        <f>345000-78784-56673</f>
        <v>209543</v>
      </c>
      <c r="Q55" s="1344">
        <v>330000</v>
      </c>
      <c r="R55" s="1344">
        <v>330000</v>
      </c>
      <c r="S55" s="1344">
        <v>225000</v>
      </c>
      <c r="T55" s="1344">
        <v>210000</v>
      </c>
      <c r="U55" s="1344"/>
      <c r="V55" s="1344"/>
      <c r="W55" s="1344"/>
      <c r="X55" s="3914"/>
      <c r="Y55" s="3950"/>
    </row>
    <row r="56" spans="1:25" s="3214" customFormat="1" ht="12" customHeight="1">
      <c r="A56" s="3637"/>
      <c r="B56" s="1515" t="s">
        <v>29</v>
      </c>
      <c r="C56" s="3862"/>
      <c r="D56" s="2246">
        <f>+D57</f>
        <v>8405675</v>
      </c>
      <c r="E56" s="2246">
        <f t="shared" ref="E56:T56" si="43">E57</f>
        <v>0</v>
      </c>
      <c r="F56" s="2240">
        <f t="shared" si="43"/>
        <v>0</v>
      </c>
      <c r="G56" s="2240">
        <f t="shared" si="43"/>
        <v>0</v>
      </c>
      <c r="H56" s="2240">
        <f t="shared" si="43"/>
        <v>0</v>
      </c>
      <c r="I56" s="2241">
        <f t="shared" si="43"/>
        <v>0</v>
      </c>
      <c r="J56" s="2241">
        <f t="shared" si="43"/>
        <v>0</v>
      </c>
      <c r="K56" s="2241">
        <f t="shared" si="43"/>
        <v>0</v>
      </c>
      <c r="L56" s="2241">
        <f t="shared" si="43"/>
        <v>0</v>
      </c>
      <c r="M56" s="2246">
        <f t="shared" si="43"/>
        <v>1013265</v>
      </c>
      <c r="N56" s="2246">
        <f t="shared" si="43"/>
        <v>0</v>
      </c>
      <c r="O56" s="2246">
        <f t="shared" si="43"/>
        <v>1013265</v>
      </c>
      <c r="P56" s="2246">
        <f t="shared" si="43"/>
        <v>1187410</v>
      </c>
      <c r="Q56" s="2246">
        <f t="shared" si="43"/>
        <v>1870000</v>
      </c>
      <c r="R56" s="2246">
        <f t="shared" si="43"/>
        <v>1870000</v>
      </c>
      <c r="S56" s="1351">
        <f t="shared" si="43"/>
        <v>1275000</v>
      </c>
      <c r="T56" s="2246">
        <f t="shared" si="43"/>
        <v>1190000</v>
      </c>
      <c r="U56" s="2246"/>
      <c r="V56" s="2246"/>
      <c r="W56" s="2246"/>
      <c r="X56" s="3914"/>
      <c r="Y56" s="3950"/>
    </row>
    <row r="57" spans="1:25" s="3214" customFormat="1" ht="12" customHeight="1" thickBot="1">
      <c r="A57" s="3638"/>
      <c r="B57" s="524" t="s">
        <v>32</v>
      </c>
      <c r="C57" s="3905"/>
      <c r="D57" s="2215">
        <f>M57+P57+Q57+R57+S57+T57+U57+V57+W57</f>
        <v>8405675</v>
      </c>
      <c r="E57" s="1310">
        <v>0</v>
      </c>
      <c r="F57" s="2181"/>
      <c r="G57" s="2181"/>
      <c r="H57" s="2181">
        <v>0</v>
      </c>
      <c r="I57" s="2182"/>
      <c r="J57" s="2182"/>
      <c r="K57" s="2182"/>
      <c r="L57" s="2182"/>
      <c r="M57" s="2215">
        <f>+E57+I57+J57+K57+L57+N57+O57</f>
        <v>1013265</v>
      </c>
      <c r="N57" s="1310">
        <v>0</v>
      </c>
      <c r="O57" s="1310">
        <f>1574200-560935</f>
        <v>1013265</v>
      </c>
      <c r="P57" s="1310">
        <f>1955000-446442-321148</f>
        <v>1187410</v>
      </c>
      <c r="Q57" s="1310">
        <v>1870000</v>
      </c>
      <c r="R57" s="1310">
        <v>1870000</v>
      </c>
      <c r="S57" s="1310">
        <v>1275000</v>
      </c>
      <c r="T57" s="1310">
        <v>1190000</v>
      </c>
      <c r="U57" s="1310"/>
      <c r="V57" s="1310"/>
      <c r="W57" s="1310"/>
      <c r="X57" s="3915"/>
      <c r="Y57" s="3951"/>
    </row>
    <row r="58" spans="1:25" s="3214" customFormat="1" ht="43.5" customHeight="1">
      <c r="A58" s="3929" t="s">
        <v>79</v>
      </c>
      <c r="B58" s="214" t="s">
        <v>410</v>
      </c>
      <c r="C58" s="215" t="s">
        <v>95</v>
      </c>
      <c r="D58" s="236"/>
      <c r="E58" s="614"/>
      <c r="F58" s="615"/>
      <c r="G58" s="615"/>
      <c r="H58" s="616"/>
      <c r="I58" s="617"/>
      <c r="J58" s="617"/>
      <c r="K58" s="618"/>
      <c r="L58" s="618"/>
      <c r="M58" s="234"/>
      <c r="N58" s="234"/>
      <c r="O58" s="234"/>
      <c r="P58" s="234"/>
      <c r="Q58" s="234"/>
      <c r="R58" s="234"/>
      <c r="S58" s="234"/>
      <c r="T58" s="234"/>
      <c r="U58" s="234"/>
      <c r="V58" s="234"/>
      <c r="W58" s="347"/>
      <c r="X58" s="501"/>
      <c r="Y58" s="3949" t="s">
        <v>431</v>
      </c>
    </row>
    <row r="59" spans="1:25" s="3214" customFormat="1" ht="12" customHeight="1">
      <c r="A59" s="3930"/>
      <c r="B59" s="25" t="s">
        <v>21</v>
      </c>
      <c r="C59" s="678"/>
      <c r="D59" s="679">
        <f>+D60+D62</f>
        <v>38038</v>
      </c>
      <c r="E59" s="679">
        <f t="shared" ref="E59:P59" si="44">+E60+E62</f>
        <v>0</v>
      </c>
      <c r="F59" s="680">
        <f t="shared" si="44"/>
        <v>0</v>
      </c>
      <c r="G59" s="680">
        <f t="shared" si="44"/>
        <v>0</v>
      </c>
      <c r="H59" s="680">
        <f t="shared" si="44"/>
        <v>0</v>
      </c>
      <c r="I59" s="681">
        <f t="shared" si="44"/>
        <v>0</v>
      </c>
      <c r="J59" s="681">
        <f t="shared" si="44"/>
        <v>0</v>
      </c>
      <c r="K59" s="681">
        <f t="shared" si="44"/>
        <v>0</v>
      </c>
      <c r="L59" s="681">
        <f t="shared" si="44"/>
        <v>0</v>
      </c>
      <c r="M59" s="679">
        <f>+M60+M62</f>
        <v>38038</v>
      </c>
      <c r="N59" s="679">
        <f t="shared" si="44"/>
        <v>0</v>
      </c>
      <c r="O59" s="679">
        <f t="shared" si="44"/>
        <v>38038</v>
      </c>
      <c r="P59" s="679">
        <f t="shared" si="44"/>
        <v>0</v>
      </c>
      <c r="Q59" s="679">
        <f>+Q60+Q62</f>
        <v>0</v>
      </c>
      <c r="R59" s="679">
        <f>+R60+R62</f>
        <v>0</v>
      </c>
      <c r="S59" s="679">
        <f>+S60+S62</f>
        <v>0</v>
      </c>
      <c r="T59" s="679">
        <f>+T60+T62</f>
        <v>0</v>
      </c>
      <c r="U59" s="679"/>
      <c r="V59" s="679"/>
      <c r="W59" s="679"/>
      <c r="X59" s="682">
        <f>X60+X62</f>
        <v>0</v>
      </c>
      <c r="Y59" s="3950"/>
    </row>
    <row r="60" spans="1:25" s="3214" customFormat="1" ht="12" customHeight="1">
      <c r="A60" s="3930"/>
      <c r="B60" s="217" t="s">
        <v>35</v>
      </c>
      <c r="C60" s="4001" t="s">
        <v>257</v>
      </c>
      <c r="D60" s="683">
        <f>+D61</f>
        <v>5706</v>
      </c>
      <c r="E60" s="683">
        <f t="shared" ref="E60:T60" si="45">+E61</f>
        <v>0</v>
      </c>
      <c r="F60" s="684">
        <f t="shared" si="45"/>
        <v>0</v>
      </c>
      <c r="G60" s="684">
        <f t="shared" si="45"/>
        <v>0</v>
      </c>
      <c r="H60" s="684">
        <f t="shared" si="45"/>
        <v>0</v>
      </c>
      <c r="I60" s="685">
        <f t="shared" si="45"/>
        <v>0</v>
      </c>
      <c r="J60" s="685">
        <f t="shared" si="45"/>
        <v>0</v>
      </c>
      <c r="K60" s="685">
        <f t="shared" si="45"/>
        <v>0</v>
      </c>
      <c r="L60" s="685">
        <f t="shared" si="45"/>
        <v>0</v>
      </c>
      <c r="M60" s="683">
        <f>+M61</f>
        <v>5706</v>
      </c>
      <c r="N60" s="683">
        <f t="shared" si="45"/>
        <v>0</v>
      </c>
      <c r="O60" s="683">
        <f t="shared" si="45"/>
        <v>5706</v>
      </c>
      <c r="P60" s="683">
        <f t="shared" si="45"/>
        <v>0</v>
      </c>
      <c r="Q60" s="683">
        <f t="shared" si="45"/>
        <v>0</v>
      </c>
      <c r="R60" s="683">
        <f t="shared" si="45"/>
        <v>0</v>
      </c>
      <c r="S60" s="683">
        <f t="shared" si="45"/>
        <v>0</v>
      </c>
      <c r="T60" s="683">
        <f t="shared" si="45"/>
        <v>0</v>
      </c>
      <c r="U60" s="683"/>
      <c r="V60" s="683"/>
      <c r="W60" s="683"/>
      <c r="X60" s="686">
        <f>+X61</f>
        <v>0</v>
      </c>
      <c r="Y60" s="3950"/>
    </row>
    <row r="61" spans="1:25" s="3214" customFormat="1" ht="12" customHeight="1">
      <c r="A61" s="3930"/>
      <c r="B61" s="218" t="s">
        <v>24</v>
      </c>
      <c r="C61" s="3862"/>
      <c r="D61" s="325">
        <f>M61+P61+Q61+R61+S61+T61+U61+V61+W61</f>
        <v>5706</v>
      </c>
      <c r="E61" s="687">
        <v>0</v>
      </c>
      <c r="F61" s="688"/>
      <c r="G61" s="688"/>
      <c r="H61" s="688">
        <v>0</v>
      </c>
      <c r="I61" s="689"/>
      <c r="J61" s="689"/>
      <c r="K61" s="689"/>
      <c r="L61" s="689"/>
      <c r="M61" s="325">
        <f>+E61+I61+J61+K61+L61+N61+O61</f>
        <v>5706</v>
      </c>
      <c r="N61" s="687">
        <v>0</v>
      </c>
      <c r="O61" s="687">
        <f>7200-1494</f>
        <v>5706</v>
      </c>
      <c r="P61" s="219">
        <v>0</v>
      </c>
      <c r="Q61" s="219">
        <v>0</v>
      </c>
      <c r="R61" s="219">
        <v>0</v>
      </c>
      <c r="S61" s="219">
        <v>0</v>
      </c>
      <c r="T61" s="219">
        <v>0</v>
      </c>
      <c r="U61" s="219"/>
      <c r="V61" s="219"/>
      <c r="W61" s="219"/>
      <c r="X61" s="1590">
        <f>SUM(Q61:W61)</f>
        <v>0</v>
      </c>
      <c r="Y61" s="3950"/>
    </row>
    <row r="62" spans="1:25" s="3214" customFormat="1" ht="12" customHeight="1">
      <c r="A62" s="3930"/>
      <c r="B62" s="104" t="s">
        <v>29</v>
      </c>
      <c r="C62" s="3862"/>
      <c r="D62" s="690">
        <f>D63</f>
        <v>32332</v>
      </c>
      <c r="E62" s="690">
        <f t="shared" ref="E62:M62" si="46">E63</f>
        <v>0</v>
      </c>
      <c r="F62" s="690">
        <f t="shared" si="46"/>
        <v>0</v>
      </c>
      <c r="G62" s="690">
        <f t="shared" si="46"/>
        <v>0</v>
      </c>
      <c r="H62" s="690">
        <f t="shared" si="46"/>
        <v>0</v>
      </c>
      <c r="I62" s="690">
        <f t="shared" si="46"/>
        <v>0</v>
      </c>
      <c r="J62" s="690">
        <f t="shared" si="46"/>
        <v>0</v>
      </c>
      <c r="K62" s="690">
        <f t="shared" si="46"/>
        <v>0</v>
      </c>
      <c r="L62" s="690">
        <f t="shared" si="46"/>
        <v>0</v>
      </c>
      <c r="M62" s="690">
        <f t="shared" si="46"/>
        <v>32332</v>
      </c>
      <c r="N62" s="690">
        <f t="shared" ref="N62:T62" si="47">N63</f>
        <v>0</v>
      </c>
      <c r="O62" s="690">
        <f t="shared" si="47"/>
        <v>32332</v>
      </c>
      <c r="P62" s="690">
        <f t="shared" si="47"/>
        <v>0</v>
      </c>
      <c r="Q62" s="690">
        <f t="shared" si="47"/>
        <v>0</v>
      </c>
      <c r="R62" s="690">
        <f t="shared" si="47"/>
        <v>0</v>
      </c>
      <c r="S62" s="690">
        <f t="shared" si="47"/>
        <v>0</v>
      </c>
      <c r="T62" s="690">
        <f t="shared" si="47"/>
        <v>0</v>
      </c>
      <c r="U62" s="690"/>
      <c r="V62" s="690"/>
      <c r="W62" s="690"/>
      <c r="X62" s="686">
        <f>+X63</f>
        <v>0</v>
      </c>
      <c r="Y62" s="3950"/>
    </row>
    <row r="63" spans="1:25" s="3214" customFormat="1" ht="12" customHeight="1">
      <c r="A63" s="3930"/>
      <c r="B63" s="965" t="s">
        <v>32</v>
      </c>
      <c r="C63" s="3883"/>
      <c r="D63" s="325">
        <f>M63+P63+Q63+R63+S63+T63+U63+V63+W63</f>
        <v>32332</v>
      </c>
      <c r="E63" s="687">
        <v>0</v>
      </c>
      <c r="F63" s="691"/>
      <c r="G63" s="691"/>
      <c r="H63" s="691">
        <v>0</v>
      </c>
      <c r="I63" s="692"/>
      <c r="J63" s="692"/>
      <c r="K63" s="692"/>
      <c r="L63" s="692"/>
      <c r="M63" s="325">
        <f>+E63+I63+J63+K63+L63+N63+O63</f>
        <v>32332</v>
      </c>
      <c r="N63" s="693">
        <v>0</v>
      </c>
      <c r="O63" s="693">
        <f>40800-8468</f>
        <v>32332</v>
      </c>
      <c r="P63" s="175">
        <v>0</v>
      </c>
      <c r="Q63" s="175">
        <v>0</v>
      </c>
      <c r="R63" s="175">
        <v>0</v>
      </c>
      <c r="S63" s="175">
        <v>0</v>
      </c>
      <c r="T63" s="175">
        <v>0</v>
      </c>
      <c r="U63" s="175"/>
      <c r="V63" s="175"/>
      <c r="W63" s="175"/>
      <c r="X63" s="1590">
        <f>SUM(Q63:W63)</f>
        <v>0</v>
      </c>
      <c r="Y63" s="3950"/>
    </row>
    <row r="64" spans="1:25" s="3214" customFormat="1" ht="12" customHeight="1">
      <c r="A64" s="3637"/>
      <c r="B64" s="25" t="s">
        <v>33</v>
      </c>
      <c r="C64" s="694"/>
      <c r="D64" s="679">
        <f>E64+I64+J64+K64+L64+N64+O64+P64</f>
        <v>38038</v>
      </c>
      <c r="E64" s="679">
        <f t="shared" ref="E64:P64" si="48">E65+E67</f>
        <v>0</v>
      </c>
      <c r="F64" s="680">
        <f t="shared" si="48"/>
        <v>0</v>
      </c>
      <c r="G64" s="680">
        <f t="shared" si="48"/>
        <v>0</v>
      </c>
      <c r="H64" s="680">
        <f t="shared" si="48"/>
        <v>0</v>
      </c>
      <c r="I64" s="681">
        <f t="shared" si="48"/>
        <v>0</v>
      </c>
      <c r="J64" s="681">
        <f t="shared" si="48"/>
        <v>0</v>
      </c>
      <c r="K64" s="681">
        <f t="shared" si="48"/>
        <v>0</v>
      </c>
      <c r="L64" s="681">
        <f t="shared" si="48"/>
        <v>0</v>
      </c>
      <c r="M64" s="679">
        <f>M65+M67</f>
        <v>38038</v>
      </c>
      <c r="N64" s="679">
        <f t="shared" si="48"/>
        <v>0</v>
      </c>
      <c r="O64" s="679">
        <f t="shared" si="48"/>
        <v>38038</v>
      </c>
      <c r="P64" s="679">
        <f t="shared" si="48"/>
        <v>0</v>
      </c>
      <c r="Q64" s="679">
        <f>Q65+Q67</f>
        <v>0</v>
      </c>
      <c r="R64" s="679">
        <f>R65+R67</f>
        <v>0</v>
      </c>
      <c r="S64" s="679">
        <f>S65+S67</f>
        <v>0</v>
      </c>
      <c r="T64" s="679">
        <f>T65+T67</f>
        <v>0</v>
      </c>
      <c r="U64" s="679"/>
      <c r="V64" s="679"/>
      <c r="W64" s="679"/>
      <c r="X64" s="3970" t="s">
        <v>75</v>
      </c>
      <c r="Y64" s="3950"/>
    </row>
    <row r="65" spans="1:26" s="3214" customFormat="1" ht="12" customHeight="1">
      <c r="A65" s="3637"/>
      <c r="B65" s="966" t="s">
        <v>35</v>
      </c>
      <c r="C65" s="4001" t="s">
        <v>257</v>
      </c>
      <c r="D65" s="683">
        <f>D66</f>
        <v>5706</v>
      </c>
      <c r="E65" s="683">
        <f t="shared" ref="E65:M65" si="49">E66</f>
        <v>0</v>
      </c>
      <c r="F65" s="683">
        <f t="shared" si="49"/>
        <v>0</v>
      </c>
      <c r="G65" s="683">
        <f t="shared" si="49"/>
        <v>0</v>
      </c>
      <c r="H65" s="683">
        <f t="shared" si="49"/>
        <v>0</v>
      </c>
      <c r="I65" s="683">
        <f t="shared" si="49"/>
        <v>0</v>
      </c>
      <c r="J65" s="683">
        <f t="shared" si="49"/>
        <v>0</v>
      </c>
      <c r="K65" s="683">
        <f t="shared" si="49"/>
        <v>0</v>
      </c>
      <c r="L65" s="683">
        <f t="shared" si="49"/>
        <v>0</v>
      </c>
      <c r="M65" s="683">
        <f t="shared" si="49"/>
        <v>5706</v>
      </c>
      <c r="N65" s="683">
        <f t="shared" ref="N65:T65" si="50">N66</f>
        <v>0</v>
      </c>
      <c r="O65" s="683">
        <f t="shared" si="50"/>
        <v>5706</v>
      </c>
      <c r="P65" s="683">
        <f t="shared" si="50"/>
        <v>0</v>
      </c>
      <c r="Q65" s="683">
        <f t="shared" si="50"/>
        <v>0</v>
      </c>
      <c r="R65" s="683">
        <f t="shared" si="50"/>
        <v>0</v>
      </c>
      <c r="S65" s="683">
        <f t="shared" si="50"/>
        <v>0</v>
      </c>
      <c r="T65" s="683">
        <f t="shared" si="50"/>
        <v>0</v>
      </c>
      <c r="U65" s="683"/>
      <c r="V65" s="683"/>
      <c r="W65" s="683"/>
      <c r="X65" s="3914"/>
      <c r="Y65" s="3950"/>
    </row>
    <row r="66" spans="1:26" s="3214" customFormat="1" ht="12" customHeight="1">
      <c r="A66" s="3637"/>
      <c r="B66" s="222" t="s">
        <v>24</v>
      </c>
      <c r="C66" s="3862"/>
      <c r="D66" s="325">
        <f>M66+P66+Q66+R66+S66+T66+U66+V66+W66</f>
        <v>5706</v>
      </c>
      <c r="E66" s="687">
        <v>0</v>
      </c>
      <c r="F66" s="695"/>
      <c r="G66" s="695"/>
      <c r="H66" s="695">
        <v>0</v>
      </c>
      <c r="I66" s="696"/>
      <c r="J66" s="696"/>
      <c r="K66" s="696"/>
      <c r="L66" s="696"/>
      <c r="M66" s="325">
        <f>+E66+I66+J66+K66+L66+N66+O66</f>
        <v>5706</v>
      </c>
      <c r="N66" s="645">
        <v>0</v>
      </c>
      <c r="O66" s="645">
        <f>7200-1494</f>
        <v>5706</v>
      </c>
      <c r="P66" s="645">
        <v>0</v>
      </c>
      <c r="Q66" s="645">
        <v>0</v>
      </c>
      <c r="R66" s="645">
        <v>0</v>
      </c>
      <c r="S66" s="297">
        <v>0</v>
      </c>
      <c r="T66" s="297">
        <v>0</v>
      </c>
      <c r="U66" s="297"/>
      <c r="V66" s="297"/>
      <c r="W66" s="297"/>
      <c r="X66" s="3914"/>
      <c r="Y66" s="3950"/>
    </row>
    <row r="67" spans="1:26" s="3214" customFormat="1" ht="12" customHeight="1">
      <c r="A67" s="3637"/>
      <c r="B67" s="967" t="s">
        <v>29</v>
      </c>
      <c r="C67" s="3862"/>
      <c r="D67" s="690">
        <f>D68</f>
        <v>32332</v>
      </c>
      <c r="E67" s="690">
        <f t="shared" ref="E67:M67" si="51">E68</f>
        <v>0</v>
      </c>
      <c r="F67" s="690">
        <f t="shared" si="51"/>
        <v>0</v>
      </c>
      <c r="G67" s="690">
        <f t="shared" si="51"/>
        <v>0</v>
      </c>
      <c r="H67" s="690">
        <f t="shared" si="51"/>
        <v>0</v>
      </c>
      <c r="I67" s="690">
        <f t="shared" si="51"/>
        <v>0</v>
      </c>
      <c r="J67" s="690">
        <f t="shared" si="51"/>
        <v>0</v>
      </c>
      <c r="K67" s="690">
        <f t="shared" si="51"/>
        <v>0</v>
      </c>
      <c r="L67" s="690">
        <f t="shared" si="51"/>
        <v>0</v>
      </c>
      <c r="M67" s="690">
        <f t="shared" si="51"/>
        <v>32332</v>
      </c>
      <c r="N67" s="690">
        <f t="shared" ref="N67:T67" si="52">N68</f>
        <v>0</v>
      </c>
      <c r="O67" s="690">
        <f t="shared" si="52"/>
        <v>32332</v>
      </c>
      <c r="P67" s="690">
        <f t="shared" si="52"/>
        <v>0</v>
      </c>
      <c r="Q67" s="690">
        <f t="shared" si="52"/>
        <v>0</v>
      </c>
      <c r="R67" s="690">
        <f t="shared" si="52"/>
        <v>0</v>
      </c>
      <c r="S67" s="690">
        <f t="shared" si="52"/>
        <v>0</v>
      </c>
      <c r="T67" s="690">
        <f t="shared" si="52"/>
        <v>0</v>
      </c>
      <c r="U67" s="690"/>
      <c r="V67" s="690"/>
      <c r="W67" s="690"/>
      <c r="X67" s="3914"/>
      <c r="Y67" s="3950"/>
    </row>
    <row r="68" spans="1:26" s="3214" customFormat="1" ht="12" customHeight="1" thickBot="1">
      <c r="A68" s="3638"/>
      <c r="B68" s="524" t="s">
        <v>32</v>
      </c>
      <c r="C68" s="3905"/>
      <c r="D68" s="325">
        <f>M68+P68+Q68+R68+S68+T68+U68+V68+W68</f>
        <v>32332</v>
      </c>
      <c r="E68" s="223">
        <v>0</v>
      </c>
      <c r="F68" s="525"/>
      <c r="G68" s="525"/>
      <c r="H68" s="525">
        <v>0</v>
      </c>
      <c r="I68" s="526"/>
      <c r="J68" s="526"/>
      <c r="K68" s="526"/>
      <c r="L68" s="526"/>
      <c r="M68" s="325">
        <f>+E68+I68+J68+K68+L68+N68+O68</f>
        <v>32332</v>
      </c>
      <c r="N68" s="224">
        <v>0</v>
      </c>
      <c r="O68" s="224">
        <f>40800-8468</f>
        <v>32332</v>
      </c>
      <c r="P68" s="224">
        <v>0</v>
      </c>
      <c r="Q68" s="224">
        <v>0</v>
      </c>
      <c r="R68" s="224">
        <v>0</v>
      </c>
      <c r="S68" s="151">
        <v>0</v>
      </c>
      <c r="T68" s="151">
        <v>0</v>
      </c>
      <c r="U68" s="151"/>
      <c r="V68" s="151"/>
      <c r="W68" s="151"/>
      <c r="X68" s="3915"/>
      <c r="Y68" s="3951"/>
    </row>
    <row r="69" spans="1:26" ht="28.5" hidden="1" customHeight="1">
      <c r="A69" s="3929" t="s">
        <v>80</v>
      </c>
      <c r="B69" s="214"/>
      <c r="C69" s="215" t="s">
        <v>125</v>
      </c>
      <c r="D69" s="236"/>
      <c r="E69" s="234"/>
      <c r="F69" s="615"/>
      <c r="G69" s="615"/>
      <c r="H69" s="616"/>
      <c r="I69" s="617"/>
      <c r="J69" s="618"/>
      <c r="K69" s="618"/>
      <c r="L69" s="618"/>
      <c r="M69" s="234"/>
      <c r="N69" s="234"/>
      <c r="O69" s="234"/>
      <c r="P69" s="234"/>
      <c r="Q69" s="234"/>
      <c r="R69" s="234"/>
      <c r="S69" s="234"/>
      <c r="T69" s="234"/>
      <c r="U69" s="234"/>
      <c r="V69" s="234"/>
      <c r="W69" s="347"/>
      <c r="X69" s="531"/>
      <c r="Y69" s="4010" t="s">
        <v>126</v>
      </c>
      <c r="Z69" s="468"/>
    </row>
    <row r="70" spans="1:26" ht="13.5" hidden="1" customHeight="1">
      <c r="A70" s="3930"/>
      <c r="B70" s="25" t="s">
        <v>21</v>
      </c>
      <c r="C70" s="225"/>
      <c r="D70" s="502">
        <f>D71+D73</f>
        <v>0</v>
      </c>
      <c r="E70" s="502">
        <f t="shared" ref="E70:Q70" si="53">+E73+E71</f>
        <v>0</v>
      </c>
      <c r="F70" s="503">
        <f t="shared" si="53"/>
        <v>0</v>
      </c>
      <c r="G70" s="503">
        <f t="shared" si="53"/>
        <v>0</v>
      </c>
      <c r="H70" s="503">
        <f t="shared" si="53"/>
        <v>0</v>
      </c>
      <c r="I70" s="504">
        <f t="shared" si="53"/>
        <v>0</v>
      </c>
      <c r="J70" s="504">
        <f t="shared" si="53"/>
        <v>0</v>
      </c>
      <c r="K70" s="504">
        <f t="shared" si="53"/>
        <v>0</v>
      </c>
      <c r="L70" s="504">
        <f t="shared" si="53"/>
        <v>0</v>
      </c>
      <c r="M70" s="502">
        <f>+M73+M71</f>
        <v>0</v>
      </c>
      <c r="N70" s="502">
        <f t="shared" si="53"/>
        <v>0</v>
      </c>
      <c r="O70" s="502">
        <f t="shared" si="53"/>
        <v>0</v>
      </c>
      <c r="P70" s="502">
        <f t="shared" si="53"/>
        <v>0</v>
      </c>
      <c r="Q70" s="502">
        <f t="shared" si="53"/>
        <v>0</v>
      </c>
      <c r="R70" s="502">
        <f>+R73+R71</f>
        <v>0</v>
      </c>
      <c r="S70" s="502">
        <f>+S73+S71</f>
        <v>0</v>
      </c>
      <c r="T70" s="502">
        <f>+T73+T71</f>
        <v>0</v>
      </c>
      <c r="U70" s="502"/>
      <c r="V70" s="502"/>
      <c r="W70" s="502"/>
      <c r="X70" s="534">
        <f>+X73+X71</f>
        <v>0</v>
      </c>
      <c r="Y70" s="4014"/>
      <c r="Z70" s="468"/>
    </row>
    <row r="71" spans="1:26" ht="14.25" hidden="1" customHeight="1">
      <c r="A71" s="3930"/>
      <c r="B71" s="217" t="s">
        <v>35</v>
      </c>
      <c r="C71" s="4016" t="s">
        <v>179</v>
      </c>
      <c r="D71" s="723">
        <f t="shared" ref="D71:I71" si="54">D72</f>
        <v>0</v>
      </c>
      <c r="E71" s="723">
        <f t="shared" si="54"/>
        <v>0</v>
      </c>
      <c r="F71" s="503">
        <f t="shared" si="54"/>
        <v>0</v>
      </c>
      <c r="G71" s="503">
        <f t="shared" si="54"/>
        <v>0</v>
      </c>
      <c r="H71" s="503">
        <f t="shared" si="54"/>
        <v>0</v>
      </c>
      <c r="I71" s="504">
        <f t="shared" si="54"/>
        <v>0</v>
      </c>
      <c r="J71" s="504">
        <f t="shared" ref="J71:T71" si="55">+J72</f>
        <v>0</v>
      </c>
      <c r="K71" s="504">
        <f t="shared" si="55"/>
        <v>0</v>
      </c>
      <c r="L71" s="504">
        <f t="shared" si="55"/>
        <v>0</v>
      </c>
      <c r="M71" s="723">
        <f t="shared" si="55"/>
        <v>0</v>
      </c>
      <c r="N71" s="723">
        <f t="shared" si="55"/>
        <v>0</v>
      </c>
      <c r="O71" s="723">
        <f t="shared" si="55"/>
        <v>0</v>
      </c>
      <c r="P71" s="723">
        <f t="shared" si="55"/>
        <v>0</v>
      </c>
      <c r="Q71" s="723">
        <f t="shared" si="55"/>
        <v>0</v>
      </c>
      <c r="R71" s="723">
        <f t="shared" si="55"/>
        <v>0</v>
      </c>
      <c r="S71" s="723">
        <f t="shared" si="55"/>
        <v>0</v>
      </c>
      <c r="T71" s="723">
        <f t="shared" si="55"/>
        <v>0</v>
      </c>
      <c r="U71" s="723"/>
      <c r="V71" s="723"/>
      <c r="W71" s="723"/>
      <c r="X71" s="724">
        <f>+X72</f>
        <v>0</v>
      </c>
      <c r="Y71" s="4014"/>
    </row>
    <row r="72" spans="1:26" hidden="1">
      <c r="A72" s="3930"/>
      <c r="B72" s="725" t="s">
        <v>24</v>
      </c>
      <c r="C72" s="3862"/>
      <c r="D72" s="325">
        <v>0</v>
      </c>
      <c r="E72" s="512"/>
      <c r="F72" s="513"/>
      <c r="G72" s="513"/>
      <c r="H72" s="513"/>
      <c r="I72" s="514"/>
      <c r="J72" s="726"/>
      <c r="K72" s="726"/>
      <c r="L72" s="726"/>
      <c r="M72" s="387">
        <v>0</v>
      </c>
      <c r="N72" s="539"/>
      <c r="O72" s="539"/>
      <c r="P72" s="176">
        <v>0</v>
      </c>
      <c r="Q72" s="176">
        <v>0</v>
      </c>
      <c r="R72" s="176">
        <v>0</v>
      </c>
      <c r="S72" s="176">
        <v>0</v>
      </c>
      <c r="T72" s="176">
        <v>0</v>
      </c>
      <c r="U72" s="176"/>
      <c r="V72" s="176"/>
      <c r="W72" s="176"/>
      <c r="X72" s="1590">
        <f>SUM(Q72:W72)</f>
        <v>0</v>
      </c>
      <c r="Y72" s="4014"/>
      <c r="Z72" s="455"/>
    </row>
    <row r="73" spans="1:26" ht="12.75" hidden="1" customHeight="1">
      <c r="A73" s="3930"/>
      <c r="B73" s="104" t="s">
        <v>29</v>
      </c>
      <c r="C73" s="3862"/>
      <c r="D73" s="515">
        <f t="shared" ref="D73:X73" si="56">+D74</f>
        <v>0</v>
      </c>
      <c r="E73" s="515">
        <f t="shared" si="56"/>
        <v>0</v>
      </c>
      <c r="F73" s="507">
        <f t="shared" si="56"/>
        <v>0</v>
      </c>
      <c r="G73" s="507">
        <f t="shared" si="56"/>
        <v>0</v>
      </c>
      <c r="H73" s="507">
        <f t="shared" si="56"/>
        <v>0</v>
      </c>
      <c r="I73" s="508">
        <f t="shared" si="56"/>
        <v>0</v>
      </c>
      <c r="J73" s="508">
        <f t="shared" si="56"/>
        <v>0</v>
      </c>
      <c r="K73" s="508">
        <f t="shared" si="56"/>
        <v>0</v>
      </c>
      <c r="L73" s="508">
        <f t="shared" si="56"/>
        <v>0</v>
      </c>
      <c r="M73" s="515">
        <f t="shared" si="56"/>
        <v>0</v>
      </c>
      <c r="N73" s="515">
        <f t="shared" si="56"/>
        <v>0</v>
      </c>
      <c r="O73" s="530">
        <f t="shared" si="56"/>
        <v>0</v>
      </c>
      <c r="P73" s="530">
        <f t="shared" si="56"/>
        <v>0</v>
      </c>
      <c r="Q73" s="530">
        <f t="shared" si="56"/>
        <v>0</v>
      </c>
      <c r="R73" s="530">
        <f t="shared" si="56"/>
        <v>0</v>
      </c>
      <c r="S73" s="530">
        <f t="shared" si="56"/>
        <v>0</v>
      </c>
      <c r="T73" s="530">
        <f t="shared" si="56"/>
        <v>0</v>
      </c>
      <c r="U73" s="530"/>
      <c r="V73" s="530"/>
      <c r="W73" s="530"/>
      <c r="X73" s="534">
        <f t="shared" si="56"/>
        <v>0</v>
      </c>
      <c r="Y73" s="4014"/>
    </row>
    <row r="74" spans="1:26" hidden="1">
      <c r="A74" s="3930"/>
      <c r="B74" s="727" t="s">
        <v>32</v>
      </c>
      <c r="C74" s="3883"/>
      <c r="D74" s="325">
        <v>0</v>
      </c>
      <c r="E74" s="539"/>
      <c r="F74" s="538"/>
      <c r="G74" s="538"/>
      <c r="H74" s="538"/>
      <c r="I74" s="726"/>
      <c r="J74" s="514"/>
      <c r="K74" s="514"/>
      <c r="L74" s="514"/>
      <c r="M74" s="387">
        <v>0</v>
      </c>
      <c r="N74" s="512"/>
      <c r="O74" s="512"/>
      <c r="P74" s="512">
        <v>0</v>
      </c>
      <c r="Q74" s="219">
        <v>0</v>
      </c>
      <c r="R74" s="219">
        <v>0</v>
      </c>
      <c r="S74" s="219">
        <v>0</v>
      </c>
      <c r="T74" s="219">
        <v>0</v>
      </c>
      <c r="U74" s="219"/>
      <c r="V74" s="219"/>
      <c r="W74" s="219"/>
      <c r="X74" s="1590">
        <f>SUM(Q74:W74)</f>
        <v>0</v>
      </c>
      <c r="Y74" s="4014"/>
      <c r="Z74" s="455"/>
    </row>
    <row r="75" spans="1:26" ht="12.75" hidden="1" customHeight="1">
      <c r="A75" s="3637"/>
      <c r="B75" s="103" t="s">
        <v>33</v>
      </c>
      <c r="C75" s="226"/>
      <c r="D75" s="240">
        <f>D76+D78</f>
        <v>0</v>
      </c>
      <c r="E75" s="240">
        <f>+E78+E76</f>
        <v>0</v>
      </c>
      <c r="F75" s="544">
        <f>+F78+F76</f>
        <v>0</v>
      </c>
      <c r="G75" s="544">
        <f>+G78+G76</f>
        <v>0</v>
      </c>
      <c r="H75" s="544">
        <f>+H78+H76</f>
        <v>0</v>
      </c>
      <c r="I75" s="545">
        <f>+I78+I76</f>
        <v>0</v>
      </c>
      <c r="J75" s="504">
        <f t="shared" ref="J75:Q75" si="57">+J78+J76</f>
        <v>0</v>
      </c>
      <c r="K75" s="504">
        <f t="shared" si="57"/>
        <v>0</v>
      </c>
      <c r="L75" s="504">
        <f t="shared" si="57"/>
        <v>0</v>
      </c>
      <c r="M75" s="502">
        <f>+M78+M76</f>
        <v>0</v>
      </c>
      <c r="N75" s="502">
        <f t="shared" si="57"/>
        <v>0</v>
      </c>
      <c r="O75" s="502">
        <f t="shared" si="57"/>
        <v>0</v>
      </c>
      <c r="P75" s="502">
        <f t="shared" si="57"/>
        <v>0</v>
      </c>
      <c r="Q75" s="502">
        <f t="shared" si="57"/>
        <v>0</v>
      </c>
      <c r="R75" s="502">
        <f>+R78+R76</f>
        <v>0</v>
      </c>
      <c r="S75" s="502">
        <f>+S78+S76</f>
        <v>0</v>
      </c>
      <c r="T75" s="502">
        <f>+T78+T76</f>
        <v>0</v>
      </c>
      <c r="U75" s="502"/>
      <c r="V75" s="502"/>
      <c r="W75" s="502"/>
      <c r="X75" s="3953" t="s">
        <v>75</v>
      </c>
      <c r="Y75" s="4014"/>
    </row>
    <row r="76" spans="1:26" ht="14.25" hidden="1" customHeight="1">
      <c r="A76" s="3637"/>
      <c r="B76" s="217" t="s">
        <v>35</v>
      </c>
      <c r="C76" s="4016" t="s">
        <v>179</v>
      </c>
      <c r="D76" s="728">
        <f t="shared" ref="D76:I76" si="58">D77</f>
        <v>0</v>
      </c>
      <c r="E76" s="728">
        <f t="shared" si="58"/>
        <v>0</v>
      </c>
      <c r="F76" s="544">
        <f t="shared" si="58"/>
        <v>0</v>
      </c>
      <c r="G76" s="544">
        <f t="shared" si="58"/>
        <v>0</v>
      </c>
      <c r="H76" s="544">
        <f t="shared" si="58"/>
        <v>0</v>
      </c>
      <c r="I76" s="545">
        <f t="shared" si="58"/>
        <v>0</v>
      </c>
      <c r="J76" s="504">
        <f t="shared" ref="J76:T76" si="59">+J77</f>
        <v>0</v>
      </c>
      <c r="K76" s="504">
        <f t="shared" si="59"/>
        <v>0</v>
      </c>
      <c r="L76" s="504">
        <f t="shared" si="59"/>
        <v>0</v>
      </c>
      <c r="M76" s="723">
        <f t="shared" si="59"/>
        <v>0</v>
      </c>
      <c r="N76" s="723">
        <f t="shared" si="59"/>
        <v>0</v>
      </c>
      <c r="O76" s="723">
        <f t="shared" si="59"/>
        <v>0</v>
      </c>
      <c r="P76" s="723">
        <f t="shared" si="59"/>
        <v>0</v>
      </c>
      <c r="Q76" s="723">
        <f t="shared" si="59"/>
        <v>0</v>
      </c>
      <c r="R76" s="723">
        <f t="shared" si="59"/>
        <v>0</v>
      </c>
      <c r="S76" s="723">
        <f t="shared" si="59"/>
        <v>0</v>
      </c>
      <c r="T76" s="723">
        <f t="shared" si="59"/>
        <v>0</v>
      </c>
      <c r="U76" s="723"/>
      <c r="V76" s="723"/>
      <c r="W76" s="723"/>
      <c r="X76" s="3914"/>
      <c r="Y76" s="4014"/>
    </row>
    <row r="77" spans="1:26" hidden="1">
      <c r="A77" s="3637"/>
      <c r="B77" s="725" t="s">
        <v>24</v>
      </c>
      <c r="C77" s="3862"/>
      <c r="D77" s="325">
        <v>0</v>
      </c>
      <c r="E77" s="219"/>
      <c r="F77" s="729"/>
      <c r="G77" s="729"/>
      <c r="H77" s="729"/>
      <c r="I77" s="730"/>
      <c r="J77" s="726"/>
      <c r="K77" s="726"/>
      <c r="L77" s="726"/>
      <c r="M77" s="387">
        <v>0</v>
      </c>
      <c r="N77" s="539"/>
      <c r="O77" s="539"/>
      <c r="P77" s="176">
        <v>0</v>
      </c>
      <c r="Q77" s="176">
        <v>0</v>
      </c>
      <c r="R77" s="176">
        <v>0</v>
      </c>
      <c r="S77" s="176">
        <v>0</v>
      </c>
      <c r="T77" s="176">
        <v>0</v>
      </c>
      <c r="U77" s="176"/>
      <c r="V77" s="176"/>
      <c r="W77" s="176"/>
      <c r="X77" s="3914"/>
      <c r="Y77" s="4014"/>
    </row>
    <row r="78" spans="1:26" ht="12.75" hidden="1" customHeight="1">
      <c r="A78" s="3637"/>
      <c r="B78" s="546" t="s">
        <v>29</v>
      </c>
      <c r="C78" s="3862"/>
      <c r="D78" s="515">
        <f t="shared" ref="D78:T78" si="60">+D79</f>
        <v>0</v>
      </c>
      <c r="E78" s="515">
        <f t="shared" si="60"/>
        <v>0</v>
      </c>
      <c r="F78" s="507">
        <f t="shared" si="60"/>
        <v>0</v>
      </c>
      <c r="G78" s="507">
        <f t="shared" si="60"/>
        <v>0</v>
      </c>
      <c r="H78" s="507">
        <f t="shared" si="60"/>
        <v>0</v>
      </c>
      <c r="I78" s="508">
        <f t="shared" si="60"/>
        <v>0</v>
      </c>
      <c r="J78" s="508">
        <f t="shared" si="60"/>
        <v>0</v>
      </c>
      <c r="K78" s="508">
        <f t="shared" si="60"/>
        <v>0</v>
      </c>
      <c r="L78" s="508">
        <f t="shared" si="60"/>
        <v>0</v>
      </c>
      <c r="M78" s="515">
        <f t="shared" si="60"/>
        <v>0</v>
      </c>
      <c r="N78" s="515">
        <f t="shared" si="60"/>
        <v>0</v>
      </c>
      <c r="O78" s="530">
        <f t="shared" si="60"/>
        <v>0</v>
      </c>
      <c r="P78" s="530">
        <f t="shared" si="60"/>
        <v>0</v>
      </c>
      <c r="Q78" s="530">
        <f t="shared" si="60"/>
        <v>0</v>
      </c>
      <c r="R78" s="530">
        <f>+R79</f>
        <v>0</v>
      </c>
      <c r="S78" s="530">
        <f t="shared" si="60"/>
        <v>0</v>
      </c>
      <c r="T78" s="530">
        <f t="shared" si="60"/>
        <v>0</v>
      </c>
      <c r="U78" s="530"/>
      <c r="V78" s="530"/>
      <c r="W78" s="530"/>
      <c r="X78" s="3914"/>
      <c r="Y78" s="4014"/>
    </row>
    <row r="79" spans="1:26" ht="12.75" hidden="1" customHeight="1" thickBot="1">
      <c r="A79" s="3638"/>
      <c r="B79" s="524" t="s">
        <v>32</v>
      </c>
      <c r="C79" s="3905"/>
      <c r="D79" s="325">
        <v>0</v>
      </c>
      <c r="E79" s="224">
        <v>0</v>
      </c>
      <c r="F79" s="525">
        <v>0</v>
      </c>
      <c r="G79" s="525"/>
      <c r="H79" s="525"/>
      <c r="I79" s="526"/>
      <c r="J79" s="547"/>
      <c r="K79" s="547"/>
      <c r="L79" s="547"/>
      <c r="M79" s="387">
        <v>0</v>
      </c>
      <c r="N79" s="227"/>
      <c r="O79" s="227"/>
      <c r="P79" s="227">
        <v>0</v>
      </c>
      <c r="Q79" s="227">
        <v>0</v>
      </c>
      <c r="R79" s="227">
        <v>0</v>
      </c>
      <c r="S79" s="227">
        <v>0</v>
      </c>
      <c r="T79" s="227">
        <v>0</v>
      </c>
      <c r="U79" s="227"/>
      <c r="V79" s="227"/>
      <c r="W79" s="227"/>
      <c r="X79" s="3915"/>
      <c r="Y79" s="4015"/>
    </row>
    <row r="80" spans="1:26" s="493" customFormat="1" ht="39.75" hidden="1" customHeight="1">
      <c r="A80" s="3929" t="s">
        <v>81</v>
      </c>
      <c r="B80" s="214" t="s">
        <v>186</v>
      </c>
      <c r="C80" s="215" t="s">
        <v>95</v>
      </c>
      <c r="D80" s="236"/>
      <c r="E80" s="234"/>
      <c r="F80" s="615"/>
      <c r="G80" s="615"/>
      <c r="H80" s="616"/>
      <c r="I80" s="617"/>
      <c r="J80" s="617"/>
      <c r="K80" s="618"/>
      <c r="L80" s="618"/>
      <c r="M80" s="234"/>
      <c r="N80" s="234"/>
      <c r="O80" s="234"/>
      <c r="P80" s="234"/>
      <c r="Q80" s="234"/>
      <c r="R80" s="234"/>
      <c r="S80" s="234"/>
      <c r="T80" s="234"/>
      <c r="U80" s="234"/>
      <c r="V80" s="234"/>
      <c r="W80" s="347"/>
      <c r="X80" s="531"/>
      <c r="Y80" s="3949" t="s">
        <v>432</v>
      </c>
    </row>
    <row r="81" spans="1:28" s="493" customFormat="1" ht="14.25" hidden="1" customHeight="1">
      <c r="A81" s="3930"/>
      <c r="B81" s="25" t="s">
        <v>21</v>
      </c>
      <c r="C81" s="225"/>
      <c r="D81" s="502"/>
      <c r="E81" s="502"/>
      <c r="F81" s="503"/>
      <c r="G81" s="503"/>
      <c r="H81" s="503"/>
      <c r="I81" s="504"/>
      <c r="J81" s="504"/>
      <c r="K81" s="504"/>
      <c r="L81" s="504"/>
      <c r="M81" s="502"/>
      <c r="N81" s="502"/>
      <c r="O81" s="502"/>
      <c r="P81" s="502"/>
      <c r="Q81" s="502"/>
      <c r="R81" s="502"/>
      <c r="S81" s="502"/>
      <c r="T81" s="502"/>
      <c r="U81" s="502"/>
      <c r="V81" s="502"/>
      <c r="W81" s="502"/>
      <c r="X81" s="505">
        <f>+X82+X84</f>
        <v>0</v>
      </c>
      <c r="Y81" s="3950"/>
      <c r="Z81" s="468"/>
    </row>
    <row r="82" spans="1:28" s="552" customFormat="1" ht="13.5" hidden="1" customHeight="1">
      <c r="A82" s="3930"/>
      <c r="B82" s="217" t="s">
        <v>35</v>
      </c>
      <c r="C82" s="3952" t="s">
        <v>187</v>
      </c>
      <c r="D82" s="548"/>
      <c r="E82" s="548"/>
      <c r="F82" s="549"/>
      <c r="G82" s="549"/>
      <c r="H82" s="549"/>
      <c r="I82" s="550"/>
      <c r="J82" s="550"/>
      <c r="K82" s="550"/>
      <c r="L82" s="550"/>
      <c r="M82" s="548"/>
      <c r="N82" s="548"/>
      <c r="O82" s="548"/>
      <c r="P82" s="548"/>
      <c r="Q82" s="548"/>
      <c r="R82" s="548"/>
      <c r="S82" s="548"/>
      <c r="T82" s="548"/>
      <c r="U82" s="548"/>
      <c r="V82" s="548"/>
      <c r="W82" s="548"/>
      <c r="X82" s="551">
        <f t="shared" ref="X82" si="61">+X83</f>
        <v>0</v>
      </c>
      <c r="Y82" s="3950"/>
    </row>
    <row r="83" spans="1:28" s="493" customFormat="1" ht="13.5" hidden="1" customHeight="1">
      <c r="A83" s="3930"/>
      <c r="B83" s="218" t="s">
        <v>23</v>
      </c>
      <c r="C83" s="3862"/>
      <c r="D83" s="536"/>
      <c r="E83" s="520"/>
      <c r="F83" s="521"/>
      <c r="G83" s="521"/>
      <c r="H83" s="521"/>
      <c r="I83" s="522"/>
      <c r="J83" s="522"/>
      <c r="K83" s="522"/>
      <c r="L83" s="522"/>
      <c r="M83" s="512"/>
      <c r="N83" s="520"/>
      <c r="O83" s="520"/>
      <c r="P83" s="805"/>
      <c r="Q83" s="553"/>
      <c r="R83" s="553"/>
      <c r="S83" s="553"/>
      <c r="T83" s="553"/>
      <c r="U83" s="553"/>
      <c r="V83" s="553"/>
      <c r="W83" s="553"/>
      <c r="X83" s="480">
        <f>SUM(P83:T83)</f>
        <v>0</v>
      </c>
      <c r="Y83" s="3950"/>
    </row>
    <row r="84" spans="1:28" s="493" customFormat="1" ht="11.25" hidden="1" customHeight="1">
      <c r="A84" s="3930"/>
      <c r="B84" s="104" t="s">
        <v>29</v>
      </c>
      <c r="C84" s="3862"/>
      <c r="D84" s="515"/>
      <c r="E84" s="515"/>
      <c r="F84" s="507"/>
      <c r="G84" s="507"/>
      <c r="H84" s="507"/>
      <c r="I84" s="508"/>
      <c r="J84" s="508"/>
      <c r="K84" s="508"/>
      <c r="L84" s="508"/>
      <c r="M84" s="515"/>
      <c r="N84" s="515"/>
      <c r="O84" s="515"/>
      <c r="P84" s="515"/>
      <c r="Q84" s="515"/>
      <c r="R84" s="515"/>
      <c r="S84" s="515"/>
      <c r="T84" s="515"/>
      <c r="U84" s="554"/>
      <c r="V84" s="554"/>
      <c r="W84" s="554"/>
      <c r="X84" s="555">
        <f t="shared" ref="X84" si="62">+X85</f>
        <v>0</v>
      </c>
      <c r="Y84" s="3950"/>
    </row>
    <row r="85" spans="1:28" s="3214" customFormat="1" ht="12" hidden="1" customHeight="1">
      <c r="A85" s="3930"/>
      <c r="B85" s="516" t="s">
        <v>32</v>
      </c>
      <c r="C85" s="3883"/>
      <c r="D85" s="536"/>
      <c r="E85" s="517"/>
      <c r="F85" s="518"/>
      <c r="G85" s="518"/>
      <c r="H85" s="518"/>
      <c r="I85" s="519"/>
      <c r="J85" s="519"/>
      <c r="K85" s="519"/>
      <c r="L85" s="519"/>
      <c r="M85" s="512"/>
      <c r="N85" s="517"/>
      <c r="O85" s="517"/>
      <c r="P85" s="175"/>
      <c r="Q85" s="175"/>
      <c r="R85" s="175"/>
      <c r="S85" s="175"/>
      <c r="T85" s="175"/>
      <c r="U85" s="175"/>
      <c r="V85" s="175"/>
      <c r="W85" s="175"/>
      <c r="X85" s="480">
        <f>SUM(P85:T85)</f>
        <v>0</v>
      </c>
      <c r="Y85" s="3950"/>
    </row>
    <row r="86" spans="1:28" s="3214" customFormat="1" ht="14.25" hidden="1" customHeight="1">
      <c r="A86" s="3637"/>
      <c r="B86" s="25" t="s">
        <v>33</v>
      </c>
      <c r="C86" s="220"/>
      <c r="D86" s="502"/>
      <c r="E86" s="502"/>
      <c r="F86" s="503"/>
      <c r="G86" s="503"/>
      <c r="H86" s="503"/>
      <c r="I86" s="504"/>
      <c r="J86" s="504"/>
      <c r="K86" s="504"/>
      <c r="L86" s="504"/>
      <c r="M86" s="502"/>
      <c r="N86" s="502"/>
      <c r="O86" s="502"/>
      <c r="P86" s="502"/>
      <c r="Q86" s="502"/>
      <c r="R86" s="502"/>
      <c r="S86" s="502"/>
      <c r="T86" s="502"/>
      <c r="U86" s="502"/>
      <c r="V86" s="502"/>
      <c r="W86" s="502"/>
      <c r="X86" s="3953" t="s">
        <v>75</v>
      </c>
      <c r="Y86" s="3950"/>
    </row>
    <row r="87" spans="1:28" s="3214" customFormat="1" ht="13.5" hidden="1" customHeight="1">
      <c r="A87" s="3637"/>
      <c r="B87" s="546" t="s">
        <v>29</v>
      </c>
      <c r="C87" s="3862"/>
      <c r="D87" s="515"/>
      <c r="E87" s="515"/>
      <c r="F87" s="507"/>
      <c r="G87" s="507"/>
      <c r="H87" s="507"/>
      <c r="I87" s="508"/>
      <c r="J87" s="508"/>
      <c r="K87" s="508"/>
      <c r="L87" s="508"/>
      <c r="M87" s="515"/>
      <c r="N87" s="515"/>
      <c r="O87" s="515"/>
      <c r="P87" s="515"/>
      <c r="Q87" s="515"/>
      <c r="R87" s="515"/>
      <c r="S87" s="515"/>
      <c r="T87" s="515"/>
      <c r="U87" s="515"/>
      <c r="V87" s="515"/>
      <c r="W87" s="515"/>
      <c r="X87" s="3914"/>
      <c r="Y87" s="3950"/>
    </row>
    <row r="88" spans="1:28" s="3214" customFormat="1" ht="14.25" hidden="1" customHeight="1" thickBot="1">
      <c r="A88" s="3638"/>
      <c r="B88" s="524" t="s">
        <v>32</v>
      </c>
      <c r="C88" s="3905"/>
      <c r="D88" s="536"/>
      <c r="E88" s="224"/>
      <c r="F88" s="525"/>
      <c r="G88" s="525"/>
      <c r="H88" s="525"/>
      <c r="I88" s="526"/>
      <c r="J88" s="526"/>
      <c r="K88" s="526"/>
      <c r="L88" s="526"/>
      <c r="M88" s="512"/>
      <c r="N88" s="224"/>
      <c r="O88" s="224"/>
      <c r="P88" s="224"/>
      <c r="Q88" s="224"/>
      <c r="R88" s="224"/>
      <c r="S88" s="151"/>
      <c r="T88" s="151"/>
      <c r="U88" s="151"/>
      <c r="V88" s="151"/>
      <c r="W88" s="151"/>
      <c r="X88" s="3915"/>
      <c r="Y88" s="3951"/>
    </row>
    <row r="89" spans="1:28" s="493" customFormat="1" ht="20.25" customHeight="1">
      <c r="A89" s="3929" t="s">
        <v>80</v>
      </c>
      <c r="B89" s="214" t="s">
        <v>330</v>
      </c>
      <c r="C89" s="215" t="s">
        <v>125</v>
      </c>
      <c r="D89" s="614"/>
      <c r="E89" s="614"/>
      <c r="F89" s="615"/>
      <c r="G89" s="615"/>
      <c r="H89" s="616"/>
      <c r="I89" s="617"/>
      <c r="J89" s="617"/>
      <c r="K89" s="617"/>
      <c r="L89" s="617"/>
      <c r="M89" s="614"/>
      <c r="N89" s="614"/>
      <c r="O89" s="614"/>
      <c r="P89" s="614"/>
      <c r="Q89" s="614"/>
      <c r="R89" s="614"/>
      <c r="S89" s="614"/>
      <c r="T89" s="614"/>
      <c r="U89" s="614"/>
      <c r="V89" s="614"/>
      <c r="W89" s="614"/>
      <c r="X89" s="614"/>
      <c r="Y89" s="4013" t="s">
        <v>579</v>
      </c>
      <c r="Z89" s="532"/>
      <c r="AA89" s="533"/>
      <c r="AB89" s="500"/>
    </row>
    <row r="90" spans="1:28" s="493" customFormat="1" ht="15.75" customHeight="1">
      <c r="A90" s="3930"/>
      <c r="B90" s="25" t="s">
        <v>21</v>
      </c>
      <c r="C90" s="678"/>
      <c r="D90" s="648">
        <f>+D101+D91</f>
        <v>217456614</v>
      </c>
      <c r="E90" s="648">
        <f t="shared" ref="E90:T90" si="63">+E101+E91</f>
        <v>0</v>
      </c>
      <c r="F90" s="648">
        <f t="shared" si="63"/>
        <v>0</v>
      </c>
      <c r="G90" s="648">
        <f t="shared" si="63"/>
        <v>0</v>
      </c>
      <c r="H90" s="648">
        <f t="shared" si="63"/>
        <v>0</v>
      </c>
      <c r="I90" s="648">
        <f t="shared" si="63"/>
        <v>0</v>
      </c>
      <c r="J90" s="648">
        <f t="shared" si="63"/>
        <v>0</v>
      </c>
      <c r="K90" s="648">
        <f t="shared" si="63"/>
        <v>0</v>
      </c>
      <c r="L90" s="648">
        <f t="shared" si="63"/>
        <v>0</v>
      </c>
      <c r="M90" s="648">
        <f t="shared" si="63"/>
        <v>95653</v>
      </c>
      <c r="N90" s="648">
        <f t="shared" si="63"/>
        <v>0</v>
      </c>
      <c r="O90" s="648">
        <f t="shared" si="63"/>
        <v>95653</v>
      </c>
      <c r="P90" s="648">
        <f t="shared" si="63"/>
        <v>24243189</v>
      </c>
      <c r="Q90" s="648">
        <f t="shared" si="63"/>
        <v>30191541</v>
      </c>
      <c r="R90" s="648">
        <f t="shared" si="63"/>
        <v>30195008</v>
      </c>
      <c r="S90" s="648">
        <f t="shared" si="63"/>
        <v>27786142</v>
      </c>
      <c r="T90" s="648">
        <f t="shared" si="63"/>
        <v>26797086</v>
      </c>
      <c r="U90" s="648">
        <f>+U101+U91</f>
        <v>27051278</v>
      </c>
      <c r="V90" s="648">
        <f>+V101+V91</f>
        <v>25558714</v>
      </c>
      <c r="W90" s="648">
        <f>+W101+W91</f>
        <v>25538003</v>
      </c>
      <c r="X90" s="3257">
        <f>+X101+X91</f>
        <v>192384715</v>
      </c>
      <c r="Y90" s="4014"/>
      <c r="Z90" s="468"/>
      <c r="AA90" s="533"/>
    </row>
    <row r="91" spans="1:28" s="477" customFormat="1" ht="15.75" customHeight="1">
      <c r="A91" s="3930"/>
      <c r="B91" s="217" t="s">
        <v>35</v>
      </c>
      <c r="C91" s="4017" t="s">
        <v>577</v>
      </c>
      <c r="D91" s="3258">
        <f>D92+D98</f>
        <v>35856764</v>
      </c>
      <c r="E91" s="3258">
        <f t="shared" ref="E91:T91" si="64">E92+E98</f>
        <v>0</v>
      </c>
      <c r="F91" s="3258">
        <f t="shared" si="64"/>
        <v>0</v>
      </c>
      <c r="G91" s="3258">
        <f t="shared" si="64"/>
        <v>0</v>
      </c>
      <c r="H91" s="3258">
        <f t="shared" si="64"/>
        <v>0</v>
      </c>
      <c r="I91" s="3258">
        <f t="shared" si="64"/>
        <v>0</v>
      </c>
      <c r="J91" s="3258">
        <f t="shared" si="64"/>
        <v>0</v>
      </c>
      <c r="K91" s="3258">
        <f t="shared" si="64"/>
        <v>0</v>
      </c>
      <c r="L91" s="3258">
        <f t="shared" si="64"/>
        <v>0</v>
      </c>
      <c r="M91" s="3258">
        <f t="shared" si="64"/>
        <v>12575</v>
      </c>
      <c r="N91" s="3258">
        <f t="shared" si="64"/>
        <v>0</v>
      </c>
      <c r="O91" s="3258">
        <f>O92+O98</f>
        <v>12575</v>
      </c>
      <c r="P91" s="3258">
        <f t="shared" si="64"/>
        <v>4439510</v>
      </c>
      <c r="Q91" s="3258">
        <f t="shared" si="64"/>
        <v>5215943</v>
      </c>
      <c r="R91" s="3258">
        <f t="shared" si="64"/>
        <v>5252020</v>
      </c>
      <c r="S91" s="3258">
        <f t="shared" si="64"/>
        <v>4873158</v>
      </c>
      <c r="T91" s="3258">
        <f t="shared" si="64"/>
        <v>4972815</v>
      </c>
      <c r="U91" s="3258">
        <f>U92+U98</f>
        <v>4898600</v>
      </c>
      <c r="V91" s="3258">
        <f>V92+V98</f>
        <v>3065355</v>
      </c>
      <c r="W91" s="3258">
        <f>W92+W98</f>
        <v>3126788</v>
      </c>
      <c r="X91" s="3259">
        <f>X92+X98</f>
        <v>30671622</v>
      </c>
      <c r="Y91" s="4014"/>
      <c r="Z91" s="557"/>
      <c r="AA91" s="540"/>
    </row>
    <row r="92" spans="1:28" s="493" customFormat="1">
      <c r="A92" s="3930"/>
      <c r="B92" s="218" t="s">
        <v>23</v>
      </c>
      <c r="C92" s="3862"/>
      <c r="D92" s="325">
        <f>M92+P92+Q92+R92+S92+T92+U92+V92+W92</f>
        <v>34767704</v>
      </c>
      <c r="E92" s="3260">
        <f t="shared" ref="E92:T92" si="65">E94+E95+E96+E97</f>
        <v>0</v>
      </c>
      <c r="F92" s="3260">
        <f t="shared" si="65"/>
        <v>0</v>
      </c>
      <c r="G92" s="3260">
        <f t="shared" si="65"/>
        <v>0</v>
      </c>
      <c r="H92" s="3260">
        <f t="shared" si="65"/>
        <v>0</v>
      </c>
      <c r="I92" s="3260">
        <f t="shared" si="65"/>
        <v>0</v>
      </c>
      <c r="J92" s="3260">
        <f t="shared" si="65"/>
        <v>0</v>
      </c>
      <c r="K92" s="3260">
        <f t="shared" si="65"/>
        <v>0</v>
      </c>
      <c r="L92" s="3260">
        <f t="shared" si="65"/>
        <v>0</v>
      </c>
      <c r="M92" s="387">
        <f>+E92+I92+J92+K92+L92+N92+O92</f>
        <v>12575</v>
      </c>
      <c r="N92" s="3260">
        <f t="shared" si="65"/>
        <v>0</v>
      </c>
      <c r="O92" s="3260">
        <f t="shared" si="65"/>
        <v>12575</v>
      </c>
      <c r="P92" s="3260">
        <f t="shared" si="65"/>
        <v>4083507</v>
      </c>
      <c r="Q92" s="3260">
        <f t="shared" si="65"/>
        <v>4895803</v>
      </c>
      <c r="R92" s="3260">
        <f t="shared" si="65"/>
        <v>5159196</v>
      </c>
      <c r="S92" s="3260">
        <f t="shared" si="65"/>
        <v>4809139</v>
      </c>
      <c r="T92" s="3260">
        <f t="shared" si="65"/>
        <v>4908796</v>
      </c>
      <c r="U92" s="3260">
        <f>U94+U95+U96+U97</f>
        <v>4834581</v>
      </c>
      <c r="V92" s="3260">
        <f>V94+V95+V96+V97</f>
        <v>3001337</v>
      </c>
      <c r="W92" s="3260">
        <f>W94+W95+W96+W97</f>
        <v>3062770</v>
      </c>
      <c r="X92" s="3261">
        <f>X94+X95+X96+X97</f>
        <v>30671622</v>
      </c>
      <c r="Y92" s="4014"/>
      <c r="Z92" s="557"/>
      <c r="AA92" s="533"/>
    </row>
    <row r="93" spans="1:28" s="493" customFormat="1" hidden="1">
      <c r="A93" s="3930"/>
      <c r="B93" s="722" t="s">
        <v>181</v>
      </c>
      <c r="C93" s="3862"/>
      <c r="D93" s="3262">
        <f t="shared" ref="D93:D97" si="66">M93+O93+P93+Q93+R93+S93+T93+U93+V93+W93</f>
        <v>0</v>
      </c>
      <c r="E93" s="3263"/>
      <c r="F93" s="3263"/>
      <c r="G93" s="3263"/>
      <c r="H93" s="3263"/>
      <c r="I93" s="3263"/>
      <c r="J93" s="3263"/>
      <c r="K93" s="3263"/>
      <c r="L93" s="3263"/>
      <c r="M93" s="3263"/>
      <c r="N93" s="3263"/>
      <c r="O93" s="3263"/>
      <c r="P93" s="3263"/>
      <c r="Q93" s="3263"/>
      <c r="R93" s="3263"/>
      <c r="S93" s="3263"/>
      <c r="T93" s="3263"/>
      <c r="U93" s="3263"/>
      <c r="V93" s="3263"/>
      <c r="W93" s="3263"/>
      <c r="X93" s="3264"/>
      <c r="Y93" s="4014"/>
      <c r="Z93" s="468"/>
      <c r="AA93" s="533"/>
    </row>
    <row r="94" spans="1:28" s="493" customFormat="1" hidden="1">
      <c r="A94" s="3930"/>
      <c r="B94" s="731" t="s">
        <v>182</v>
      </c>
      <c r="C94" s="3862"/>
      <c r="D94" s="3262">
        <f t="shared" si="66"/>
        <v>2637187</v>
      </c>
      <c r="E94" s="3265"/>
      <c r="F94" s="3265"/>
      <c r="G94" s="3265"/>
      <c r="H94" s="3265"/>
      <c r="I94" s="3265"/>
      <c r="J94" s="3265"/>
      <c r="K94" s="3265"/>
      <c r="L94" s="3265"/>
      <c r="M94" s="3265"/>
      <c r="N94" s="3265"/>
      <c r="O94" s="3265">
        <v>0</v>
      </c>
      <c r="P94" s="3266">
        <f>350438+910967+566172+109184+404167+93706+193124-4</f>
        <v>2627754</v>
      </c>
      <c r="Q94" s="3265">
        <f>9433</f>
        <v>9433</v>
      </c>
      <c r="R94" s="3265"/>
      <c r="S94" s="3265"/>
      <c r="T94" s="3267">
        <f>152659-152659</f>
        <v>0</v>
      </c>
      <c r="U94" s="3265"/>
      <c r="V94" s="3265"/>
      <c r="W94" s="3265"/>
      <c r="X94" s="3268">
        <f>+Q94+R94+S94+T94</f>
        <v>9433</v>
      </c>
      <c r="Y94" s="4014"/>
      <c r="Z94" s="468"/>
      <c r="AA94" s="533"/>
    </row>
    <row r="95" spans="1:28" s="493" customFormat="1" hidden="1">
      <c r="A95" s="3930"/>
      <c r="B95" s="732" t="s">
        <v>183</v>
      </c>
      <c r="C95" s="3862"/>
      <c r="D95" s="3262">
        <f t="shared" si="66"/>
        <v>0</v>
      </c>
      <c r="E95" s="3269"/>
      <c r="F95" s="3269"/>
      <c r="G95" s="3269"/>
      <c r="H95" s="3269"/>
      <c r="I95" s="3269"/>
      <c r="J95" s="3269"/>
      <c r="K95" s="3269"/>
      <c r="L95" s="3269"/>
      <c r="M95" s="3269"/>
      <c r="N95" s="3269"/>
      <c r="O95" s="3269"/>
      <c r="P95" s="3269"/>
      <c r="Q95" s="3269"/>
      <c r="R95" s="3269"/>
      <c r="S95" s="3269"/>
      <c r="T95" s="3269"/>
      <c r="U95" s="3269"/>
      <c r="V95" s="3269"/>
      <c r="W95" s="3269"/>
      <c r="X95" s="3268">
        <f>+Q95+R95+S95+T95</f>
        <v>0</v>
      </c>
      <c r="Y95" s="4014"/>
      <c r="Z95" s="468"/>
      <c r="AA95" s="533"/>
    </row>
    <row r="96" spans="1:28" s="493" customFormat="1" hidden="1">
      <c r="A96" s="3930"/>
      <c r="B96" s="733" t="s">
        <v>184</v>
      </c>
      <c r="C96" s="3862"/>
      <c r="D96" s="3262">
        <f t="shared" si="66"/>
        <v>32130517</v>
      </c>
      <c r="E96" s="3270"/>
      <c r="F96" s="3270"/>
      <c r="G96" s="3270"/>
      <c r="H96" s="3270"/>
      <c r="I96" s="3270"/>
      <c r="J96" s="3270"/>
      <c r="K96" s="3270"/>
      <c r="L96" s="3270"/>
      <c r="M96" s="3270">
        <v>0</v>
      </c>
      <c r="N96" s="3270">
        <v>0</v>
      </c>
      <c r="O96" s="3270">
        <f>25145+6274-18844</f>
        <v>12575</v>
      </c>
      <c r="P96" s="3271">
        <f>851713+1276394+93851+1982466-350438-910967-566172-109184-404167-93706-193124-120913</f>
        <v>1455753</v>
      </c>
      <c r="Q96" s="3271">
        <f>868747+1301922+95728+2022114+18844+588448-9433</f>
        <v>4886370</v>
      </c>
      <c r="R96" s="3272">
        <f>886122+1327960+97643+2062557+784914</f>
        <v>5159196</v>
      </c>
      <c r="S96" s="3272">
        <f>903845+1354520+99595+2103807+347372</f>
        <v>4809139</v>
      </c>
      <c r="T96" s="3272">
        <f>921922+1381610+101587+2145884+357793</f>
        <v>4908796</v>
      </c>
      <c r="U96" s="3272">
        <f>4642023+192558</f>
        <v>4834581</v>
      </c>
      <c r="V96" s="3272">
        <f>2551196+450141</f>
        <v>3001337</v>
      </c>
      <c r="W96" s="3272">
        <f>2645893+416877</f>
        <v>3062770</v>
      </c>
      <c r="X96" s="3273">
        <f>+Q96+R96+S96+T96+U96+V96+W96</f>
        <v>30662189</v>
      </c>
      <c r="Y96" s="4014"/>
      <c r="Z96" s="468"/>
      <c r="AA96" s="533"/>
    </row>
    <row r="97" spans="1:30" s="493" customFormat="1" hidden="1">
      <c r="A97" s="3930"/>
      <c r="B97" s="734" t="s">
        <v>185</v>
      </c>
      <c r="C97" s="3862"/>
      <c r="D97" s="3262">
        <f t="shared" si="66"/>
        <v>0</v>
      </c>
      <c r="E97" s="3274"/>
      <c r="F97" s="3274"/>
      <c r="G97" s="3274"/>
      <c r="H97" s="3274"/>
      <c r="I97" s="3274"/>
      <c r="J97" s="3274"/>
      <c r="K97" s="3274"/>
      <c r="L97" s="3274"/>
      <c r="M97" s="3274"/>
      <c r="N97" s="3274"/>
      <c r="O97" s="3274"/>
      <c r="P97" s="3274"/>
      <c r="Q97" s="3274"/>
      <c r="R97" s="3274"/>
      <c r="S97" s="3274"/>
      <c r="T97" s="3274"/>
      <c r="U97" s="3274"/>
      <c r="V97" s="3274"/>
      <c r="W97" s="3274"/>
      <c r="X97" s="3268">
        <f>+Q97+R97+S97+T97</f>
        <v>0</v>
      </c>
      <c r="Y97" s="4014"/>
      <c r="Z97" s="468"/>
      <c r="AA97" s="533"/>
    </row>
    <row r="98" spans="1:30" s="493" customFormat="1">
      <c r="A98" s="3930"/>
      <c r="B98" s="735" t="s">
        <v>43</v>
      </c>
      <c r="C98" s="3862"/>
      <c r="D98" s="325">
        <f>M98+P98+Q98+R98+S98+T98+U98+V98+W98</f>
        <v>1089060</v>
      </c>
      <c r="E98" s="3260">
        <f t="shared" ref="E98:W98" si="67">E99+E100</f>
        <v>0</v>
      </c>
      <c r="F98" s="3260">
        <f t="shared" si="67"/>
        <v>0</v>
      </c>
      <c r="G98" s="3260">
        <f t="shared" si="67"/>
        <v>0</v>
      </c>
      <c r="H98" s="3260">
        <f t="shared" si="67"/>
        <v>0</v>
      </c>
      <c r="I98" s="3260">
        <f t="shared" si="67"/>
        <v>0</v>
      </c>
      <c r="J98" s="3260">
        <f t="shared" si="67"/>
        <v>0</v>
      </c>
      <c r="K98" s="3260">
        <f t="shared" si="67"/>
        <v>0</v>
      </c>
      <c r="L98" s="3260">
        <f t="shared" si="67"/>
        <v>0</v>
      </c>
      <c r="M98" s="387">
        <f>+E98+I98+J98+K98+L98+N98+O98</f>
        <v>0</v>
      </c>
      <c r="N98" s="3260">
        <f t="shared" si="67"/>
        <v>0</v>
      </c>
      <c r="O98" s="3260">
        <f t="shared" si="67"/>
        <v>0</v>
      </c>
      <c r="P98" s="3260">
        <f t="shared" si="67"/>
        <v>356003</v>
      </c>
      <c r="Q98" s="3260">
        <f t="shared" si="67"/>
        <v>320140</v>
      </c>
      <c r="R98" s="3260">
        <f t="shared" si="67"/>
        <v>92824</v>
      </c>
      <c r="S98" s="3260">
        <f t="shared" si="67"/>
        <v>64019</v>
      </c>
      <c r="T98" s="3260">
        <f t="shared" si="67"/>
        <v>64019</v>
      </c>
      <c r="U98" s="3260">
        <f t="shared" si="67"/>
        <v>64019</v>
      </c>
      <c r="V98" s="3260">
        <f t="shared" si="67"/>
        <v>64018</v>
      </c>
      <c r="W98" s="3260">
        <f t="shared" si="67"/>
        <v>64018</v>
      </c>
      <c r="X98" s="3275">
        <f>X99+X100</f>
        <v>0</v>
      </c>
      <c r="Y98" s="4014"/>
      <c r="Z98" s="468"/>
      <c r="AA98" s="533"/>
    </row>
    <row r="99" spans="1:30" s="493" customFormat="1" ht="12.75" hidden="1" customHeight="1">
      <c r="A99" s="3930"/>
      <c r="B99" s="736" t="s">
        <v>315</v>
      </c>
      <c r="C99" s="3862"/>
      <c r="D99" s="3276">
        <f>M99+N99+O99+P99+Q99+R99+S99+T99+U99+V99+W99</f>
        <v>576047</v>
      </c>
      <c r="E99" s="3276"/>
      <c r="F99" s="3276"/>
      <c r="G99" s="3276"/>
      <c r="H99" s="3276"/>
      <c r="I99" s="3276"/>
      <c r="J99" s="3276"/>
      <c r="K99" s="3276"/>
      <c r="L99" s="3276"/>
      <c r="M99" s="3276"/>
      <c r="N99" s="3276"/>
      <c r="O99" s="3277">
        <f>42324-42324</f>
        <v>0</v>
      </c>
      <c r="P99" s="3278">
        <f>70707+28533-13791-19134-14587</f>
        <v>51728</v>
      </c>
      <c r="Q99" s="3278">
        <f>70632+15201+19134+6435</f>
        <v>111402</v>
      </c>
      <c r="R99" s="3279">
        <f>70167+14504+8153</f>
        <v>92824</v>
      </c>
      <c r="S99" s="3279">
        <v>64019</v>
      </c>
      <c r="T99" s="3279">
        <v>64019</v>
      </c>
      <c r="U99" s="3279">
        <v>64019</v>
      </c>
      <c r="V99" s="3279">
        <v>64018</v>
      </c>
      <c r="W99" s="3279">
        <v>64018</v>
      </c>
      <c r="X99" s="3280">
        <v>0</v>
      </c>
      <c r="Y99" s="4014"/>
      <c r="Z99" s="468"/>
      <c r="AA99" s="533"/>
    </row>
    <row r="100" spans="1:30" s="493" customFormat="1" ht="12.75" hidden="1" customHeight="1">
      <c r="A100" s="3930"/>
      <c r="B100" s="736" t="s">
        <v>316</v>
      </c>
      <c r="C100" s="3862"/>
      <c r="D100" s="3276">
        <f>M100+N100+O100+P100+Q100+R100+S100+T100+U100+V100+W100</f>
        <v>513013</v>
      </c>
      <c r="E100" s="3276"/>
      <c r="F100" s="3276"/>
      <c r="G100" s="3276"/>
      <c r="H100" s="3276"/>
      <c r="I100" s="3276"/>
      <c r="J100" s="3276"/>
      <c r="K100" s="3276"/>
      <c r="L100" s="3276"/>
      <c r="M100" s="3276"/>
      <c r="N100" s="3276"/>
      <c r="O100" s="3277">
        <f>88661-88661</f>
        <v>0</v>
      </c>
      <c r="P100" s="3278">
        <f>303188+204030-7098-195845</f>
        <v>304275</v>
      </c>
      <c r="Q100" s="3278">
        <f>390656-525+1+195845-377239</f>
        <v>208738</v>
      </c>
      <c r="R100" s="3279">
        <f>441506+300-2-441804</f>
        <v>0</v>
      </c>
      <c r="S100" s="3279">
        <f>406479-406479</f>
        <v>0</v>
      </c>
      <c r="T100" s="3279">
        <f>406478-406478</f>
        <v>0</v>
      </c>
      <c r="U100" s="3279">
        <f>406478-406478</f>
        <v>0</v>
      </c>
      <c r="V100" s="3279">
        <f>406479-406479</f>
        <v>0</v>
      </c>
      <c r="W100" s="3279">
        <f>406479-406479</f>
        <v>0</v>
      </c>
      <c r="X100" s="3280">
        <v>0</v>
      </c>
      <c r="Y100" s="4014"/>
      <c r="Z100" s="468"/>
      <c r="AA100" s="533"/>
    </row>
    <row r="101" spans="1:30" s="493" customFormat="1">
      <c r="A101" s="3930"/>
      <c r="B101" s="104" t="s">
        <v>29</v>
      </c>
      <c r="C101" s="3862"/>
      <c r="D101" s="690">
        <f>+D102</f>
        <v>181599850</v>
      </c>
      <c r="E101" s="690">
        <f t="shared" ref="E101:X101" si="68">+E102</f>
        <v>0</v>
      </c>
      <c r="F101" s="684">
        <f t="shared" si="68"/>
        <v>0</v>
      </c>
      <c r="G101" s="684">
        <f t="shared" si="68"/>
        <v>0</v>
      </c>
      <c r="H101" s="684">
        <f t="shared" si="68"/>
        <v>0</v>
      </c>
      <c r="I101" s="685">
        <f t="shared" si="68"/>
        <v>0</v>
      </c>
      <c r="J101" s="685">
        <f t="shared" si="68"/>
        <v>0</v>
      </c>
      <c r="K101" s="685">
        <f>+K102</f>
        <v>0</v>
      </c>
      <c r="L101" s="685">
        <f t="shared" si="68"/>
        <v>0</v>
      </c>
      <c r="M101" s="690">
        <f t="shared" si="68"/>
        <v>83078</v>
      </c>
      <c r="N101" s="690">
        <f t="shared" si="68"/>
        <v>0</v>
      </c>
      <c r="O101" s="690">
        <f t="shared" si="68"/>
        <v>83078</v>
      </c>
      <c r="P101" s="690">
        <f>+P102</f>
        <v>19803679</v>
      </c>
      <c r="Q101" s="690">
        <f>+Q102</f>
        <v>24975598</v>
      </c>
      <c r="R101" s="646">
        <f t="shared" si="68"/>
        <v>24942988</v>
      </c>
      <c r="S101" s="646">
        <f t="shared" si="68"/>
        <v>22912984</v>
      </c>
      <c r="T101" s="646">
        <f t="shared" si="68"/>
        <v>21824271</v>
      </c>
      <c r="U101" s="646">
        <f t="shared" si="68"/>
        <v>22152678</v>
      </c>
      <c r="V101" s="646">
        <f t="shared" si="68"/>
        <v>22493359</v>
      </c>
      <c r="W101" s="646">
        <f t="shared" si="68"/>
        <v>22411215</v>
      </c>
      <c r="X101" s="3264">
        <f t="shared" si="68"/>
        <v>161713093</v>
      </c>
      <c r="Y101" s="4014"/>
      <c r="Z101" s="558"/>
      <c r="AA101" s="533"/>
    </row>
    <row r="102" spans="1:30" s="3214" customFormat="1" ht="13.5" thickBot="1">
      <c r="A102" s="3930"/>
      <c r="B102" s="722" t="s">
        <v>32</v>
      </c>
      <c r="C102" s="3883"/>
      <c r="D102" s="2192">
        <f>M102+P102+Q102+R102+S102+T102+U102+V102+W102</f>
        <v>181599850</v>
      </c>
      <c r="E102" s="645">
        <f t="shared" ref="E102:L102" si="69">SUM(E104:E110)</f>
        <v>0</v>
      </c>
      <c r="F102" s="645">
        <f t="shared" si="69"/>
        <v>0</v>
      </c>
      <c r="G102" s="645">
        <f t="shared" si="69"/>
        <v>0</v>
      </c>
      <c r="H102" s="645">
        <f t="shared" si="69"/>
        <v>0</v>
      </c>
      <c r="I102" s="645">
        <f t="shared" si="69"/>
        <v>0</v>
      </c>
      <c r="J102" s="645">
        <f t="shared" si="69"/>
        <v>0</v>
      </c>
      <c r="K102" s="645">
        <f t="shared" si="69"/>
        <v>0</v>
      </c>
      <c r="L102" s="645">
        <f t="shared" si="69"/>
        <v>0</v>
      </c>
      <c r="M102" s="387">
        <f>+E102+I102+J102+K102+L102+N102+O102</f>
        <v>83078</v>
      </c>
      <c r="N102" s="645">
        <f t="shared" ref="N102:X102" si="70">SUM(N104:N110)</f>
        <v>0</v>
      </c>
      <c r="O102" s="645">
        <f t="shared" si="70"/>
        <v>83078</v>
      </c>
      <c r="P102" s="645">
        <f t="shared" si="70"/>
        <v>19803679</v>
      </c>
      <c r="Q102" s="645">
        <f t="shared" si="70"/>
        <v>24975598</v>
      </c>
      <c r="R102" s="645">
        <f t="shared" si="70"/>
        <v>24942988</v>
      </c>
      <c r="S102" s="645">
        <f t="shared" si="70"/>
        <v>22912984</v>
      </c>
      <c r="T102" s="645">
        <f t="shared" si="70"/>
        <v>21824271</v>
      </c>
      <c r="U102" s="645">
        <f t="shared" si="70"/>
        <v>22152678</v>
      </c>
      <c r="V102" s="645">
        <f t="shared" si="70"/>
        <v>22493359</v>
      </c>
      <c r="W102" s="645">
        <f t="shared" si="70"/>
        <v>22411215</v>
      </c>
      <c r="X102" s="3261">
        <f t="shared" si="70"/>
        <v>161713093</v>
      </c>
      <c r="Y102" s="4014"/>
      <c r="Z102" s="535"/>
      <c r="AA102" s="533"/>
      <c r="AD102" s="541"/>
    </row>
    <row r="103" spans="1:30" s="3214" customFormat="1" hidden="1">
      <c r="A103" s="3930"/>
      <c r="B103" s="722" t="s">
        <v>181</v>
      </c>
      <c r="C103" s="697"/>
      <c r="D103" s="645"/>
      <c r="E103" s="687"/>
      <c r="F103" s="3281"/>
      <c r="G103" s="3281"/>
      <c r="H103" s="3281"/>
      <c r="I103" s="689"/>
      <c r="J103" s="689"/>
      <c r="K103" s="689"/>
      <c r="L103" s="689"/>
      <c r="M103" s="687"/>
      <c r="N103" s="687"/>
      <c r="O103" s="687"/>
      <c r="P103" s="3282"/>
      <c r="Q103" s="3282"/>
      <c r="R103" s="3282"/>
      <c r="S103" s="3282"/>
      <c r="T103" s="3282"/>
      <c r="U103" s="3282"/>
      <c r="V103" s="3282"/>
      <c r="W103" s="3282"/>
      <c r="X103" s="3283"/>
      <c r="Y103" s="4014"/>
      <c r="Z103" s="535"/>
      <c r="AA103" s="533"/>
      <c r="AD103" s="229"/>
    </row>
    <row r="104" spans="1:30" s="3214" customFormat="1" hidden="1">
      <c r="A104" s="3930"/>
      <c r="B104" s="731" t="s">
        <v>182</v>
      </c>
      <c r="C104" s="560"/>
      <c r="D104" s="3284">
        <f t="shared" ref="D104:D110" si="71">+E104+I104+J104+K104+L104+N104+O104+P104+Q104+R104+S104+T104+U104+V104+W104</f>
        <v>24291436</v>
      </c>
      <c r="E104" s="3285"/>
      <c r="F104" s="3285"/>
      <c r="G104" s="3285"/>
      <c r="H104" s="3285"/>
      <c r="I104" s="3285"/>
      <c r="J104" s="3285"/>
      <c r="K104" s="3285"/>
      <c r="L104" s="3285"/>
      <c r="M104" s="3285"/>
      <c r="N104" s="3285"/>
      <c r="O104" s="3182">
        <f>140250-133832</f>
        <v>6418</v>
      </c>
      <c r="P104" s="3182">
        <f>2407721+10000000-10000000+1253504+1281625+2511971+1354412+618711-750000+677628+530994+961369-151228</f>
        <v>10696707</v>
      </c>
      <c r="Q104" s="3182">
        <f>2407721+10000000-9866168-241553+53444</f>
        <v>2353444</v>
      </c>
      <c r="R104" s="3182">
        <f>2407721-107721</f>
        <v>2300000</v>
      </c>
      <c r="S104" s="3182">
        <f>1820395+620000-140395</f>
        <v>2300000</v>
      </c>
      <c r="T104" s="3182">
        <f>1820395+865067-985462</f>
        <v>1700000</v>
      </c>
      <c r="U104" s="3182">
        <f>1820395-120395</f>
        <v>1700000</v>
      </c>
      <c r="V104" s="3182">
        <f>1820395-120395</f>
        <v>1700000</v>
      </c>
      <c r="W104" s="3182">
        <f>1820391-285524</f>
        <v>1534867</v>
      </c>
      <c r="X104" s="3286">
        <f t="shared" ref="X104:X110" si="72">+Q104+R104+S104+T104+U104+V104+W104</f>
        <v>13588311</v>
      </c>
      <c r="Y104" s="4014"/>
      <c r="Z104" s="468"/>
      <c r="AA104" s="533"/>
      <c r="AD104" s="229"/>
    </row>
    <row r="105" spans="1:30" s="3214" customFormat="1" hidden="1">
      <c r="A105" s="3930"/>
      <c r="B105" s="732" t="s">
        <v>183</v>
      </c>
      <c r="C105" s="698"/>
      <c r="D105" s="3284">
        <f t="shared" si="71"/>
        <v>16162953</v>
      </c>
      <c r="E105" s="3269"/>
      <c r="F105" s="3269"/>
      <c r="G105" s="3269"/>
      <c r="H105" s="3269"/>
      <c r="I105" s="3269"/>
      <c r="J105" s="3269"/>
      <c r="K105" s="3269"/>
      <c r="L105" s="3269"/>
      <c r="M105" s="3269"/>
      <c r="N105" s="3269"/>
      <c r="O105" s="3269">
        <f>182812-177406</f>
        <v>5406</v>
      </c>
      <c r="P105" s="3183">
        <f>2214210-90000-101531</f>
        <v>2022679</v>
      </c>
      <c r="Q105" s="3183">
        <f>2618000+177406-295406</f>
        <v>2500000</v>
      </c>
      <c r="R105" s="3183">
        <f>2618000-118000</f>
        <v>2500000</v>
      </c>
      <c r="S105" s="3183">
        <f>1813339+841315-154654</f>
        <v>2500000</v>
      </c>
      <c r="T105" s="3183">
        <f>1813339-113339</f>
        <v>1700000</v>
      </c>
      <c r="U105" s="3183">
        <f>1813339-113339</f>
        <v>1700000</v>
      </c>
      <c r="V105" s="3183">
        <f>1813339-113339</f>
        <v>1700000</v>
      </c>
      <c r="W105" s="3183">
        <f>1813335-278467</f>
        <v>1534868</v>
      </c>
      <c r="X105" s="3286">
        <f t="shared" si="72"/>
        <v>14134868</v>
      </c>
      <c r="Y105" s="4014"/>
      <c r="Z105" s="468"/>
      <c r="AA105" s="533"/>
      <c r="AD105" s="229"/>
    </row>
    <row r="106" spans="1:30" s="542" customFormat="1" hidden="1">
      <c r="A106" s="3930"/>
      <c r="B106" s="733" t="s">
        <v>184</v>
      </c>
      <c r="C106" s="699"/>
      <c r="D106" s="3270">
        <f t="shared" si="71"/>
        <v>116675164</v>
      </c>
      <c r="E106" s="3270"/>
      <c r="F106" s="3270"/>
      <c r="G106" s="3270"/>
      <c r="H106" s="3270"/>
      <c r="I106" s="3270"/>
      <c r="J106" s="3270"/>
      <c r="K106" s="3270"/>
      <c r="L106" s="3270"/>
      <c r="M106" s="3270"/>
      <c r="N106" s="3270"/>
      <c r="O106" s="3287">
        <f>142489+35554-106789</f>
        <v>71254</v>
      </c>
      <c r="P106" s="3288">
        <f>4826373+7232899+531823-1253504-1281625-2511971-1354412-618711-677628-530994-807695-20575</f>
        <v>3533980</v>
      </c>
      <c r="Q106" s="3288">
        <f>4922901+7377557+542459+106789+2990770-53444</f>
        <v>15887032</v>
      </c>
      <c r="R106" s="3288">
        <f>5021358+7525108+553309+4097213</f>
        <v>17196988</v>
      </c>
      <c r="S106" s="3288">
        <f>5121786+7675610+564375+1968441</f>
        <v>15330212</v>
      </c>
      <c r="T106" s="3288">
        <f>5224221+7829122+575662+2027494</f>
        <v>15656499</v>
      </c>
      <c r="U106" s="3288">
        <f>13901587+2088319</f>
        <v>15989906</v>
      </c>
      <c r="V106" s="3288">
        <f>14179618+2150968</f>
        <v>16330586</v>
      </c>
      <c r="W106" s="3288">
        <f>14463209+2215498</f>
        <v>16678707</v>
      </c>
      <c r="X106" s="3273">
        <f t="shared" si="72"/>
        <v>113069930</v>
      </c>
      <c r="Y106" s="4014"/>
      <c r="Z106" s="468"/>
      <c r="AA106" s="533"/>
      <c r="AD106" s="543"/>
    </row>
    <row r="107" spans="1:30" s="542" customFormat="1" hidden="1">
      <c r="A107" s="3930"/>
      <c r="B107" s="737" t="s">
        <v>185</v>
      </c>
      <c r="C107" s="700"/>
      <c r="D107" s="3284">
        <f t="shared" si="71"/>
        <v>15523968</v>
      </c>
      <c r="E107" s="3274"/>
      <c r="F107" s="3274"/>
      <c r="G107" s="3274"/>
      <c r="H107" s="3274"/>
      <c r="I107" s="3274"/>
      <c r="J107" s="3274"/>
      <c r="K107" s="3274"/>
      <c r="L107" s="3274"/>
      <c r="M107" s="3274">
        <f>+E107+I107+J107+K107+L107</f>
        <v>0</v>
      </c>
      <c r="N107" s="3274"/>
      <c r="O107" s="3274"/>
      <c r="P107" s="3289">
        <f>2190000-570000-63674-23358</f>
        <v>1532968</v>
      </c>
      <c r="Q107" s="3289">
        <f>2190000-99000</f>
        <v>2091000</v>
      </c>
      <c r="R107" s="3289">
        <f>2190000-190000</f>
        <v>2000000</v>
      </c>
      <c r="S107" s="3289">
        <f>2048339-48339</f>
        <v>2000000</v>
      </c>
      <c r="T107" s="3289">
        <f>2048339-48339</f>
        <v>2000000</v>
      </c>
      <c r="U107" s="3289">
        <f>2048339-48339</f>
        <v>2000000</v>
      </c>
      <c r="V107" s="3289">
        <f>2048339-48339</f>
        <v>2000000</v>
      </c>
      <c r="W107" s="3289">
        <f>2048336-148336</f>
        <v>1900000</v>
      </c>
      <c r="X107" s="3286">
        <f t="shared" si="72"/>
        <v>13991000</v>
      </c>
      <c r="Y107" s="4014"/>
      <c r="Z107" s="468"/>
      <c r="AA107" s="533"/>
      <c r="AD107" s="543"/>
    </row>
    <row r="108" spans="1:30" s="542" customFormat="1" hidden="1">
      <c r="A108" s="3930"/>
      <c r="B108" s="3180" t="s">
        <v>549</v>
      </c>
      <c r="C108" s="3181"/>
      <c r="D108" s="3284">
        <f t="shared" si="71"/>
        <v>2775000</v>
      </c>
      <c r="E108" s="3289"/>
      <c r="F108" s="3289"/>
      <c r="G108" s="3289"/>
      <c r="H108" s="3289"/>
      <c r="I108" s="3289"/>
      <c r="J108" s="3289"/>
      <c r="K108" s="3289"/>
      <c r="L108" s="3289"/>
      <c r="M108" s="3289"/>
      <c r="N108" s="3289"/>
      <c r="O108" s="3290"/>
      <c r="P108" s="3290">
        <v>0</v>
      </c>
      <c r="Q108" s="3290">
        <v>330000</v>
      </c>
      <c r="R108" s="3290">
        <v>420000</v>
      </c>
      <c r="S108" s="3290">
        <v>420000</v>
      </c>
      <c r="T108" s="3290">
        <v>405000</v>
      </c>
      <c r="U108" s="3290">
        <v>400000</v>
      </c>
      <c r="V108" s="3290">
        <v>400000</v>
      </c>
      <c r="W108" s="3290">
        <v>400000</v>
      </c>
      <c r="X108" s="3286">
        <f t="shared" si="72"/>
        <v>2775000</v>
      </c>
      <c r="Y108" s="4014"/>
      <c r="Z108" s="468"/>
      <c r="AA108" s="533"/>
      <c r="AD108" s="543"/>
    </row>
    <row r="109" spans="1:30" s="542" customFormat="1" hidden="1">
      <c r="A109" s="3930"/>
      <c r="B109" s="736" t="s">
        <v>340</v>
      </c>
      <c r="C109" s="701"/>
      <c r="D109" s="3284">
        <f t="shared" si="71"/>
        <v>3264265</v>
      </c>
      <c r="E109" s="3276"/>
      <c r="F109" s="3276"/>
      <c r="G109" s="3276"/>
      <c r="H109" s="3276"/>
      <c r="I109" s="3276"/>
      <c r="J109" s="3276"/>
      <c r="K109" s="3276"/>
      <c r="L109" s="3276"/>
      <c r="M109" s="3276"/>
      <c r="N109" s="3276"/>
      <c r="O109" s="3291">
        <f>239836-239836</f>
        <v>0</v>
      </c>
      <c r="P109" s="3292">
        <f>400673+161686-78150-108427-82655</f>
        <v>293127</v>
      </c>
      <c r="Q109" s="3291">
        <f>400248+86140-1+108427+36462</f>
        <v>631276</v>
      </c>
      <c r="R109" s="3292">
        <f>397613+82194+46193</f>
        <v>526000</v>
      </c>
      <c r="S109" s="3292">
        <v>362772</v>
      </c>
      <c r="T109" s="3292">
        <v>362772</v>
      </c>
      <c r="U109" s="3292">
        <v>362772</v>
      </c>
      <c r="V109" s="3292">
        <v>362773</v>
      </c>
      <c r="W109" s="3292">
        <v>362773</v>
      </c>
      <c r="X109" s="3286">
        <f t="shared" si="72"/>
        <v>2971138</v>
      </c>
      <c r="Y109" s="4014"/>
      <c r="Z109" s="468"/>
      <c r="AA109" s="533"/>
      <c r="AD109" s="543"/>
    </row>
    <row r="110" spans="1:30" s="542" customFormat="1" hidden="1">
      <c r="A110" s="3930"/>
      <c r="B110" s="736" t="s">
        <v>341</v>
      </c>
      <c r="C110" s="702"/>
      <c r="D110" s="3284">
        <f t="shared" si="71"/>
        <v>2907064</v>
      </c>
      <c r="E110" s="3276"/>
      <c r="F110" s="3276"/>
      <c r="G110" s="3276"/>
      <c r="H110" s="3276"/>
      <c r="I110" s="3276"/>
      <c r="J110" s="3276"/>
      <c r="K110" s="3276"/>
      <c r="L110" s="3276"/>
      <c r="M110" s="3276"/>
      <c r="N110" s="3276"/>
      <c r="O110" s="3291">
        <f>502414-502414</f>
        <v>0</v>
      </c>
      <c r="P110" s="3292">
        <f>1718064+1156172-40224-1109794</f>
        <v>1724218</v>
      </c>
      <c r="Q110" s="3291">
        <f>2213719-2975+1109794-2137692</f>
        <v>1182846</v>
      </c>
      <c r="R110" s="3292">
        <f>2501869+1700-1-2503568</f>
        <v>0</v>
      </c>
      <c r="S110" s="3292">
        <f>2303378-2303378</f>
        <v>0</v>
      </c>
      <c r="T110" s="3292">
        <f>2303378-2303378</f>
        <v>0</v>
      </c>
      <c r="U110" s="3292">
        <f>2303378-2303378</f>
        <v>0</v>
      </c>
      <c r="V110" s="3292">
        <f>2303377-2303377</f>
        <v>0</v>
      </c>
      <c r="W110" s="3292">
        <f>2303377-2303377</f>
        <v>0</v>
      </c>
      <c r="X110" s="3286">
        <f t="shared" si="72"/>
        <v>1182846</v>
      </c>
      <c r="Y110" s="4014"/>
      <c r="Z110" s="468"/>
      <c r="AA110" s="533"/>
      <c r="AD110" s="543"/>
    </row>
    <row r="111" spans="1:30" s="3214" customFormat="1" ht="16.5" customHeight="1">
      <c r="A111" s="3637"/>
      <c r="B111" s="103" t="s">
        <v>33</v>
      </c>
      <c r="C111" s="226"/>
      <c r="D111" s="564">
        <f>+D112</f>
        <v>181599850</v>
      </c>
      <c r="E111" s="564">
        <f t="shared" ref="E111:W111" si="73">+E112</f>
        <v>0</v>
      </c>
      <c r="F111" s="3293">
        <f t="shared" si="73"/>
        <v>0</v>
      </c>
      <c r="G111" s="3293">
        <f t="shared" si="73"/>
        <v>2563346</v>
      </c>
      <c r="H111" s="3293">
        <f t="shared" si="73"/>
        <v>8175757</v>
      </c>
      <c r="I111" s="3294">
        <f t="shared" si="73"/>
        <v>0</v>
      </c>
      <c r="J111" s="3294">
        <f t="shared" si="73"/>
        <v>0</v>
      </c>
      <c r="K111" s="3294">
        <f t="shared" si="73"/>
        <v>0</v>
      </c>
      <c r="L111" s="3294">
        <f t="shared" si="73"/>
        <v>0</v>
      </c>
      <c r="M111" s="564">
        <f t="shared" si="73"/>
        <v>0</v>
      </c>
      <c r="N111" s="564">
        <f t="shared" si="73"/>
        <v>0</v>
      </c>
      <c r="O111" s="564">
        <f t="shared" si="73"/>
        <v>0</v>
      </c>
      <c r="P111" s="564">
        <f t="shared" si="73"/>
        <v>14581335</v>
      </c>
      <c r="Q111" s="564">
        <f t="shared" si="73"/>
        <v>28676876</v>
      </c>
      <c r="R111" s="564">
        <f t="shared" si="73"/>
        <v>20833882</v>
      </c>
      <c r="S111" s="3295">
        <f t="shared" si="73"/>
        <v>28626234</v>
      </c>
      <c r="T111" s="3295">
        <f t="shared" si="73"/>
        <v>21824271</v>
      </c>
      <c r="U111" s="3295">
        <f t="shared" si="73"/>
        <v>22152678</v>
      </c>
      <c r="V111" s="3295">
        <f t="shared" si="73"/>
        <v>22493359</v>
      </c>
      <c r="W111" s="3295">
        <f t="shared" si="73"/>
        <v>22411215</v>
      </c>
      <c r="X111" s="3970" t="s">
        <v>75</v>
      </c>
      <c r="Y111" s="4014"/>
      <c r="Z111" s="565"/>
      <c r="AA111" s="533"/>
    </row>
    <row r="112" spans="1:30" s="3214" customFormat="1">
      <c r="A112" s="3637"/>
      <c r="B112" s="738" t="s">
        <v>29</v>
      </c>
      <c r="C112" s="4017" t="s">
        <v>314</v>
      </c>
      <c r="D112" s="690">
        <f t="shared" ref="D112:W112" si="74">+D113</f>
        <v>181599850</v>
      </c>
      <c r="E112" s="690">
        <f t="shared" si="74"/>
        <v>0</v>
      </c>
      <c r="F112" s="684">
        <f t="shared" si="74"/>
        <v>0</v>
      </c>
      <c r="G112" s="684">
        <f t="shared" si="74"/>
        <v>2563346</v>
      </c>
      <c r="H112" s="684">
        <f t="shared" si="74"/>
        <v>8175757</v>
      </c>
      <c r="I112" s="685">
        <f t="shared" si="74"/>
        <v>0</v>
      </c>
      <c r="J112" s="685">
        <f t="shared" si="74"/>
        <v>0</v>
      </c>
      <c r="K112" s="685">
        <f t="shared" si="74"/>
        <v>0</v>
      </c>
      <c r="L112" s="685">
        <f t="shared" si="74"/>
        <v>0</v>
      </c>
      <c r="M112" s="690">
        <f t="shared" si="74"/>
        <v>0</v>
      </c>
      <c r="N112" s="690">
        <f t="shared" si="74"/>
        <v>0</v>
      </c>
      <c r="O112" s="690">
        <f t="shared" si="74"/>
        <v>0</v>
      </c>
      <c r="P112" s="690">
        <f t="shared" si="74"/>
        <v>14581335</v>
      </c>
      <c r="Q112" s="646">
        <f t="shared" si="74"/>
        <v>28676876</v>
      </c>
      <c r="R112" s="646">
        <f t="shared" si="74"/>
        <v>20833882</v>
      </c>
      <c r="S112" s="646">
        <f t="shared" si="74"/>
        <v>28626234</v>
      </c>
      <c r="T112" s="646">
        <f t="shared" si="74"/>
        <v>21824271</v>
      </c>
      <c r="U112" s="646">
        <f t="shared" si="74"/>
        <v>22152678</v>
      </c>
      <c r="V112" s="646">
        <f t="shared" si="74"/>
        <v>22493359</v>
      </c>
      <c r="W112" s="646">
        <f t="shared" si="74"/>
        <v>22411215</v>
      </c>
      <c r="X112" s="3914"/>
      <c r="Y112" s="4014"/>
      <c r="Z112" s="535"/>
      <c r="AA112" s="533"/>
    </row>
    <row r="113" spans="1:27" s="3214" customFormat="1" ht="15.75" customHeight="1" thickBot="1">
      <c r="A113" s="3638"/>
      <c r="B113" s="524" t="s">
        <v>32</v>
      </c>
      <c r="C113" s="3905"/>
      <c r="D113" s="325">
        <f>M113+P113+Q113+R113+S113+T113+U113+V113+W113</f>
        <v>181599850</v>
      </c>
      <c r="E113" s="224"/>
      <c r="F113" s="525">
        <v>0</v>
      </c>
      <c r="G113" s="525">
        <v>2563346</v>
      </c>
      <c r="H113" s="525">
        <f>8310034-134277</f>
        <v>8175757</v>
      </c>
      <c r="I113" s="526"/>
      <c r="J113" s="526"/>
      <c r="K113" s="526"/>
      <c r="L113" s="526"/>
      <c r="M113" s="387">
        <f>+E113+I113+J113+K113+L113+N113+O113</f>
        <v>0</v>
      </c>
      <c r="N113" s="224">
        <v>0</v>
      </c>
      <c r="O113" s="224">
        <f>1513355-270000-1243355</f>
        <v>0</v>
      </c>
      <c r="P113" s="1310">
        <f>30449000-8318334-1514057-118374-2942011-2974889</f>
        <v>14581335</v>
      </c>
      <c r="Q113" s="1310">
        <f>51433208-8318334-17866393+1853416+1574979</f>
        <v>28676876</v>
      </c>
      <c r="R113" s="1310">
        <f>30885930-8318334+1316270-584995-2464989</f>
        <v>20833882</v>
      </c>
      <c r="S113" s="1310">
        <f>29939078-8229084+354097+1107218+5454925</f>
        <v>28626234</v>
      </c>
      <c r="T113" s="1310">
        <f>30223312-8246084-386089+82192+1168964-1018024</f>
        <v>21824271</v>
      </c>
      <c r="U113" s="1310">
        <f>30407494-8157684-97132</f>
        <v>22152678</v>
      </c>
      <c r="V113" s="1310">
        <f>30073524-7545683-34482</f>
        <v>22493359</v>
      </c>
      <c r="W113" s="1310">
        <f>30175721-7364300-400206</f>
        <v>22411215</v>
      </c>
      <c r="X113" s="3915"/>
      <c r="Y113" s="4015"/>
      <c r="Z113" s="468"/>
      <c r="AA113" s="468"/>
    </row>
    <row r="114" spans="1:27" s="3214" customFormat="1" ht="26.25" customHeight="1">
      <c r="A114" s="3929" t="s">
        <v>81</v>
      </c>
      <c r="B114" s="214" t="s">
        <v>331</v>
      </c>
      <c r="C114" s="215" t="s">
        <v>95</v>
      </c>
      <c r="D114" s="613"/>
      <c r="E114" s="607"/>
      <c r="F114" s="608"/>
      <c r="G114" s="608"/>
      <c r="H114" s="609"/>
      <c r="I114" s="610"/>
      <c r="J114" s="611"/>
      <c r="K114" s="610"/>
      <c r="L114" s="610"/>
      <c r="M114" s="606"/>
      <c r="N114" s="606"/>
      <c r="O114" s="606"/>
      <c r="P114" s="607"/>
      <c r="Q114" s="607"/>
      <c r="R114" s="607"/>
      <c r="S114" s="607"/>
      <c r="T114" s="607"/>
      <c r="U114" s="607"/>
      <c r="V114" s="607"/>
      <c r="W114" s="612"/>
      <c r="X114" s="531"/>
      <c r="Y114" s="4010" t="s">
        <v>596</v>
      </c>
      <c r="Z114" s="468"/>
    </row>
    <row r="115" spans="1:27" s="3214" customFormat="1" ht="14.25" customHeight="1">
      <c r="A115" s="3930"/>
      <c r="B115" s="25" t="s">
        <v>21</v>
      </c>
      <c r="C115" s="225"/>
      <c r="D115" s="3296">
        <f t="shared" ref="D115:X115" si="75">+D120+D116</f>
        <v>1831965</v>
      </c>
      <c r="E115" s="3296">
        <f t="shared" si="75"/>
        <v>0</v>
      </c>
      <c r="F115" s="3296">
        <f t="shared" si="75"/>
        <v>0</v>
      </c>
      <c r="G115" s="3296">
        <f t="shared" si="75"/>
        <v>0</v>
      </c>
      <c r="H115" s="3296">
        <f t="shared" si="75"/>
        <v>0</v>
      </c>
      <c r="I115" s="3296">
        <f t="shared" si="75"/>
        <v>0</v>
      </c>
      <c r="J115" s="3296">
        <f t="shared" si="75"/>
        <v>0</v>
      </c>
      <c r="K115" s="3296">
        <f t="shared" si="75"/>
        <v>0</v>
      </c>
      <c r="L115" s="3296">
        <f t="shared" si="75"/>
        <v>0</v>
      </c>
      <c r="M115" s="3296">
        <f t="shared" si="75"/>
        <v>0</v>
      </c>
      <c r="N115" s="3296">
        <f t="shared" si="75"/>
        <v>0</v>
      </c>
      <c r="O115" s="3296">
        <f t="shared" si="75"/>
        <v>0</v>
      </c>
      <c r="P115" s="3296">
        <f t="shared" si="75"/>
        <v>392617</v>
      </c>
      <c r="Q115" s="3296">
        <f t="shared" si="75"/>
        <v>461603</v>
      </c>
      <c r="R115" s="3296">
        <f t="shared" si="75"/>
        <v>170245</v>
      </c>
      <c r="S115" s="3296">
        <f t="shared" si="75"/>
        <v>161500</v>
      </c>
      <c r="T115" s="3296">
        <f t="shared" si="75"/>
        <v>161500</v>
      </c>
      <c r="U115" s="3296">
        <f>+U120+U116</f>
        <v>161500</v>
      </c>
      <c r="V115" s="3296">
        <f>+V120+V116</f>
        <v>161500</v>
      </c>
      <c r="W115" s="3296">
        <f>+W120+W116</f>
        <v>161500</v>
      </c>
      <c r="X115" s="3297">
        <f t="shared" si="75"/>
        <v>1437938</v>
      </c>
      <c r="Y115" s="4011"/>
      <c r="Z115" s="557"/>
    </row>
    <row r="116" spans="1:27" s="3214" customFormat="1" ht="13.5" customHeight="1">
      <c r="A116" s="3930"/>
      <c r="B116" s="217" t="s">
        <v>35</v>
      </c>
      <c r="C116" s="4017" t="s">
        <v>577</v>
      </c>
      <c r="D116" s="3298">
        <f>+D117</f>
        <v>36523</v>
      </c>
      <c r="E116" s="3298">
        <f t="shared" ref="E116:W116" si="76">+E117</f>
        <v>0</v>
      </c>
      <c r="F116" s="3298">
        <f t="shared" si="76"/>
        <v>0</v>
      </c>
      <c r="G116" s="3298">
        <f t="shared" si="76"/>
        <v>0</v>
      </c>
      <c r="H116" s="3298">
        <f t="shared" si="76"/>
        <v>0</v>
      </c>
      <c r="I116" s="3298">
        <f t="shared" si="76"/>
        <v>0</v>
      </c>
      <c r="J116" s="3298">
        <f t="shared" si="76"/>
        <v>0</v>
      </c>
      <c r="K116" s="3298">
        <f t="shared" si="76"/>
        <v>0</v>
      </c>
      <c r="L116" s="3298">
        <f t="shared" si="76"/>
        <v>0</v>
      </c>
      <c r="M116" s="3298">
        <f t="shared" si="76"/>
        <v>0</v>
      </c>
      <c r="N116" s="3298">
        <f t="shared" si="76"/>
        <v>0</v>
      </c>
      <c r="O116" s="3298">
        <f t="shared" si="76"/>
        <v>0</v>
      </c>
      <c r="P116" s="3298">
        <f t="shared" si="76"/>
        <v>35113</v>
      </c>
      <c r="Q116" s="3298">
        <f t="shared" si="76"/>
        <v>545</v>
      </c>
      <c r="R116" s="3298">
        <f t="shared" si="76"/>
        <v>865</v>
      </c>
      <c r="S116" s="3298">
        <f t="shared" si="76"/>
        <v>0</v>
      </c>
      <c r="T116" s="3298">
        <f t="shared" si="76"/>
        <v>0</v>
      </c>
      <c r="U116" s="3298">
        <f t="shared" si="76"/>
        <v>0</v>
      </c>
      <c r="V116" s="3298">
        <f t="shared" si="76"/>
        <v>0</v>
      </c>
      <c r="W116" s="3298">
        <f t="shared" si="76"/>
        <v>0</v>
      </c>
      <c r="X116" s="3299">
        <f>+X117</f>
        <v>0</v>
      </c>
      <c r="Y116" s="4011"/>
      <c r="Z116" s="468"/>
    </row>
    <row r="117" spans="1:27" s="3214" customFormat="1" ht="13.5" customHeight="1">
      <c r="A117" s="3930"/>
      <c r="B117" s="739" t="s">
        <v>43</v>
      </c>
      <c r="C117" s="3862"/>
      <c r="D117" s="325">
        <f>M117+P117+Q117+R117+S117+T117+U117+V117+W117</f>
        <v>36523</v>
      </c>
      <c r="E117" s="3300">
        <f t="shared" ref="E117:L117" si="77">E118+E119</f>
        <v>0</v>
      </c>
      <c r="F117" s="3300">
        <f t="shared" si="77"/>
        <v>0</v>
      </c>
      <c r="G117" s="3300">
        <f t="shared" si="77"/>
        <v>0</v>
      </c>
      <c r="H117" s="3300">
        <f t="shared" si="77"/>
        <v>0</v>
      </c>
      <c r="I117" s="3300">
        <f t="shared" si="77"/>
        <v>0</v>
      </c>
      <c r="J117" s="3300">
        <f t="shared" si="77"/>
        <v>0</v>
      </c>
      <c r="K117" s="3300">
        <f t="shared" si="77"/>
        <v>0</v>
      </c>
      <c r="L117" s="3300">
        <f t="shared" si="77"/>
        <v>0</v>
      </c>
      <c r="M117" s="387">
        <f>+E117+I117+J117+K117+L117+N117+O117</f>
        <v>0</v>
      </c>
      <c r="N117" s="3300">
        <f t="shared" ref="N117:X117" si="78">N118+N119</f>
        <v>0</v>
      </c>
      <c r="O117" s="3300">
        <f t="shared" si="78"/>
        <v>0</v>
      </c>
      <c r="P117" s="3300">
        <f t="shared" si="78"/>
        <v>35113</v>
      </c>
      <c r="Q117" s="3300">
        <f t="shared" si="78"/>
        <v>545</v>
      </c>
      <c r="R117" s="3300">
        <f t="shared" si="78"/>
        <v>865</v>
      </c>
      <c r="S117" s="3300">
        <f t="shared" si="78"/>
        <v>0</v>
      </c>
      <c r="T117" s="3300">
        <f t="shared" si="78"/>
        <v>0</v>
      </c>
      <c r="U117" s="3300">
        <f t="shared" si="78"/>
        <v>0</v>
      </c>
      <c r="V117" s="3300">
        <f t="shared" si="78"/>
        <v>0</v>
      </c>
      <c r="W117" s="3300">
        <f t="shared" si="78"/>
        <v>0</v>
      </c>
      <c r="X117" s="3301">
        <f t="shared" si="78"/>
        <v>0</v>
      </c>
      <c r="Y117" s="4011"/>
      <c r="Z117" s="468"/>
    </row>
    <row r="118" spans="1:27" s="3214" customFormat="1" ht="13.5" hidden="1" customHeight="1">
      <c r="A118" s="3930"/>
      <c r="B118" s="736" t="s">
        <v>315</v>
      </c>
      <c r="C118" s="3862"/>
      <c r="D118" s="3302">
        <f>M118+N118+O118+P118+Q118+R118+S118+T118+U118+V118+W118</f>
        <v>8046</v>
      </c>
      <c r="E118" s="3302"/>
      <c r="F118" s="3302"/>
      <c r="G118" s="3302"/>
      <c r="H118" s="3302"/>
      <c r="I118" s="3302"/>
      <c r="J118" s="3302"/>
      <c r="K118" s="3302"/>
      <c r="L118" s="3302"/>
      <c r="M118" s="3302"/>
      <c r="N118" s="3302"/>
      <c r="O118" s="3303">
        <f>7350-7350</f>
        <v>0</v>
      </c>
      <c r="P118" s="3278">
        <f>1410+7350-713-1410-1</f>
        <v>6636</v>
      </c>
      <c r="Q118" s="3278">
        <f>1410-865</f>
        <v>545</v>
      </c>
      <c r="R118" s="3279">
        <v>865</v>
      </c>
      <c r="S118" s="3279"/>
      <c r="T118" s="3279"/>
      <c r="U118" s="3279"/>
      <c r="V118" s="3279"/>
      <c r="W118" s="3279"/>
      <c r="X118" s="3304">
        <v>0</v>
      </c>
      <c r="Y118" s="4011"/>
      <c r="Z118" s="468"/>
    </row>
    <row r="119" spans="1:27" s="3214" customFormat="1" ht="13.5" hidden="1" customHeight="1">
      <c r="A119" s="3930"/>
      <c r="B119" s="736" t="s">
        <v>316</v>
      </c>
      <c r="C119" s="3862"/>
      <c r="D119" s="3302">
        <f>M119+N119+O119+P119+Q119+R119+S119+T119+U119+V119+W119</f>
        <v>28477</v>
      </c>
      <c r="E119" s="3302"/>
      <c r="F119" s="3302"/>
      <c r="G119" s="3302"/>
      <c r="H119" s="3302"/>
      <c r="I119" s="3302"/>
      <c r="J119" s="3302"/>
      <c r="K119" s="3302"/>
      <c r="L119" s="3302"/>
      <c r="M119" s="3302"/>
      <c r="N119" s="3302"/>
      <c r="O119" s="3303">
        <f>71550-71550</f>
        <v>0</v>
      </c>
      <c r="P119" s="3278">
        <f>70413-43819+7099-5215-1</f>
        <v>28477</v>
      </c>
      <c r="Q119" s="3278">
        <f>975+525+5215-6715</f>
        <v>0</v>
      </c>
      <c r="R119" s="3279">
        <f>1800-300-1500</f>
        <v>0</v>
      </c>
      <c r="S119" s="3279">
        <f>975-975</f>
        <v>0</v>
      </c>
      <c r="T119" s="3279">
        <f>975-975</f>
        <v>0</v>
      </c>
      <c r="U119" s="3279">
        <f>975-975</f>
        <v>0</v>
      </c>
      <c r="V119" s="3279">
        <f>975-975</f>
        <v>0</v>
      </c>
      <c r="W119" s="3279">
        <f>975-975</f>
        <v>0</v>
      </c>
      <c r="X119" s="3304">
        <v>0</v>
      </c>
      <c r="Y119" s="4011"/>
      <c r="Z119" s="468"/>
    </row>
    <row r="120" spans="1:27" s="3214" customFormat="1" ht="13.5" customHeight="1">
      <c r="A120" s="3930"/>
      <c r="B120" s="104" t="s">
        <v>29</v>
      </c>
      <c r="C120" s="3862"/>
      <c r="D120" s="3305">
        <f>+D121</f>
        <v>1795442</v>
      </c>
      <c r="E120" s="3305">
        <f t="shared" ref="E120:X120" si="79">+E121</f>
        <v>0</v>
      </c>
      <c r="F120" s="3306">
        <f t="shared" si="79"/>
        <v>0</v>
      </c>
      <c r="G120" s="3306">
        <f t="shared" si="79"/>
        <v>0</v>
      </c>
      <c r="H120" s="3306">
        <f t="shared" si="79"/>
        <v>0</v>
      </c>
      <c r="I120" s="3307">
        <f t="shared" si="79"/>
        <v>0</v>
      </c>
      <c r="J120" s="3307">
        <f t="shared" si="79"/>
        <v>0</v>
      </c>
      <c r="K120" s="3307">
        <f>+K121</f>
        <v>0</v>
      </c>
      <c r="L120" s="3307">
        <f t="shared" si="79"/>
        <v>0</v>
      </c>
      <c r="M120" s="3305">
        <f t="shared" si="79"/>
        <v>0</v>
      </c>
      <c r="N120" s="3305">
        <f t="shared" si="79"/>
        <v>0</v>
      </c>
      <c r="O120" s="3305">
        <f t="shared" si="79"/>
        <v>0</v>
      </c>
      <c r="P120" s="3305">
        <f>+P121</f>
        <v>357504</v>
      </c>
      <c r="Q120" s="3305">
        <f>+Q121</f>
        <v>461058</v>
      </c>
      <c r="R120" s="3308">
        <f t="shared" si="79"/>
        <v>169380</v>
      </c>
      <c r="S120" s="3308">
        <f t="shared" si="79"/>
        <v>161500</v>
      </c>
      <c r="T120" s="3308">
        <f t="shared" si="79"/>
        <v>161500</v>
      </c>
      <c r="U120" s="3308">
        <f t="shared" si="79"/>
        <v>161500</v>
      </c>
      <c r="V120" s="3308">
        <f t="shared" si="79"/>
        <v>161500</v>
      </c>
      <c r="W120" s="3308">
        <f t="shared" si="79"/>
        <v>161500</v>
      </c>
      <c r="X120" s="3309">
        <f t="shared" si="79"/>
        <v>1437938</v>
      </c>
      <c r="Y120" s="4011"/>
      <c r="Z120" s="557"/>
    </row>
    <row r="121" spans="1:27" s="3214" customFormat="1">
      <c r="A121" s="3930"/>
      <c r="B121" s="722" t="s">
        <v>32</v>
      </c>
      <c r="C121" s="3883"/>
      <c r="D121" s="325">
        <f>M121+P121+Q121+R121+S121+T121+U121+V121+W121</f>
        <v>1795442</v>
      </c>
      <c r="E121" s="3310">
        <f t="shared" ref="E121:T121" si="80">SUM(E123:E129)</f>
        <v>0</v>
      </c>
      <c r="F121" s="3310">
        <f t="shared" si="80"/>
        <v>0</v>
      </c>
      <c r="G121" s="3310">
        <f t="shared" si="80"/>
        <v>0</v>
      </c>
      <c r="H121" s="3310">
        <f t="shared" si="80"/>
        <v>0</v>
      </c>
      <c r="I121" s="3310">
        <f t="shared" si="80"/>
        <v>0</v>
      </c>
      <c r="J121" s="3310">
        <f t="shared" si="80"/>
        <v>0</v>
      </c>
      <c r="K121" s="3310">
        <f t="shared" si="80"/>
        <v>0</v>
      </c>
      <c r="L121" s="3310">
        <f t="shared" si="80"/>
        <v>0</v>
      </c>
      <c r="M121" s="387">
        <f>+E121+I121+J121+K121+L121+N121+O121</f>
        <v>0</v>
      </c>
      <c r="N121" s="3310">
        <f t="shared" si="80"/>
        <v>0</v>
      </c>
      <c r="O121" s="3310">
        <f t="shared" si="80"/>
        <v>0</v>
      </c>
      <c r="P121" s="1344">
        <f t="shared" si="80"/>
        <v>357504</v>
      </c>
      <c r="Q121" s="1344">
        <f t="shared" si="80"/>
        <v>461058</v>
      </c>
      <c r="R121" s="1344">
        <f t="shared" si="80"/>
        <v>169380</v>
      </c>
      <c r="S121" s="1344">
        <f t="shared" si="80"/>
        <v>161500</v>
      </c>
      <c r="T121" s="1344">
        <f t="shared" si="80"/>
        <v>161500</v>
      </c>
      <c r="U121" s="1344">
        <f>SUM(U123:U129)</f>
        <v>161500</v>
      </c>
      <c r="V121" s="1344">
        <f>SUM(V123:V129)</f>
        <v>161500</v>
      </c>
      <c r="W121" s="1344">
        <f>SUM(W123:W129)</f>
        <v>161500</v>
      </c>
      <c r="X121" s="3311">
        <f>SUM(X123:X129)</f>
        <v>1437938</v>
      </c>
      <c r="Y121" s="4011"/>
      <c r="Z121" s="468"/>
    </row>
    <row r="122" spans="1:27" s="3214" customFormat="1" hidden="1">
      <c r="A122" s="3930"/>
      <c r="B122" s="722" t="s">
        <v>181</v>
      </c>
      <c r="C122" s="559"/>
      <c r="D122" s="3310"/>
      <c r="E122" s="3312"/>
      <c r="F122" s="3313"/>
      <c r="G122" s="3313"/>
      <c r="H122" s="3313"/>
      <c r="I122" s="3314"/>
      <c r="J122" s="3314"/>
      <c r="K122" s="3314"/>
      <c r="L122" s="3314"/>
      <c r="M122" s="3312"/>
      <c r="N122" s="3312"/>
      <c r="O122" s="3312"/>
      <c r="P122" s="3315"/>
      <c r="Q122" s="3315"/>
      <c r="R122" s="3315"/>
      <c r="S122" s="3315"/>
      <c r="T122" s="3315"/>
      <c r="U122" s="3315"/>
      <c r="V122" s="3315"/>
      <c r="W122" s="3315"/>
      <c r="X122" s="3311"/>
      <c r="Y122" s="4011"/>
      <c r="Z122" s="468"/>
    </row>
    <row r="123" spans="1:27" s="3214" customFormat="1" hidden="1">
      <c r="A123" s="3930"/>
      <c r="B123" s="731" t="s">
        <v>182</v>
      </c>
      <c r="C123" s="560"/>
      <c r="D123" s="3302">
        <f>M123+N123+O123+P123+Q123+R123+S123+T123+U123+V123+W123</f>
        <v>1380475</v>
      </c>
      <c r="E123" s="3285"/>
      <c r="F123" s="3285"/>
      <c r="G123" s="3285"/>
      <c r="H123" s="3285"/>
      <c r="I123" s="3285"/>
      <c r="J123" s="3285"/>
      <c r="K123" s="3285"/>
      <c r="L123" s="3285"/>
      <c r="M123" s="3285"/>
      <c r="N123" s="3285"/>
      <c r="O123" s="3182"/>
      <c r="P123" s="3182">
        <f>144500-51</f>
        <v>144449</v>
      </c>
      <c r="Q123" s="3182">
        <f>144500+224475</f>
        <v>368975</v>
      </c>
      <c r="R123" s="3182">
        <f>144500+51</f>
        <v>144551</v>
      </c>
      <c r="S123" s="3182">
        <v>144500</v>
      </c>
      <c r="T123" s="3182">
        <v>144500</v>
      </c>
      <c r="U123" s="3182">
        <v>144500</v>
      </c>
      <c r="V123" s="3182">
        <v>144500</v>
      </c>
      <c r="W123" s="3182">
        <v>144500</v>
      </c>
      <c r="X123" s="3286">
        <f t="shared" ref="X123:X129" si="81">+Q123+R123+S123+T123+U123+V123+W123</f>
        <v>1236026</v>
      </c>
      <c r="Y123" s="4011"/>
      <c r="Z123" s="468"/>
    </row>
    <row r="124" spans="1:27" s="3214" customFormat="1" hidden="1">
      <c r="A124" s="3930"/>
      <c r="B124" s="732" t="s">
        <v>183</v>
      </c>
      <c r="C124" s="561"/>
      <c r="D124" s="3302">
        <f>M124+N124+O124+P124+Q124+R124+S124+T124+U124+V124+W124</f>
        <v>168000</v>
      </c>
      <c r="E124" s="3316"/>
      <c r="F124" s="3316"/>
      <c r="G124" s="3316"/>
      <c r="H124" s="3316"/>
      <c r="I124" s="3316"/>
      <c r="J124" s="3316"/>
      <c r="K124" s="3316"/>
      <c r="L124" s="3316"/>
      <c r="M124" s="3316"/>
      <c r="N124" s="3316"/>
      <c r="O124" s="3316"/>
      <c r="P124" s="3183">
        <f>17000-2922</f>
        <v>14078</v>
      </c>
      <c r="Q124" s="3183">
        <f>17000+32000</f>
        <v>49000</v>
      </c>
      <c r="R124" s="3183">
        <f>17000+2922</f>
        <v>19922</v>
      </c>
      <c r="S124" s="3183">
        <v>17000</v>
      </c>
      <c r="T124" s="3183">
        <v>17000</v>
      </c>
      <c r="U124" s="3183">
        <v>17000</v>
      </c>
      <c r="V124" s="3183">
        <v>17000</v>
      </c>
      <c r="W124" s="3183">
        <v>17000</v>
      </c>
      <c r="X124" s="3286">
        <f t="shared" si="81"/>
        <v>153922</v>
      </c>
      <c r="Y124" s="4011"/>
      <c r="Z124" s="468"/>
    </row>
    <row r="125" spans="1:27" s="3214" customFormat="1" hidden="1">
      <c r="A125" s="3930"/>
      <c r="B125" s="733" t="s">
        <v>184</v>
      </c>
      <c r="C125" s="699"/>
      <c r="D125" s="3317">
        <f>+E125+I125+J125+K125+L125+N125+O125+P125+Q125+R125+S125+T125</f>
        <v>0</v>
      </c>
      <c r="E125" s="3317"/>
      <c r="F125" s="3317"/>
      <c r="G125" s="3317"/>
      <c r="H125" s="3317"/>
      <c r="I125" s="3317"/>
      <c r="J125" s="3317"/>
      <c r="K125" s="3317"/>
      <c r="L125" s="3317"/>
      <c r="M125" s="3317"/>
      <c r="N125" s="3317"/>
      <c r="O125" s="3287"/>
      <c r="P125" s="3288"/>
      <c r="Q125" s="3288"/>
      <c r="R125" s="3288"/>
      <c r="S125" s="3288"/>
      <c r="T125" s="3288"/>
      <c r="U125" s="3288"/>
      <c r="V125" s="3288"/>
      <c r="W125" s="3288"/>
      <c r="X125" s="3286">
        <f t="shared" si="81"/>
        <v>0</v>
      </c>
      <c r="Y125" s="4011"/>
      <c r="Z125" s="468"/>
    </row>
    <row r="126" spans="1:27" s="3214" customFormat="1" hidden="1">
      <c r="A126" s="3930"/>
      <c r="B126" s="740" t="s">
        <v>185</v>
      </c>
      <c r="C126" s="562"/>
      <c r="D126" s="3318">
        <f>+E126+I126+J126+K126+L126+N126+O126+P126+Q126+R126+S126+T126</f>
        <v>15000</v>
      </c>
      <c r="E126" s="3319"/>
      <c r="F126" s="3319"/>
      <c r="G126" s="3319"/>
      <c r="H126" s="3319"/>
      <c r="I126" s="3319"/>
      <c r="J126" s="3319"/>
      <c r="K126" s="3319"/>
      <c r="L126" s="3319"/>
      <c r="M126" s="3319">
        <f>+E126+I126+J126+K126+L126</f>
        <v>0</v>
      </c>
      <c r="N126" s="3319"/>
      <c r="O126" s="3319"/>
      <c r="P126" s="3319"/>
      <c r="Q126" s="3289">
        <f>6000+9000</f>
        <v>15000</v>
      </c>
      <c r="R126" s="3319"/>
      <c r="S126" s="3319"/>
      <c r="T126" s="3319"/>
      <c r="U126" s="3319"/>
      <c r="V126" s="3319"/>
      <c r="W126" s="3319"/>
      <c r="X126" s="3286">
        <f t="shared" si="81"/>
        <v>15000</v>
      </c>
      <c r="Y126" s="4011"/>
      <c r="Z126" s="468"/>
    </row>
    <row r="127" spans="1:27" s="3214" customFormat="1" hidden="1">
      <c r="A127" s="3930"/>
      <c r="B127" s="3180" t="s">
        <v>550</v>
      </c>
      <c r="C127" s="3181"/>
      <c r="D127" s="3318">
        <f>+E127+I127+J127+K127+L127+N127+O127+P127+Q127+R127+S127+T127</f>
        <v>25000</v>
      </c>
      <c r="E127" s="3289"/>
      <c r="F127" s="3289"/>
      <c r="G127" s="3289"/>
      <c r="H127" s="3289"/>
      <c r="I127" s="3289"/>
      <c r="J127" s="3289"/>
      <c r="K127" s="3289"/>
      <c r="L127" s="3289"/>
      <c r="M127" s="3289"/>
      <c r="N127" s="3289"/>
      <c r="O127" s="3289"/>
      <c r="P127" s="3289"/>
      <c r="Q127" s="3289">
        <v>25000</v>
      </c>
      <c r="R127" s="3289"/>
      <c r="S127" s="3289"/>
      <c r="T127" s="3289"/>
      <c r="U127" s="3289"/>
      <c r="V127" s="3289"/>
      <c r="W127" s="3289"/>
      <c r="X127" s="3286">
        <f t="shared" si="81"/>
        <v>25000</v>
      </c>
      <c r="Y127" s="4011"/>
      <c r="Z127" s="468"/>
    </row>
    <row r="128" spans="1:27" s="3214" customFormat="1" hidden="1">
      <c r="A128" s="3930"/>
      <c r="B128" s="736" t="s">
        <v>487</v>
      </c>
      <c r="C128" s="701"/>
      <c r="D128" s="3302">
        <f>M128+N128+O128+P128+Q128+R128+S128+T128</f>
        <v>45597</v>
      </c>
      <c r="E128" s="3302"/>
      <c r="F128" s="3302"/>
      <c r="G128" s="3302"/>
      <c r="H128" s="3302"/>
      <c r="I128" s="3302"/>
      <c r="J128" s="3302"/>
      <c r="K128" s="3302"/>
      <c r="L128" s="3302"/>
      <c r="M128" s="3302"/>
      <c r="N128" s="3302"/>
      <c r="O128" s="3302">
        <f>41650-41650</f>
        <v>0</v>
      </c>
      <c r="P128" s="3320">
        <f>7990+41650-4043-7990</f>
        <v>37607</v>
      </c>
      <c r="Q128" s="3320">
        <f>7990-4907</f>
        <v>3083</v>
      </c>
      <c r="R128" s="3320">
        <v>4907</v>
      </c>
      <c r="S128" s="3302"/>
      <c r="T128" s="3302"/>
      <c r="U128" s="3302"/>
      <c r="V128" s="3302"/>
      <c r="W128" s="3302"/>
      <c r="X128" s="3286">
        <f t="shared" si="81"/>
        <v>7990</v>
      </c>
      <c r="Y128" s="4011"/>
      <c r="Z128" s="468"/>
    </row>
    <row r="129" spans="1:26" s="3214" customFormat="1" hidden="1">
      <c r="A129" s="3930"/>
      <c r="B129" s="736" t="s">
        <v>341</v>
      </c>
      <c r="C129" s="563"/>
      <c r="D129" s="3302">
        <f>M129+N129+O129+P129+Q129+R129+S129+T129</f>
        <v>161370</v>
      </c>
      <c r="E129" s="3302"/>
      <c r="F129" s="3302"/>
      <c r="G129" s="3302"/>
      <c r="H129" s="3302"/>
      <c r="I129" s="3302"/>
      <c r="J129" s="3302"/>
      <c r="K129" s="3302"/>
      <c r="L129" s="3302"/>
      <c r="M129" s="3302"/>
      <c r="N129" s="3302"/>
      <c r="O129" s="3302">
        <f>405450-405450</f>
        <v>0</v>
      </c>
      <c r="P129" s="3320">
        <f>399010-248308+40225-29556-1</f>
        <v>161370</v>
      </c>
      <c r="Q129" s="3320">
        <f>5525+2975+29556-38056</f>
        <v>0</v>
      </c>
      <c r="R129" s="3320">
        <f>10200-1700-8500</f>
        <v>0</v>
      </c>
      <c r="S129" s="3320">
        <f>5525-5525</f>
        <v>0</v>
      </c>
      <c r="T129" s="3320">
        <f>5525-5525</f>
        <v>0</v>
      </c>
      <c r="U129" s="3320">
        <f>5525-5525</f>
        <v>0</v>
      </c>
      <c r="V129" s="3320">
        <f>5525-5525</f>
        <v>0</v>
      </c>
      <c r="W129" s="3320">
        <f>5525-5525</f>
        <v>0</v>
      </c>
      <c r="X129" s="3286">
        <f t="shared" si="81"/>
        <v>0</v>
      </c>
      <c r="Y129" s="4011"/>
      <c r="Z129" s="468"/>
    </row>
    <row r="130" spans="1:26" s="3214" customFormat="1" ht="14.25" customHeight="1">
      <c r="A130" s="3930"/>
      <c r="B130" s="103" t="s">
        <v>33</v>
      </c>
      <c r="C130" s="226"/>
      <c r="D130" s="564">
        <f>+D131</f>
        <v>1795442</v>
      </c>
      <c r="E130" s="564">
        <f t="shared" ref="E130:W130" si="82">+E131</f>
        <v>0</v>
      </c>
      <c r="F130" s="3293">
        <f t="shared" si="82"/>
        <v>0</v>
      </c>
      <c r="G130" s="3293">
        <f t="shared" si="82"/>
        <v>0</v>
      </c>
      <c r="H130" s="3293">
        <f t="shared" si="82"/>
        <v>134277</v>
      </c>
      <c r="I130" s="3294">
        <f t="shared" si="82"/>
        <v>0</v>
      </c>
      <c r="J130" s="3294">
        <f t="shared" si="82"/>
        <v>0</v>
      </c>
      <c r="K130" s="3294">
        <f t="shared" si="82"/>
        <v>0</v>
      </c>
      <c r="L130" s="3294">
        <f t="shared" si="82"/>
        <v>0</v>
      </c>
      <c r="M130" s="564">
        <f t="shared" si="82"/>
        <v>0</v>
      </c>
      <c r="N130" s="564">
        <f t="shared" si="82"/>
        <v>0</v>
      </c>
      <c r="O130" s="564">
        <f t="shared" si="82"/>
        <v>0</v>
      </c>
      <c r="P130" s="564">
        <f t="shared" si="82"/>
        <v>236568</v>
      </c>
      <c r="Q130" s="564">
        <f t="shared" si="82"/>
        <v>581994</v>
      </c>
      <c r="R130" s="564">
        <f t="shared" si="82"/>
        <v>169380</v>
      </c>
      <c r="S130" s="564">
        <f t="shared" si="82"/>
        <v>161500</v>
      </c>
      <c r="T130" s="564">
        <f t="shared" si="82"/>
        <v>161500</v>
      </c>
      <c r="U130" s="564">
        <f t="shared" si="82"/>
        <v>161500</v>
      </c>
      <c r="V130" s="564">
        <f t="shared" si="82"/>
        <v>161500</v>
      </c>
      <c r="W130" s="564">
        <f t="shared" si="82"/>
        <v>161500</v>
      </c>
      <c r="X130" s="4018" t="s">
        <v>75</v>
      </c>
      <c r="Y130" s="4011"/>
      <c r="Z130" s="468"/>
    </row>
    <row r="131" spans="1:26" s="3214" customFormat="1" ht="15.75" customHeight="1">
      <c r="A131" s="3930"/>
      <c r="B131" s="664" t="s">
        <v>29</v>
      </c>
      <c r="C131" s="4017" t="s">
        <v>314</v>
      </c>
      <c r="D131" s="3321">
        <f t="shared" ref="D131:W131" si="83">+D132</f>
        <v>1795442</v>
      </c>
      <c r="E131" s="3321">
        <f t="shared" si="83"/>
        <v>0</v>
      </c>
      <c r="F131" s="3322">
        <f t="shared" si="83"/>
        <v>0</v>
      </c>
      <c r="G131" s="3322">
        <f t="shared" si="83"/>
        <v>0</v>
      </c>
      <c r="H131" s="3322">
        <f t="shared" si="83"/>
        <v>134277</v>
      </c>
      <c r="I131" s="3323">
        <f t="shared" si="83"/>
        <v>0</v>
      </c>
      <c r="J131" s="3323">
        <f t="shared" si="83"/>
        <v>0</v>
      </c>
      <c r="K131" s="3323">
        <f t="shared" si="83"/>
        <v>0</v>
      </c>
      <c r="L131" s="3323">
        <f t="shared" si="83"/>
        <v>0</v>
      </c>
      <c r="M131" s="3321">
        <f t="shared" si="83"/>
        <v>0</v>
      </c>
      <c r="N131" s="3321">
        <f t="shared" si="83"/>
        <v>0</v>
      </c>
      <c r="O131" s="3324">
        <f t="shared" si="83"/>
        <v>0</v>
      </c>
      <c r="P131" s="3324">
        <f t="shared" si="83"/>
        <v>236568</v>
      </c>
      <c r="Q131" s="3324">
        <f t="shared" si="83"/>
        <v>581994</v>
      </c>
      <c r="R131" s="3324">
        <f t="shared" si="83"/>
        <v>169380</v>
      </c>
      <c r="S131" s="3324">
        <f t="shared" si="83"/>
        <v>161500</v>
      </c>
      <c r="T131" s="3324">
        <f t="shared" si="83"/>
        <v>161500</v>
      </c>
      <c r="U131" s="3324">
        <f t="shared" si="83"/>
        <v>161500</v>
      </c>
      <c r="V131" s="3324">
        <f t="shared" si="83"/>
        <v>161500</v>
      </c>
      <c r="W131" s="3324">
        <f t="shared" si="83"/>
        <v>161500</v>
      </c>
      <c r="X131" s="3914"/>
      <c r="Y131" s="4011"/>
      <c r="Z131" s="468"/>
    </row>
    <row r="132" spans="1:26" s="3214" customFormat="1" ht="13.5" customHeight="1" thickBot="1">
      <c r="A132" s="3973"/>
      <c r="B132" s="524" t="s">
        <v>32</v>
      </c>
      <c r="C132" s="3905"/>
      <c r="D132" s="325">
        <f>M132+P132+Q132+R132+S132+T132+U132+V132+W132</f>
        <v>1795442</v>
      </c>
      <c r="E132" s="224"/>
      <c r="F132" s="525">
        <v>0</v>
      </c>
      <c r="G132" s="525"/>
      <c r="H132" s="525">
        <v>134277</v>
      </c>
      <c r="I132" s="526"/>
      <c r="J132" s="526"/>
      <c r="K132" s="526"/>
      <c r="L132" s="526"/>
      <c r="M132" s="387">
        <f>+E132+I132+J132+K132+L132+N132+O132</f>
        <v>0</v>
      </c>
      <c r="N132" s="224"/>
      <c r="O132" s="3325">
        <f>447100-447100</f>
        <v>0</v>
      </c>
      <c r="P132" s="3326">
        <f>551000-189158+36182-37546-123910</f>
        <v>236568</v>
      </c>
      <c r="Q132" s="3326">
        <f>192515-22515+300021+111973</f>
        <v>581994</v>
      </c>
      <c r="R132" s="3326">
        <f>171700-1700-620</f>
        <v>169380</v>
      </c>
      <c r="S132" s="3326">
        <f>167025-5525</f>
        <v>161500</v>
      </c>
      <c r="T132" s="3326">
        <f>167025-5525</f>
        <v>161500</v>
      </c>
      <c r="U132" s="3326">
        <f>167025-5525</f>
        <v>161500</v>
      </c>
      <c r="V132" s="3326">
        <f>167025-5525</f>
        <v>161500</v>
      </c>
      <c r="W132" s="3326">
        <f>167025-5525</f>
        <v>161500</v>
      </c>
      <c r="X132" s="3915"/>
      <c r="Y132" s="4012"/>
      <c r="Z132" s="468"/>
    </row>
    <row r="133" spans="1:26" s="3214" customFormat="1" ht="26.25" customHeight="1">
      <c r="A133" s="3929" t="s">
        <v>133</v>
      </c>
      <c r="B133" s="1405" t="s">
        <v>400</v>
      </c>
      <c r="C133" s="3327" t="s">
        <v>95</v>
      </c>
      <c r="D133" s="236"/>
      <c r="E133" s="234"/>
      <c r="F133" s="615"/>
      <c r="G133" s="615"/>
      <c r="H133" s="616"/>
      <c r="I133" s="617"/>
      <c r="J133" s="618"/>
      <c r="K133" s="617"/>
      <c r="L133" s="617"/>
      <c r="M133" s="614"/>
      <c r="N133" s="614"/>
      <c r="O133" s="614"/>
      <c r="P133" s="234"/>
      <c r="Q133" s="234"/>
      <c r="R133" s="234"/>
      <c r="S133" s="234"/>
      <c r="T133" s="234"/>
      <c r="U133" s="234"/>
      <c r="V133" s="234"/>
      <c r="W133" s="347"/>
      <c r="X133" s="3328"/>
      <c r="Y133" s="4010" t="s">
        <v>433</v>
      </c>
      <c r="Z133" s="468"/>
    </row>
    <row r="134" spans="1:26" s="3214" customFormat="1" ht="13.5" customHeight="1">
      <c r="A134" s="3930"/>
      <c r="B134" s="1049" t="s">
        <v>21</v>
      </c>
      <c r="C134" s="3329"/>
      <c r="D134" s="1485">
        <f>+D135+D138</f>
        <v>89390020</v>
      </c>
      <c r="E134" s="1485"/>
      <c r="F134" s="1485"/>
      <c r="G134" s="1485"/>
      <c r="H134" s="1485"/>
      <c r="I134" s="1485"/>
      <c r="J134" s="1485"/>
      <c r="K134" s="1485"/>
      <c r="L134" s="1485"/>
      <c r="M134" s="1485">
        <f t="shared" ref="M134:W134" si="84">+M135+M138</f>
        <v>0</v>
      </c>
      <c r="N134" s="1485">
        <f t="shared" si="84"/>
        <v>0</v>
      </c>
      <c r="O134" s="1485">
        <f t="shared" si="84"/>
        <v>0</v>
      </c>
      <c r="P134" s="1485">
        <f>+P135+P138</f>
        <v>360377</v>
      </c>
      <c r="Q134" s="1485">
        <f t="shared" si="84"/>
        <v>3213177</v>
      </c>
      <c r="R134" s="1485">
        <f t="shared" si="84"/>
        <v>24359490</v>
      </c>
      <c r="S134" s="1485">
        <f t="shared" si="84"/>
        <v>38284105</v>
      </c>
      <c r="T134" s="1485">
        <f t="shared" si="84"/>
        <v>23172871</v>
      </c>
      <c r="U134" s="1485">
        <f t="shared" si="84"/>
        <v>0</v>
      </c>
      <c r="V134" s="1485">
        <f t="shared" si="84"/>
        <v>0</v>
      </c>
      <c r="W134" s="1485">
        <f t="shared" si="84"/>
        <v>0</v>
      </c>
      <c r="X134" s="3330">
        <f>SUM(Q134:W134)</f>
        <v>89029643</v>
      </c>
      <c r="Y134" s="4011"/>
      <c r="Z134" s="468"/>
    </row>
    <row r="135" spans="1:26" s="3214" customFormat="1" ht="13.5" customHeight="1">
      <c r="A135" s="3930"/>
      <c r="B135" s="1338" t="s">
        <v>35</v>
      </c>
      <c r="C135" s="4005" t="s">
        <v>348</v>
      </c>
      <c r="D135" s="3331">
        <f>+D136+D137</f>
        <v>17526020</v>
      </c>
      <c r="E135" s="3331"/>
      <c r="F135" s="3331"/>
      <c r="G135" s="3331"/>
      <c r="H135" s="3331"/>
      <c r="I135" s="3331"/>
      <c r="J135" s="3331"/>
      <c r="K135" s="3331"/>
      <c r="L135" s="3331"/>
      <c r="M135" s="3331">
        <f>+M136+M137</f>
        <v>0</v>
      </c>
      <c r="N135" s="3331">
        <v>0</v>
      </c>
      <c r="O135" s="3331">
        <f t="shared" ref="O135:X135" si="85">+O136+O137</f>
        <v>0</v>
      </c>
      <c r="P135" s="3331">
        <f t="shared" si="85"/>
        <v>0</v>
      </c>
      <c r="Q135" s="3331">
        <f t="shared" si="85"/>
        <v>200000</v>
      </c>
      <c r="R135" s="3331">
        <f t="shared" si="85"/>
        <v>4606853</v>
      </c>
      <c r="S135" s="3331">
        <f t="shared" si="85"/>
        <v>9206036</v>
      </c>
      <c r="T135" s="3331">
        <f t="shared" si="85"/>
        <v>3513131</v>
      </c>
      <c r="U135" s="3331">
        <f t="shared" si="85"/>
        <v>0</v>
      </c>
      <c r="V135" s="3331">
        <f t="shared" si="85"/>
        <v>0</v>
      </c>
      <c r="W135" s="3331">
        <f t="shared" si="85"/>
        <v>0</v>
      </c>
      <c r="X135" s="3332">
        <f t="shared" si="85"/>
        <v>17526020</v>
      </c>
      <c r="Y135" s="4011"/>
      <c r="Z135" s="468"/>
    </row>
    <row r="136" spans="1:26" s="3214" customFormat="1" ht="13.5" customHeight="1">
      <c r="A136" s="3930"/>
      <c r="B136" s="3333" t="s">
        <v>23</v>
      </c>
      <c r="C136" s="4005"/>
      <c r="D136" s="3334">
        <f>M136+P136+Q136+R136+S136+T136+U136+V136+W136</f>
        <v>12526020</v>
      </c>
      <c r="E136" s="2252">
        <f t="shared" ref="E136:W136" si="86">+E154+E168+E184+E195</f>
        <v>0</v>
      </c>
      <c r="F136" s="2252">
        <f t="shared" si="86"/>
        <v>0</v>
      </c>
      <c r="G136" s="2252">
        <f t="shared" si="86"/>
        <v>0</v>
      </c>
      <c r="H136" s="2252">
        <f t="shared" si="86"/>
        <v>0</v>
      </c>
      <c r="I136" s="2252">
        <f t="shared" si="86"/>
        <v>0</v>
      </c>
      <c r="J136" s="2252">
        <f t="shared" si="86"/>
        <v>0</v>
      </c>
      <c r="K136" s="2252">
        <f t="shared" si="86"/>
        <v>0</v>
      </c>
      <c r="L136" s="2252">
        <f t="shared" si="86"/>
        <v>0</v>
      </c>
      <c r="M136" s="3335">
        <f>+E136+I136+J136+K136+L136+N136+O136</f>
        <v>0</v>
      </c>
      <c r="N136" s="2252">
        <f t="shared" si="86"/>
        <v>0</v>
      </c>
      <c r="O136" s="2252">
        <f t="shared" si="86"/>
        <v>0</v>
      </c>
      <c r="P136" s="2252">
        <f t="shared" si="86"/>
        <v>0</v>
      </c>
      <c r="Q136" s="2252">
        <f t="shared" si="86"/>
        <v>200000</v>
      </c>
      <c r="R136" s="2252">
        <f t="shared" si="86"/>
        <v>4606853</v>
      </c>
      <c r="S136" s="2252">
        <f>+S154+S168+S184+S195</f>
        <v>5877836</v>
      </c>
      <c r="T136" s="2252">
        <f t="shared" si="86"/>
        <v>1841331</v>
      </c>
      <c r="U136" s="2252">
        <f t="shared" si="86"/>
        <v>0</v>
      </c>
      <c r="V136" s="2252">
        <f t="shared" si="86"/>
        <v>0</v>
      </c>
      <c r="W136" s="2252">
        <f t="shared" si="86"/>
        <v>0</v>
      </c>
      <c r="X136" s="1478">
        <f>SUM(Q136:W136)</f>
        <v>12526020</v>
      </c>
      <c r="Y136" s="4011"/>
      <c r="Z136" s="468"/>
    </row>
    <row r="137" spans="1:26" s="3214" customFormat="1" ht="13.5" customHeight="1">
      <c r="A137" s="3930"/>
      <c r="B137" s="3333" t="s">
        <v>27</v>
      </c>
      <c r="C137" s="4005"/>
      <c r="D137" s="3334">
        <f>M137+P137+Q137+R137+S137+T137+U137+V137+W137</f>
        <v>5000000</v>
      </c>
      <c r="E137" s="2252">
        <f t="shared" ref="E137:W137" si="87">+E155+E169+E196</f>
        <v>0</v>
      </c>
      <c r="F137" s="2252">
        <f t="shared" si="87"/>
        <v>0</v>
      </c>
      <c r="G137" s="2252">
        <f t="shared" si="87"/>
        <v>0</v>
      </c>
      <c r="H137" s="2252">
        <f t="shared" si="87"/>
        <v>0</v>
      </c>
      <c r="I137" s="2252">
        <f t="shared" si="87"/>
        <v>0</v>
      </c>
      <c r="J137" s="2252">
        <f t="shared" si="87"/>
        <v>0</v>
      </c>
      <c r="K137" s="2252">
        <f t="shared" si="87"/>
        <v>0</v>
      </c>
      <c r="L137" s="2252">
        <f t="shared" si="87"/>
        <v>0</v>
      </c>
      <c r="M137" s="3335">
        <f>+E137+I137+J137+K137+L137+N137+O137</f>
        <v>0</v>
      </c>
      <c r="N137" s="2252">
        <f t="shared" si="87"/>
        <v>0</v>
      </c>
      <c r="O137" s="2252">
        <f t="shared" si="87"/>
        <v>0</v>
      </c>
      <c r="P137" s="2252">
        <f t="shared" si="87"/>
        <v>0</v>
      </c>
      <c r="Q137" s="2252">
        <f t="shared" si="87"/>
        <v>0</v>
      </c>
      <c r="R137" s="2252">
        <f t="shared" si="87"/>
        <v>0</v>
      </c>
      <c r="S137" s="2252">
        <f t="shared" si="87"/>
        <v>3328200</v>
      </c>
      <c r="T137" s="2252">
        <f t="shared" si="87"/>
        <v>1671800</v>
      </c>
      <c r="U137" s="2252">
        <f t="shared" si="87"/>
        <v>0</v>
      </c>
      <c r="V137" s="2252">
        <f t="shared" si="87"/>
        <v>0</v>
      </c>
      <c r="W137" s="2252">
        <f t="shared" si="87"/>
        <v>0</v>
      </c>
      <c r="X137" s="1478">
        <f>SUM(Q137:W137)</f>
        <v>5000000</v>
      </c>
      <c r="Y137" s="4011"/>
      <c r="Z137" s="468"/>
    </row>
    <row r="138" spans="1:26" s="3214" customFormat="1" ht="13.5" customHeight="1">
      <c r="A138" s="3930"/>
      <c r="B138" s="1238" t="s">
        <v>29</v>
      </c>
      <c r="C138" s="4005"/>
      <c r="D138" s="3336">
        <f>+D139</f>
        <v>71864000</v>
      </c>
      <c r="E138" s="3336">
        <f t="shared" ref="E138:W138" si="88">+E139</f>
        <v>0</v>
      </c>
      <c r="F138" s="3336">
        <f t="shared" si="88"/>
        <v>0</v>
      </c>
      <c r="G138" s="3336">
        <f t="shared" si="88"/>
        <v>0</v>
      </c>
      <c r="H138" s="3336">
        <f t="shared" si="88"/>
        <v>0</v>
      </c>
      <c r="I138" s="3336">
        <f t="shared" si="88"/>
        <v>0</v>
      </c>
      <c r="J138" s="3336">
        <f t="shared" si="88"/>
        <v>0</v>
      </c>
      <c r="K138" s="3336">
        <f t="shared" si="88"/>
        <v>0</v>
      </c>
      <c r="L138" s="3336">
        <f t="shared" si="88"/>
        <v>0</v>
      </c>
      <c r="M138" s="3336">
        <f t="shared" si="88"/>
        <v>0</v>
      </c>
      <c r="N138" s="3336">
        <f t="shared" si="88"/>
        <v>0</v>
      </c>
      <c r="O138" s="3336">
        <f t="shared" si="88"/>
        <v>0</v>
      </c>
      <c r="P138" s="3336">
        <f t="shared" si="88"/>
        <v>360377</v>
      </c>
      <c r="Q138" s="3336">
        <f t="shared" si="88"/>
        <v>3013177</v>
      </c>
      <c r="R138" s="3336">
        <f t="shared" si="88"/>
        <v>19752637</v>
      </c>
      <c r="S138" s="3336">
        <f t="shared" si="88"/>
        <v>29078069</v>
      </c>
      <c r="T138" s="3336">
        <f t="shared" si="88"/>
        <v>19659740</v>
      </c>
      <c r="U138" s="3336">
        <f t="shared" si="88"/>
        <v>0</v>
      </c>
      <c r="V138" s="3336">
        <f t="shared" si="88"/>
        <v>0</v>
      </c>
      <c r="W138" s="3336">
        <f t="shared" si="88"/>
        <v>0</v>
      </c>
      <c r="X138" s="3332">
        <f>+X140+X141+X142</f>
        <v>71864000</v>
      </c>
      <c r="Y138" s="4011"/>
      <c r="Z138" s="468"/>
    </row>
    <row r="139" spans="1:26" s="3214" customFormat="1" ht="12.75" customHeight="1">
      <c r="A139" s="3930"/>
      <c r="B139" s="1699" t="s">
        <v>32</v>
      </c>
      <c r="C139" s="4005"/>
      <c r="D139" s="3334">
        <f>M139+P139+Q139+R139+S139+T139+U139+V139+W139</f>
        <v>71864000</v>
      </c>
      <c r="E139" s="2252">
        <f t="shared" ref="E139:W139" si="89">+E140+E141+E142</f>
        <v>0</v>
      </c>
      <c r="F139" s="2252">
        <f t="shared" si="89"/>
        <v>0</v>
      </c>
      <c r="G139" s="2252">
        <f t="shared" si="89"/>
        <v>0</v>
      </c>
      <c r="H139" s="2252">
        <f t="shared" si="89"/>
        <v>0</v>
      </c>
      <c r="I139" s="2252">
        <f t="shared" si="89"/>
        <v>0</v>
      </c>
      <c r="J139" s="2252">
        <f t="shared" si="89"/>
        <v>0</v>
      </c>
      <c r="K139" s="2252">
        <f t="shared" si="89"/>
        <v>0</v>
      </c>
      <c r="L139" s="2252">
        <f t="shared" si="89"/>
        <v>0</v>
      </c>
      <c r="M139" s="3335">
        <f>+E139+I139+J139+K139+L139+N139+O139</f>
        <v>0</v>
      </c>
      <c r="N139" s="2252">
        <f t="shared" si="89"/>
        <v>0</v>
      </c>
      <c r="O139" s="2252">
        <f t="shared" si="89"/>
        <v>0</v>
      </c>
      <c r="P139" s="2252">
        <f t="shared" si="89"/>
        <v>360377</v>
      </c>
      <c r="Q139" s="2252">
        <f t="shared" si="89"/>
        <v>3013177</v>
      </c>
      <c r="R139" s="2252">
        <f t="shared" si="89"/>
        <v>19752637</v>
      </c>
      <c r="S139" s="2252">
        <f t="shared" si="89"/>
        <v>29078069</v>
      </c>
      <c r="T139" s="2252">
        <f t="shared" si="89"/>
        <v>19659740</v>
      </c>
      <c r="U139" s="2252">
        <f t="shared" si="89"/>
        <v>0</v>
      </c>
      <c r="V139" s="2252">
        <f t="shared" si="89"/>
        <v>0</v>
      </c>
      <c r="W139" s="2252">
        <f t="shared" si="89"/>
        <v>0</v>
      </c>
      <c r="X139" s="1478">
        <f>SUM(Q139:W139)</f>
        <v>71503623</v>
      </c>
      <c r="Y139" s="4011"/>
      <c r="Z139" s="468"/>
    </row>
    <row r="140" spans="1:26" s="3214" customFormat="1" ht="23.25" hidden="1" customHeight="1">
      <c r="A140" s="3930"/>
      <c r="B140" s="3333" t="s">
        <v>349</v>
      </c>
      <c r="C140" s="4005"/>
      <c r="D140" s="2252">
        <f t="shared" ref="D140:W140" si="90">+D158+D172+D187+D199</f>
        <v>20000000</v>
      </c>
      <c r="E140" s="2252">
        <f t="shared" si="90"/>
        <v>0</v>
      </c>
      <c r="F140" s="2252">
        <f t="shared" si="90"/>
        <v>0</v>
      </c>
      <c r="G140" s="2252">
        <f t="shared" si="90"/>
        <v>0</v>
      </c>
      <c r="H140" s="2252">
        <f t="shared" si="90"/>
        <v>0</v>
      </c>
      <c r="I140" s="2252">
        <f t="shared" si="90"/>
        <v>0</v>
      </c>
      <c r="J140" s="2252">
        <f t="shared" si="90"/>
        <v>0</v>
      </c>
      <c r="K140" s="2252">
        <f t="shared" si="90"/>
        <v>0</v>
      </c>
      <c r="L140" s="2252">
        <f t="shared" si="90"/>
        <v>0</v>
      </c>
      <c r="M140" s="2252">
        <f t="shared" si="90"/>
        <v>0</v>
      </c>
      <c r="N140" s="2252">
        <f t="shared" si="90"/>
        <v>0</v>
      </c>
      <c r="O140" s="2252">
        <f t="shared" si="90"/>
        <v>0</v>
      </c>
      <c r="P140" s="2252">
        <f t="shared" si="90"/>
        <v>360377</v>
      </c>
      <c r="Q140" s="2252">
        <f t="shared" si="90"/>
        <v>3013177</v>
      </c>
      <c r="R140" s="2252">
        <f t="shared" si="90"/>
        <v>12609637</v>
      </c>
      <c r="S140" s="2252">
        <f t="shared" si="90"/>
        <v>4016809</v>
      </c>
      <c r="T140" s="2252">
        <f t="shared" si="90"/>
        <v>0</v>
      </c>
      <c r="U140" s="2252">
        <f t="shared" si="90"/>
        <v>0</v>
      </c>
      <c r="V140" s="2252">
        <f t="shared" si="90"/>
        <v>0</v>
      </c>
      <c r="W140" s="2252">
        <f t="shared" si="90"/>
        <v>0</v>
      </c>
      <c r="X140" s="3337">
        <f>SUM(M140:W140)</f>
        <v>20000000</v>
      </c>
      <c r="Y140" s="4011"/>
      <c r="Z140" s="468"/>
    </row>
    <row r="141" spans="1:26" s="3214" customFormat="1" ht="20.25" hidden="1" customHeight="1">
      <c r="A141" s="3930"/>
      <c r="B141" s="3333" t="s">
        <v>350</v>
      </c>
      <c r="C141" s="4005"/>
      <c r="D141" s="2252">
        <f>+D173</f>
        <v>10000000</v>
      </c>
      <c r="E141" s="2252">
        <f t="shared" ref="E141:W141" si="91">+E173</f>
        <v>0</v>
      </c>
      <c r="F141" s="2252">
        <f t="shared" si="91"/>
        <v>0</v>
      </c>
      <c r="G141" s="2252">
        <f t="shared" si="91"/>
        <v>0</v>
      </c>
      <c r="H141" s="2252">
        <f t="shared" si="91"/>
        <v>0</v>
      </c>
      <c r="I141" s="2252">
        <f t="shared" si="91"/>
        <v>0</v>
      </c>
      <c r="J141" s="2252">
        <f t="shared" si="91"/>
        <v>0</v>
      </c>
      <c r="K141" s="2252">
        <f t="shared" si="91"/>
        <v>0</v>
      </c>
      <c r="L141" s="2252">
        <f t="shared" si="91"/>
        <v>0</v>
      </c>
      <c r="M141" s="2252">
        <f t="shared" si="91"/>
        <v>0</v>
      </c>
      <c r="N141" s="2252">
        <f t="shared" si="91"/>
        <v>0</v>
      </c>
      <c r="O141" s="2252">
        <f t="shared" si="91"/>
        <v>0</v>
      </c>
      <c r="P141" s="2252">
        <f t="shared" si="91"/>
        <v>0</v>
      </c>
      <c r="Q141" s="2252">
        <f t="shared" si="91"/>
        <v>0</v>
      </c>
      <c r="R141" s="2252">
        <f t="shared" si="91"/>
        <v>7143000</v>
      </c>
      <c r="S141" s="2252">
        <f t="shared" si="91"/>
        <v>2857000</v>
      </c>
      <c r="T141" s="2252">
        <f t="shared" si="91"/>
        <v>0</v>
      </c>
      <c r="U141" s="2252">
        <f t="shared" si="91"/>
        <v>0</v>
      </c>
      <c r="V141" s="2252">
        <f t="shared" si="91"/>
        <v>0</v>
      </c>
      <c r="W141" s="2252">
        <f t="shared" si="91"/>
        <v>0</v>
      </c>
      <c r="X141" s="3337">
        <f>SUM(M141:W141)</f>
        <v>10000000</v>
      </c>
      <c r="Y141" s="4011"/>
      <c r="Z141" s="468"/>
    </row>
    <row r="142" spans="1:26" s="3214" customFormat="1" ht="27" hidden="1" customHeight="1">
      <c r="A142" s="3930"/>
      <c r="B142" s="3333" t="s">
        <v>351</v>
      </c>
      <c r="C142" s="4005"/>
      <c r="D142" s="3338">
        <f>+D200</f>
        <v>41864000</v>
      </c>
      <c r="E142" s="3338">
        <f t="shared" ref="E142:W142" si="92">+E200</f>
        <v>0</v>
      </c>
      <c r="F142" s="3338">
        <f t="shared" si="92"/>
        <v>0</v>
      </c>
      <c r="G142" s="3338">
        <f t="shared" si="92"/>
        <v>0</v>
      </c>
      <c r="H142" s="3338">
        <f t="shared" si="92"/>
        <v>0</v>
      </c>
      <c r="I142" s="3338">
        <f t="shared" si="92"/>
        <v>0</v>
      </c>
      <c r="J142" s="3338">
        <f t="shared" si="92"/>
        <v>0</v>
      </c>
      <c r="K142" s="3338">
        <f t="shared" si="92"/>
        <v>0</v>
      </c>
      <c r="L142" s="3338">
        <f t="shared" si="92"/>
        <v>0</v>
      </c>
      <c r="M142" s="3338">
        <f t="shared" si="92"/>
        <v>0</v>
      </c>
      <c r="N142" s="3338">
        <f t="shared" si="92"/>
        <v>0</v>
      </c>
      <c r="O142" s="3338">
        <f t="shared" si="92"/>
        <v>0</v>
      </c>
      <c r="P142" s="3338">
        <f t="shared" si="92"/>
        <v>0</v>
      </c>
      <c r="Q142" s="3338">
        <f t="shared" si="92"/>
        <v>0</v>
      </c>
      <c r="R142" s="3338">
        <f t="shared" si="92"/>
        <v>0</v>
      </c>
      <c r="S142" s="3338">
        <f t="shared" si="92"/>
        <v>22204260</v>
      </c>
      <c r="T142" s="3338">
        <f t="shared" si="92"/>
        <v>19659740</v>
      </c>
      <c r="U142" s="3338">
        <f t="shared" si="92"/>
        <v>0</v>
      </c>
      <c r="V142" s="3338">
        <f t="shared" si="92"/>
        <v>0</v>
      </c>
      <c r="W142" s="3338">
        <f t="shared" si="92"/>
        <v>0</v>
      </c>
      <c r="X142" s="3337">
        <f>SUM(M142:W142)</f>
        <v>41864000</v>
      </c>
      <c r="Y142" s="4011"/>
      <c r="Z142" s="468"/>
    </row>
    <row r="143" spans="1:26" s="3214" customFormat="1" ht="15">
      <c r="A143" s="3930"/>
      <c r="B143" s="238" t="s">
        <v>352</v>
      </c>
      <c r="C143" s="3329"/>
      <c r="D143" s="1485">
        <f t="shared" ref="D143:W143" si="93">+D144+D146</f>
        <v>76864000</v>
      </c>
      <c r="E143" s="1485">
        <f t="shared" si="93"/>
        <v>0</v>
      </c>
      <c r="F143" s="1485">
        <f t="shared" si="93"/>
        <v>0</v>
      </c>
      <c r="G143" s="1485">
        <f t="shared" si="93"/>
        <v>0</v>
      </c>
      <c r="H143" s="1485">
        <f t="shared" si="93"/>
        <v>0</v>
      </c>
      <c r="I143" s="1485">
        <f t="shared" si="93"/>
        <v>0</v>
      </c>
      <c r="J143" s="1485">
        <f t="shared" si="93"/>
        <v>0</v>
      </c>
      <c r="K143" s="1485">
        <f t="shared" si="93"/>
        <v>0</v>
      </c>
      <c r="L143" s="1485">
        <f t="shared" si="93"/>
        <v>0</v>
      </c>
      <c r="M143" s="1485">
        <f t="shared" si="93"/>
        <v>0</v>
      </c>
      <c r="N143" s="1485">
        <f t="shared" si="93"/>
        <v>0</v>
      </c>
      <c r="O143" s="1485">
        <f t="shared" si="93"/>
        <v>0</v>
      </c>
      <c r="P143" s="1485">
        <f t="shared" si="93"/>
        <v>226180</v>
      </c>
      <c r="Q143" s="1485">
        <f t="shared" si="93"/>
        <v>3147374</v>
      </c>
      <c r="R143" s="1485">
        <f t="shared" si="93"/>
        <v>19752637</v>
      </c>
      <c r="S143" s="1485">
        <f t="shared" si="93"/>
        <v>32406269</v>
      </c>
      <c r="T143" s="1485">
        <f t="shared" si="93"/>
        <v>21331540</v>
      </c>
      <c r="U143" s="1485">
        <f t="shared" si="93"/>
        <v>0</v>
      </c>
      <c r="V143" s="1485">
        <f t="shared" si="93"/>
        <v>0</v>
      </c>
      <c r="W143" s="1485">
        <f t="shared" si="93"/>
        <v>0</v>
      </c>
      <c r="X143" s="4021" t="s">
        <v>75</v>
      </c>
      <c r="Y143" s="4011"/>
      <c r="Z143" s="468"/>
    </row>
    <row r="144" spans="1:26" s="3214" customFormat="1" ht="13.5" customHeight="1">
      <c r="A144" s="3930"/>
      <c r="B144" s="1338" t="s">
        <v>35</v>
      </c>
      <c r="C144" s="4019" t="s">
        <v>353</v>
      </c>
      <c r="D144" s="3331">
        <f>+D145</f>
        <v>5000000</v>
      </c>
      <c r="E144" s="3331">
        <f t="shared" ref="E144:L144" si="94">+E145</f>
        <v>0</v>
      </c>
      <c r="F144" s="3331">
        <f t="shared" si="94"/>
        <v>0</v>
      </c>
      <c r="G144" s="3331">
        <f t="shared" si="94"/>
        <v>0</v>
      </c>
      <c r="H144" s="3331">
        <f t="shared" si="94"/>
        <v>0</v>
      </c>
      <c r="I144" s="3331">
        <f t="shared" si="94"/>
        <v>0</v>
      </c>
      <c r="J144" s="3331">
        <f t="shared" si="94"/>
        <v>0</v>
      </c>
      <c r="K144" s="3331">
        <f t="shared" si="94"/>
        <v>0</v>
      </c>
      <c r="L144" s="3331">
        <f t="shared" si="94"/>
        <v>0</v>
      </c>
      <c r="M144" s="3331">
        <f t="shared" ref="M144:W144" si="95">+M145</f>
        <v>0</v>
      </c>
      <c r="N144" s="3331">
        <f t="shared" si="95"/>
        <v>0</v>
      </c>
      <c r="O144" s="3331">
        <f t="shared" si="95"/>
        <v>0</v>
      </c>
      <c r="P144" s="3331">
        <f t="shared" si="95"/>
        <v>0</v>
      </c>
      <c r="Q144" s="3331">
        <f t="shared" si="95"/>
        <v>0</v>
      </c>
      <c r="R144" s="3331">
        <f t="shared" si="95"/>
        <v>0</v>
      </c>
      <c r="S144" s="3331">
        <f t="shared" si="95"/>
        <v>3328200</v>
      </c>
      <c r="T144" s="3331">
        <f t="shared" si="95"/>
        <v>1671800</v>
      </c>
      <c r="U144" s="3331">
        <f t="shared" si="95"/>
        <v>0</v>
      </c>
      <c r="V144" s="3331">
        <f t="shared" si="95"/>
        <v>0</v>
      </c>
      <c r="W144" s="3331">
        <f t="shared" si="95"/>
        <v>0</v>
      </c>
      <c r="X144" s="3911"/>
      <c r="Y144" s="4011"/>
      <c r="Z144" s="468"/>
    </row>
    <row r="145" spans="1:26" s="3214" customFormat="1" ht="13.5" customHeight="1">
      <c r="A145" s="3930"/>
      <c r="B145" s="3333" t="s">
        <v>27</v>
      </c>
      <c r="C145" s="4005"/>
      <c r="D145" s="3334">
        <f>M145+P145+Q145+R145+S145+T145+U145+V145+W145</f>
        <v>5000000</v>
      </c>
      <c r="E145" s="3339">
        <f t="shared" ref="E145:W145" si="96">+E176+E203</f>
        <v>0</v>
      </c>
      <c r="F145" s="3339">
        <f t="shared" si="96"/>
        <v>0</v>
      </c>
      <c r="G145" s="3339">
        <f t="shared" si="96"/>
        <v>0</v>
      </c>
      <c r="H145" s="3339">
        <f t="shared" si="96"/>
        <v>0</v>
      </c>
      <c r="I145" s="3339">
        <f t="shared" si="96"/>
        <v>0</v>
      </c>
      <c r="J145" s="3339">
        <f t="shared" si="96"/>
        <v>0</v>
      </c>
      <c r="K145" s="3339">
        <f t="shared" si="96"/>
        <v>0</v>
      </c>
      <c r="L145" s="3339">
        <f t="shared" si="96"/>
        <v>0</v>
      </c>
      <c r="M145" s="3335">
        <f>+E145+I145+J145+K145+L145+N145+O145</f>
        <v>0</v>
      </c>
      <c r="N145" s="3339">
        <f t="shared" si="96"/>
        <v>0</v>
      </c>
      <c r="O145" s="3339">
        <f t="shared" si="96"/>
        <v>0</v>
      </c>
      <c r="P145" s="3339">
        <f t="shared" si="96"/>
        <v>0</v>
      </c>
      <c r="Q145" s="3339">
        <f t="shared" si="96"/>
        <v>0</v>
      </c>
      <c r="R145" s="3339">
        <f t="shared" si="96"/>
        <v>0</v>
      </c>
      <c r="S145" s="3339">
        <f t="shared" si="96"/>
        <v>3328200</v>
      </c>
      <c r="T145" s="3339">
        <f t="shared" si="96"/>
        <v>1671800</v>
      </c>
      <c r="U145" s="3339">
        <f t="shared" si="96"/>
        <v>0</v>
      </c>
      <c r="V145" s="3339">
        <f t="shared" si="96"/>
        <v>0</v>
      </c>
      <c r="W145" s="3339">
        <f t="shared" si="96"/>
        <v>0</v>
      </c>
      <c r="X145" s="3911"/>
      <c r="Y145" s="4011"/>
      <c r="Z145" s="468"/>
    </row>
    <row r="146" spans="1:26" s="3214" customFormat="1" ht="13.5" customHeight="1">
      <c r="A146" s="3930"/>
      <c r="B146" s="1238" t="s">
        <v>29</v>
      </c>
      <c r="C146" s="4005"/>
      <c r="D146" s="3331">
        <f>+D147</f>
        <v>71864000</v>
      </c>
      <c r="E146" s="3331">
        <f t="shared" ref="E146:W146" si="97">+E147</f>
        <v>0</v>
      </c>
      <c r="F146" s="3331">
        <f t="shared" si="97"/>
        <v>0</v>
      </c>
      <c r="G146" s="3331">
        <f t="shared" si="97"/>
        <v>0</v>
      </c>
      <c r="H146" s="3331">
        <f t="shared" si="97"/>
        <v>0</v>
      </c>
      <c r="I146" s="3331">
        <f t="shared" si="97"/>
        <v>0</v>
      </c>
      <c r="J146" s="3331">
        <f t="shared" si="97"/>
        <v>0</v>
      </c>
      <c r="K146" s="3331">
        <f t="shared" si="97"/>
        <v>0</v>
      </c>
      <c r="L146" s="3331">
        <f t="shared" si="97"/>
        <v>0</v>
      </c>
      <c r="M146" s="3331">
        <f t="shared" si="97"/>
        <v>0</v>
      </c>
      <c r="N146" s="3331">
        <f t="shared" si="97"/>
        <v>0</v>
      </c>
      <c r="O146" s="3331">
        <f t="shared" si="97"/>
        <v>0</v>
      </c>
      <c r="P146" s="3331">
        <f>+P147</f>
        <v>226180</v>
      </c>
      <c r="Q146" s="3331">
        <f>+Q147</f>
        <v>3147374</v>
      </c>
      <c r="R146" s="3331">
        <f t="shared" si="97"/>
        <v>19752637</v>
      </c>
      <c r="S146" s="3331">
        <f t="shared" si="97"/>
        <v>29078069</v>
      </c>
      <c r="T146" s="3331">
        <f t="shared" si="97"/>
        <v>19659740</v>
      </c>
      <c r="U146" s="3331">
        <f t="shared" si="97"/>
        <v>0</v>
      </c>
      <c r="V146" s="3331">
        <f t="shared" si="97"/>
        <v>0</v>
      </c>
      <c r="W146" s="3331">
        <f t="shared" si="97"/>
        <v>0</v>
      </c>
      <c r="X146" s="3911"/>
      <c r="Y146" s="4011"/>
      <c r="Z146" s="468"/>
    </row>
    <row r="147" spans="1:26" s="3214" customFormat="1" ht="14.25" customHeight="1" thickBot="1">
      <c r="A147" s="3973"/>
      <c r="B147" s="102" t="s">
        <v>32</v>
      </c>
      <c r="C147" s="4020"/>
      <c r="D147" s="1761">
        <f>M147+P147+Q147+R147+S147+T147+U147+V147+W147</f>
        <v>71864000</v>
      </c>
      <c r="E147" s="2253">
        <f t="shared" ref="E147:W147" si="98">+E163+E178+E205+E190</f>
        <v>0</v>
      </c>
      <c r="F147" s="2253">
        <f t="shared" si="98"/>
        <v>0</v>
      </c>
      <c r="G147" s="2253">
        <f t="shared" si="98"/>
        <v>0</v>
      </c>
      <c r="H147" s="2253">
        <f t="shared" si="98"/>
        <v>0</v>
      </c>
      <c r="I147" s="2253">
        <f t="shared" si="98"/>
        <v>0</v>
      </c>
      <c r="J147" s="2253">
        <f t="shared" si="98"/>
        <v>0</v>
      </c>
      <c r="K147" s="2253">
        <f t="shared" si="98"/>
        <v>0</v>
      </c>
      <c r="L147" s="2253">
        <f t="shared" si="98"/>
        <v>0</v>
      </c>
      <c r="M147" s="3340">
        <f>+E147+I147+J147+K147+L147+N147+O147</f>
        <v>0</v>
      </c>
      <c r="N147" s="2253">
        <f t="shared" si="98"/>
        <v>0</v>
      </c>
      <c r="O147" s="2253">
        <f t="shared" si="98"/>
        <v>0</v>
      </c>
      <c r="P147" s="2253">
        <f>+P163+P178+P205+P190</f>
        <v>226180</v>
      </c>
      <c r="Q147" s="2253">
        <f t="shared" si="98"/>
        <v>3147374</v>
      </c>
      <c r="R147" s="2253">
        <f t="shared" si="98"/>
        <v>19752637</v>
      </c>
      <c r="S147" s="2253">
        <f t="shared" si="98"/>
        <v>29078069</v>
      </c>
      <c r="T147" s="2253">
        <f t="shared" si="98"/>
        <v>19659740</v>
      </c>
      <c r="U147" s="2253">
        <f t="shared" si="98"/>
        <v>0</v>
      </c>
      <c r="V147" s="2253">
        <f>+V163+V178+V205+V190</f>
        <v>0</v>
      </c>
      <c r="W147" s="2253">
        <f t="shared" si="98"/>
        <v>0</v>
      </c>
      <c r="X147" s="3912"/>
      <c r="Y147" s="4012"/>
      <c r="Z147" s="468"/>
    </row>
    <row r="148" spans="1:26" s="3214" customFormat="1" ht="22.5" hidden="1" customHeight="1">
      <c r="A148" s="3212"/>
      <c r="B148" s="743" t="s">
        <v>349</v>
      </c>
      <c r="C148" s="2366"/>
      <c r="D148" s="2370">
        <f>+D164+D179+D191+D206</f>
        <v>20000000</v>
      </c>
      <c r="E148" s="2370">
        <f t="shared" ref="E148:W148" si="99">+E164+E179+E191+E206</f>
        <v>0</v>
      </c>
      <c r="F148" s="2370">
        <f t="shared" si="99"/>
        <v>0</v>
      </c>
      <c r="G148" s="2370">
        <f t="shared" si="99"/>
        <v>0</v>
      </c>
      <c r="H148" s="2370">
        <f t="shared" si="99"/>
        <v>0</v>
      </c>
      <c r="I148" s="2370">
        <f t="shared" si="99"/>
        <v>0</v>
      </c>
      <c r="J148" s="2370">
        <f t="shared" si="99"/>
        <v>0</v>
      </c>
      <c r="K148" s="2370">
        <f t="shared" si="99"/>
        <v>0</v>
      </c>
      <c r="L148" s="2370">
        <f t="shared" si="99"/>
        <v>0</v>
      </c>
      <c r="M148" s="2370">
        <f t="shared" si="99"/>
        <v>0</v>
      </c>
      <c r="N148" s="2370">
        <f t="shared" si="99"/>
        <v>0</v>
      </c>
      <c r="O148" s="2370">
        <f t="shared" si="99"/>
        <v>0</v>
      </c>
      <c r="P148" s="2370">
        <f>+P164+P179+P191+P206</f>
        <v>226180</v>
      </c>
      <c r="Q148" s="2370">
        <f t="shared" si="99"/>
        <v>3147374</v>
      </c>
      <c r="R148" s="2370">
        <f t="shared" si="99"/>
        <v>12609637</v>
      </c>
      <c r="S148" s="2370">
        <f t="shared" si="99"/>
        <v>4016809</v>
      </c>
      <c r="T148" s="2370">
        <f t="shared" si="99"/>
        <v>0</v>
      </c>
      <c r="U148" s="2370">
        <f t="shared" si="99"/>
        <v>0</v>
      </c>
      <c r="V148" s="2370">
        <f t="shared" si="99"/>
        <v>0</v>
      </c>
      <c r="W148" s="2370">
        <f t="shared" si="99"/>
        <v>0</v>
      </c>
      <c r="X148" s="2368"/>
      <c r="Y148" s="744"/>
      <c r="Z148" s="468"/>
    </row>
    <row r="149" spans="1:26" s="3214" customFormat="1" ht="19.5" hidden="1" customHeight="1">
      <c r="A149" s="3212"/>
      <c r="B149" s="1348" t="s">
        <v>350</v>
      </c>
      <c r="C149" s="2366"/>
      <c r="D149" s="2252">
        <f>+D180</f>
        <v>10000000</v>
      </c>
      <c r="E149" s="2252">
        <f t="shared" ref="E149:W149" si="100">+E180</f>
        <v>0</v>
      </c>
      <c r="F149" s="2252">
        <f t="shared" si="100"/>
        <v>0</v>
      </c>
      <c r="G149" s="2252">
        <f t="shared" si="100"/>
        <v>0</v>
      </c>
      <c r="H149" s="2252">
        <f t="shared" si="100"/>
        <v>0</v>
      </c>
      <c r="I149" s="2252">
        <f t="shared" si="100"/>
        <v>0</v>
      </c>
      <c r="J149" s="2252">
        <f t="shared" si="100"/>
        <v>0</v>
      </c>
      <c r="K149" s="2252">
        <f t="shared" si="100"/>
        <v>0</v>
      </c>
      <c r="L149" s="2252">
        <f t="shared" si="100"/>
        <v>0</v>
      </c>
      <c r="M149" s="2252">
        <f t="shared" si="100"/>
        <v>0</v>
      </c>
      <c r="N149" s="2252">
        <f t="shared" si="100"/>
        <v>0</v>
      </c>
      <c r="O149" s="2252">
        <f t="shared" si="100"/>
        <v>0</v>
      </c>
      <c r="P149" s="2252">
        <f t="shared" si="100"/>
        <v>0</v>
      </c>
      <c r="Q149" s="2252">
        <f t="shared" si="100"/>
        <v>0</v>
      </c>
      <c r="R149" s="2252">
        <f t="shared" si="100"/>
        <v>7143000</v>
      </c>
      <c r="S149" s="2252">
        <f t="shared" si="100"/>
        <v>2857000</v>
      </c>
      <c r="T149" s="2252">
        <f t="shared" si="100"/>
        <v>0</v>
      </c>
      <c r="U149" s="2252">
        <f t="shared" si="100"/>
        <v>0</v>
      </c>
      <c r="V149" s="2252">
        <f t="shared" si="100"/>
        <v>0</v>
      </c>
      <c r="W149" s="2252">
        <f t="shared" si="100"/>
        <v>0</v>
      </c>
      <c r="X149" s="2368"/>
      <c r="Y149" s="744"/>
      <c r="Z149" s="468"/>
    </row>
    <row r="150" spans="1:26" s="3214" customFormat="1" ht="21" hidden="1" customHeight="1" thickBot="1">
      <c r="A150" s="3217"/>
      <c r="B150" s="1599" t="s">
        <v>351</v>
      </c>
      <c r="C150" s="2367"/>
      <c r="D150" s="2253">
        <f>+D207</f>
        <v>41864000</v>
      </c>
      <c r="E150" s="2253">
        <f t="shared" ref="E150:W150" si="101">+E207</f>
        <v>0</v>
      </c>
      <c r="F150" s="2253">
        <f t="shared" si="101"/>
        <v>0</v>
      </c>
      <c r="G150" s="2253">
        <f t="shared" si="101"/>
        <v>0</v>
      </c>
      <c r="H150" s="2253">
        <f t="shared" si="101"/>
        <v>0</v>
      </c>
      <c r="I150" s="2253">
        <f t="shared" si="101"/>
        <v>0</v>
      </c>
      <c r="J150" s="2253">
        <f t="shared" si="101"/>
        <v>0</v>
      </c>
      <c r="K150" s="2253">
        <f t="shared" si="101"/>
        <v>0</v>
      </c>
      <c r="L150" s="2253">
        <f t="shared" si="101"/>
        <v>0</v>
      </c>
      <c r="M150" s="2253">
        <f t="shared" si="101"/>
        <v>0</v>
      </c>
      <c r="N150" s="2253">
        <f t="shared" si="101"/>
        <v>0</v>
      </c>
      <c r="O150" s="2253">
        <f t="shared" si="101"/>
        <v>0</v>
      </c>
      <c r="P150" s="2253">
        <f t="shared" si="101"/>
        <v>0</v>
      </c>
      <c r="Q150" s="2253">
        <f t="shared" si="101"/>
        <v>0</v>
      </c>
      <c r="R150" s="2253">
        <f t="shared" si="101"/>
        <v>0</v>
      </c>
      <c r="S150" s="2253">
        <f t="shared" si="101"/>
        <v>22204260</v>
      </c>
      <c r="T150" s="2253">
        <f t="shared" si="101"/>
        <v>19659740</v>
      </c>
      <c r="U150" s="2253">
        <f t="shared" si="101"/>
        <v>0</v>
      </c>
      <c r="V150" s="2253">
        <f t="shared" si="101"/>
        <v>0</v>
      </c>
      <c r="W150" s="2253">
        <f t="shared" si="101"/>
        <v>0</v>
      </c>
      <c r="X150" s="2369"/>
      <c r="Y150" s="790"/>
      <c r="Z150" s="468"/>
    </row>
    <row r="151" spans="1:26" s="3214" customFormat="1" ht="18.75" hidden="1" customHeight="1">
      <c r="A151" s="3930" t="s">
        <v>380</v>
      </c>
      <c r="B151" s="621" t="s">
        <v>354</v>
      </c>
      <c r="C151" s="785" t="s">
        <v>125</v>
      </c>
      <c r="D151" s="1591"/>
      <c r="E151" s="1592"/>
      <c r="F151" s="1593"/>
      <c r="G151" s="1593"/>
      <c r="H151" s="1594"/>
      <c r="I151" s="1595"/>
      <c r="J151" s="1596"/>
      <c r="K151" s="1595"/>
      <c r="L151" s="1595"/>
      <c r="M151" s="1597"/>
      <c r="N151" s="1597"/>
      <c r="O151" s="1597"/>
      <c r="P151" s="1592"/>
      <c r="Q151" s="1592"/>
      <c r="R151" s="1592"/>
      <c r="S151" s="1592"/>
      <c r="T151" s="1592"/>
      <c r="U151" s="1592"/>
      <c r="V151" s="1592"/>
      <c r="W151" s="1598"/>
      <c r="X151" s="2251"/>
      <c r="Y151" s="744"/>
      <c r="Z151" s="468"/>
    </row>
    <row r="152" spans="1:26" s="3214" customFormat="1" ht="13.5" hidden="1" customHeight="1">
      <c r="A152" s="3930"/>
      <c r="B152" s="103" t="s">
        <v>21</v>
      </c>
      <c r="C152" s="745"/>
      <c r="D152" s="605">
        <f t="shared" ref="D152:D158" si="102">SUM(M152:W152)</f>
        <v>0</v>
      </c>
      <c r="E152" s="564"/>
      <c r="F152" s="564"/>
      <c r="G152" s="564"/>
      <c r="H152" s="564"/>
      <c r="I152" s="564"/>
      <c r="J152" s="564"/>
      <c r="K152" s="564"/>
      <c r="L152" s="564"/>
      <c r="M152" s="564">
        <f>+M153+M156</f>
        <v>0</v>
      </c>
      <c r="N152" s="564">
        <f t="shared" ref="N152:W152" si="103">+N153+N156</f>
        <v>0</v>
      </c>
      <c r="O152" s="564">
        <f t="shared" si="103"/>
        <v>0</v>
      </c>
      <c r="P152" s="564">
        <f t="shared" si="103"/>
        <v>0</v>
      </c>
      <c r="Q152" s="564">
        <f t="shared" si="103"/>
        <v>0</v>
      </c>
      <c r="R152" s="564">
        <f t="shared" si="103"/>
        <v>0</v>
      </c>
      <c r="S152" s="564">
        <f t="shared" si="103"/>
        <v>0</v>
      </c>
      <c r="T152" s="564">
        <f t="shared" si="103"/>
        <v>0</v>
      </c>
      <c r="U152" s="564">
        <f t="shared" si="103"/>
        <v>0</v>
      </c>
      <c r="V152" s="564">
        <f t="shared" si="103"/>
        <v>0</v>
      </c>
      <c r="W152" s="564">
        <f t="shared" si="103"/>
        <v>0</v>
      </c>
      <c r="X152" s="573">
        <f>SUM(M152:W152)</f>
        <v>0</v>
      </c>
      <c r="Y152" s="744"/>
      <c r="Z152" s="468"/>
    </row>
    <row r="153" spans="1:26" s="3214" customFormat="1" ht="13.5" hidden="1" customHeight="1">
      <c r="A153" s="3930"/>
      <c r="B153" s="217" t="s">
        <v>35</v>
      </c>
      <c r="C153" s="3955" t="s">
        <v>361</v>
      </c>
      <c r="D153" s="566">
        <f t="shared" si="102"/>
        <v>0</v>
      </c>
      <c r="E153" s="742"/>
      <c r="F153" s="746"/>
      <c r="G153" s="746"/>
      <c r="H153" s="746"/>
      <c r="I153" s="747"/>
      <c r="J153" s="747"/>
      <c r="K153" s="747"/>
      <c r="L153" s="747"/>
      <c r="M153" s="515">
        <f>+M154+M155</f>
        <v>0</v>
      </c>
      <c r="N153" s="515">
        <f t="shared" ref="N153:W153" si="104">+N154+N155</f>
        <v>0</v>
      </c>
      <c r="O153" s="515">
        <f t="shared" si="104"/>
        <v>0</v>
      </c>
      <c r="P153" s="515">
        <f t="shared" si="104"/>
        <v>0</v>
      </c>
      <c r="Q153" s="515">
        <f t="shared" si="104"/>
        <v>0</v>
      </c>
      <c r="R153" s="515">
        <f t="shared" si="104"/>
        <v>0</v>
      </c>
      <c r="S153" s="515">
        <f t="shared" si="104"/>
        <v>0</v>
      </c>
      <c r="T153" s="515">
        <f t="shared" si="104"/>
        <v>0</v>
      </c>
      <c r="U153" s="515">
        <f t="shared" si="104"/>
        <v>0</v>
      </c>
      <c r="V153" s="515">
        <f t="shared" si="104"/>
        <v>0</v>
      </c>
      <c r="W153" s="515">
        <f t="shared" si="104"/>
        <v>0</v>
      </c>
      <c r="X153" s="573">
        <f t="shared" ref="X153:X158" si="105">SUM(M153:W153)</f>
        <v>0</v>
      </c>
      <c r="Y153" s="744"/>
      <c r="Z153" s="468"/>
    </row>
    <row r="154" spans="1:26" s="3214" customFormat="1" ht="13.5" hidden="1" customHeight="1">
      <c r="A154" s="3930"/>
      <c r="B154" s="622" t="s">
        <v>23</v>
      </c>
      <c r="C154" s="3956"/>
      <c r="D154" s="537">
        <f t="shared" si="102"/>
        <v>0</v>
      </c>
      <c r="E154" s="539"/>
      <c r="F154" s="538"/>
      <c r="G154" s="538"/>
      <c r="H154" s="538"/>
      <c r="I154" s="726"/>
      <c r="J154" s="726"/>
      <c r="K154" s="726"/>
      <c r="L154" s="726"/>
      <c r="M154" s="512"/>
      <c r="N154" s="539"/>
      <c r="O154" s="537"/>
      <c r="P154" s="537">
        <f>225270-225270</f>
        <v>0</v>
      </c>
      <c r="Q154" s="537">
        <f>1524390-1524390</f>
        <v>0</v>
      </c>
      <c r="R154" s="537">
        <f>1840690-1840690</f>
        <v>0</v>
      </c>
      <c r="S154" s="537"/>
      <c r="T154" s="537"/>
      <c r="U154" s="748"/>
      <c r="V154" s="748"/>
      <c r="W154" s="748"/>
      <c r="X154" s="749">
        <f t="shared" si="105"/>
        <v>0</v>
      </c>
      <c r="Y154" s="744"/>
      <c r="Z154" s="468"/>
    </row>
    <row r="155" spans="1:26" s="3214" customFormat="1" ht="13.5" hidden="1" customHeight="1">
      <c r="A155" s="3930"/>
      <c r="B155" s="622" t="s">
        <v>76</v>
      </c>
      <c r="C155" s="3956"/>
      <c r="D155" s="741">
        <f t="shared" si="102"/>
        <v>0</v>
      </c>
      <c r="E155" s="750"/>
      <c r="F155" s="751"/>
      <c r="G155" s="751"/>
      <c r="H155" s="751"/>
      <c r="I155" s="752"/>
      <c r="J155" s="752"/>
      <c r="K155" s="752"/>
      <c r="L155" s="752"/>
      <c r="M155" s="753"/>
      <c r="N155" s="750"/>
      <c r="O155" s="741"/>
      <c r="P155" s="741"/>
      <c r="Q155" s="741"/>
      <c r="R155" s="741"/>
      <c r="S155" s="741"/>
      <c r="T155" s="741"/>
      <c r="U155" s="754"/>
      <c r="V155" s="754"/>
      <c r="W155" s="754"/>
      <c r="X155" s="755">
        <f t="shared" si="105"/>
        <v>0</v>
      </c>
      <c r="Y155" s="744"/>
      <c r="Z155" s="468"/>
    </row>
    <row r="156" spans="1:26" s="3214" customFormat="1" ht="13.5" hidden="1" customHeight="1">
      <c r="A156" s="3930"/>
      <c r="B156" s="104" t="s">
        <v>29</v>
      </c>
      <c r="C156" s="3956"/>
      <c r="D156" s="566">
        <f t="shared" si="102"/>
        <v>0</v>
      </c>
      <c r="E156" s="742"/>
      <c r="F156" s="746"/>
      <c r="G156" s="746"/>
      <c r="H156" s="746"/>
      <c r="I156" s="747"/>
      <c r="J156" s="747"/>
      <c r="K156" s="747"/>
      <c r="L156" s="747"/>
      <c r="M156" s="515">
        <f>+M157</f>
        <v>0</v>
      </c>
      <c r="N156" s="515">
        <f t="shared" ref="N156:W156" si="106">+N157</f>
        <v>0</v>
      </c>
      <c r="O156" s="515">
        <f t="shared" si="106"/>
        <v>0</v>
      </c>
      <c r="P156" s="515">
        <f t="shared" si="106"/>
        <v>0</v>
      </c>
      <c r="Q156" s="515">
        <f t="shared" si="106"/>
        <v>0</v>
      </c>
      <c r="R156" s="515">
        <f t="shared" si="106"/>
        <v>0</v>
      </c>
      <c r="S156" s="515">
        <f t="shared" si="106"/>
        <v>0</v>
      </c>
      <c r="T156" s="515">
        <f t="shared" si="106"/>
        <v>0</v>
      </c>
      <c r="U156" s="515">
        <f t="shared" si="106"/>
        <v>0</v>
      </c>
      <c r="V156" s="515">
        <f t="shared" si="106"/>
        <v>0</v>
      </c>
      <c r="W156" s="515">
        <f t="shared" si="106"/>
        <v>0</v>
      </c>
      <c r="X156" s="756">
        <f t="shared" si="105"/>
        <v>0</v>
      </c>
      <c r="Y156" s="744"/>
      <c r="Z156" s="468"/>
    </row>
    <row r="157" spans="1:26" s="3214" customFormat="1" ht="13.5" hidden="1" customHeight="1">
      <c r="A157" s="3930"/>
      <c r="B157" s="100" t="s">
        <v>32</v>
      </c>
      <c r="C157" s="3956"/>
      <c r="D157" s="537">
        <f t="shared" si="102"/>
        <v>0</v>
      </c>
      <c r="E157" s="539"/>
      <c r="F157" s="538"/>
      <c r="G157" s="538"/>
      <c r="H157" s="538"/>
      <c r="I157" s="726"/>
      <c r="J157" s="726"/>
      <c r="K157" s="726"/>
      <c r="L157" s="726"/>
      <c r="M157" s="512">
        <f>+M158</f>
        <v>0</v>
      </c>
      <c r="N157" s="512">
        <f t="shared" ref="N157:W157" si="107">+N158</f>
        <v>0</v>
      </c>
      <c r="O157" s="512">
        <f t="shared" si="107"/>
        <v>0</v>
      </c>
      <c r="P157" s="512">
        <f t="shared" si="107"/>
        <v>0</v>
      </c>
      <c r="Q157" s="512">
        <f t="shared" si="107"/>
        <v>0</v>
      </c>
      <c r="R157" s="512">
        <f t="shared" si="107"/>
        <v>0</v>
      </c>
      <c r="S157" s="512">
        <f t="shared" si="107"/>
        <v>0</v>
      </c>
      <c r="T157" s="512">
        <f t="shared" si="107"/>
        <v>0</v>
      </c>
      <c r="U157" s="512">
        <f t="shared" si="107"/>
        <v>0</v>
      </c>
      <c r="V157" s="512">
        <f t="shared" si="107"/>
        <v>0</v>
      </c>
      <c r="W157" s="512">
        <f t="shared" si="107"/>
        <v>0</v>
      </c>
      <c r="X157" s="749">
        <f t="shared" si="105"/>
        <v>0</v>
      </c>
      <c r="Y157" s="744"/>
      <c r="Z157" s="468"/>
    </row>
    <row r="158" spans="1:26" s="3214" customFormat="1" ht="24.75" hidden="1" customHeight="1">
      <c r="A158" s="3930"/>
      <c r="B158" s="296" t="s">
        <v>355</v>
      </c>
      <c r="C158" s="3957"/>
      <c r="D158" s="741">
        <f t="shared" si="102"/>
        <v>0</v>
      </c>
      <c r="E158" s="750"/>
      <c r="F158" s="751"/>
      <c r="G158" s="751"/>
      <c r="H158" s="751"/>
      <c r="I158" s="752"/>
      <c r="J158" s="752"/>
      <c r="K158" s="752"/>
      <c r="L158" s="752"/>
      <c r="M158" s="753"/>
      <c r="N158" s="750"/>
      <c r="O158" s="741"/>
      <c r="P158" s="741">
        <f>479800-479800</f>
        <v>0</v>
      </c>
      <c r="Q158" s="741">
        <f>624800-624800</f>
        <v>0</v>
      </c>
      <c r="R158" s="741">
        <f>312400-312400</f>
        <v>0</v>
      </c>
      <c r="S158" s="741"/>
      <c r="T158" s="741"/>
      <c r="U158" s="754"/>
      <c r="V158" s="754"/>
      <c r="W158" s="741"/>
      <c r="X158" s="755">
        <f t="shared" si="105"/>
        <v>0</v>
      </c>
      <c r="Y158" s="744"/>
      <c r="Z158" s="468"/>
    </row>
    <row r="159" spans="1:26" s="3214" customFormat="1" ht="13.5" hidden="1" customHeight="1">
      <c r="A159" s="3930"/>
      <c r="B159" s="25" t="s">
        <v>352</v>
      </c>
      <c r="C159" s="220"/>
      <c r="D159" s="648">
        <f t="shared" ref="D159:D164" si="108">SUM(M159:W159)</f>
        <v>0</v>
      </c>
      <c r="E159" s="648"/>
      <c r="F159" s="676"/>
      <c r="G159" s="676"/>
      <c r="H159" s="676"/>
      <c r="I159" s="677"/>
      <c r="J159" s="677"/>
      <c r="K159" s="677"/>
      <c r="L159" s="677"/>
      <c r="M159" s="648">
        <f>+M160+M162</f>
        <v>0</v>
      </c>
      <c r="N159" s="648">
        <f t="shared" ref="N159:W159" si="109">+N160+N162</f>
        <v>0</v>
      </c>
      <c r="O159" s="648">
        <f t="shared" si="109"/>
        <v>0</v>
      </c>
      <c r="P159" s="648">
        <f t="shared" si="109"/>
        <v>0</v>
      </c>
      <c r="Q159" s="648">
        <f t="shared" si="109"/>
        <v>0</v>
      </c>
      <c r="R159" s="648">
        <f t="shared" si="109"/>
        <v>0</v>
      </c>
      <c r="S159" s="648">
        <f t="shared" si="109"/>
        <v>0</v>
      </c>
      <c r="T159" s="648">
        <f t="shared" si="109"/>
        <v>0</v>
      </c>
      <c r="U159" s="648">
        <f t="shared" si="109"/>
        <v>0</v>
      </c>
      <c r="V159" s="648">
        <f t="shared" si="109"/>
        <v>0</v>
      </c>
      <c r="W159" s="648">
        <f t="shared" si="109"/>
        <v>0</v>
      </c>
      <c r="X159" s="3970" t="s">
        <v>75</v>
      </c>
      <c r="Y159" s="744"/>
      <c r="Z159" s="468"/>
    </row>
    <row r="160" spans="1:26" s="3214" customFormat="1" ht="13.5" hidden="1" customHeight="1">
      <c r="A160" s="3930"/>
      <c r="B160" s="217" t="s">
        <v>35</v>
      </c>
      <c r="C160" s="3955" t="s">
        <v>361</v>
      </c>
      <c r="D160" s="668">
        <f t="shared" si="108"/>
        <v>0</v>
      </c>
      <c r="E160" s="669"/>
      <c r="F160" s="670"/>
      <c r="G160" s="670"/>
      <c r="H160" s="670"/>
      <c r="I160" s="671"/>
      <c r="J160" s="671"/>
      <c r="K160" s="671"/>
      <c r="L160" s="671"/>
      <c r="M160" s="646">
        <f>+M161</f>
        <v>0</v>
      </c>
      <c r="N160" s="646">
        <f t="shared" ref="N160:W160" si="110">+N161</f>
        <v>0</v>
      </c>
      <c r="O160" s="646">
        <f t="shared" si="110"/>
        <v>0</v>
      </c>
      <c r="P160" s="646">
        <f t="shared" si="110"/>
        <v>0</v>
      </c>
      <c r="Q160" s="646">
        <f t="shared" si="110"/>
        <v>0</v>
      </c>
      <c r="R160" s="646">
        <f t="shared" si="110"/>
        <v>0</v>
      </c>
      <c r="S160" s="646">
        <f t="shared" si="110"/>
        <v>0</v>
      </c>
      <c r="T160" s="646">
        <f t="shared" si="110"/>
        <v>0</v>
      </c>
      <c r="U160" s="646">
        <f t="shared" si="110"/>
        <v>0</v>
      </c>
      <c r="V160" s="646">
        <f t="shared" si="110"/>
        <v>0</v>
      </c>
      <c r="W160" s="646">
        <f t="shared" si="110"/>
        <v>0</v>
      </c>
      <c r="X160" s="3914"/>
      <c r="Y160" s="744"/>
      <c r="Z160" s="468"/>
    </row>
    <row r="161" spans="1:26" s="3214" customFormat="1" ht="13.5" hidden="1" customHeight="1">
      <c r="A161" s="3930"/>
      <c r="B161" s="622" t="s">
        <v>76</v>
      </c>
      <c r="C161" s="3957"/>
      <c r="D161" s="647">
        <f t="shared" si="108"/>
        <v>0</v>
      </c>
      <c r="E161" s="672"/>
      <c r="F161" s="673"/>
      <c r="G161" s="673"/>
      <c r="H161" s="673"/>
      <c r="I161" s="674"/>
      <c r="J161" s="674"/>
      <c r="K161" s="674"/>
      <c r="L161" s="674"/>
      <c r="M161" s="645"/>
      <c r="N161" s="672"/>
      <c r="O161" s="675"/>
      <c r="P161" s="675"/>
      <c r="Q161" s="675"/>
      <c r="R161" s="675"/>
      <c r="S161" s="675"/>
      <c r="T161" s="675"/>
      <c r="U161" s="675"/>
      <c r="V161" s="675"/>
      <c r="W161" s="675"/>
      <c r="X161" s="3914"/>
      <c r="Y161" s="744"/>
      <c r="Z161" s="468"/>
    </row>
    <row r="162" spans="1:26" s="3214" customFormat="1" ht="12" hidden="1" customHeight="1">
      <c r="A162" s="3930"/>
      <c r="B162" s="104" t="s">
        <v>29</v>
      </c>
      <c r="C162" s="3958" t="s">
        <v>314</v>
      </c>
      <c r="D162" s="757">
        <f t="shared" si="108"/>
        <v>0</v>
      </c>
      <c r="E162" s="758"/>
      <c r="F162" s="759"/>
      <c r="G162" s="759"/>
      <c r="H162" s="759"/>
      <c r="I162" s="760"/>
      <c r="J162" s="760"/>
      <c r="K162" s="760"/>
      <c r="L162" s="760"/>
      <c r="M162" s="761">
        <f>+M163</f>
        <v>0</v>
      </c>
      <c r="N162" s="761">
        <f t="shared" ref="N162:W162" si="111">+N163</f>
        <v>0</v>
      </c>
      <c r="O162" s="761">
        <f t="shared" si="111"/>
        <v>0</v>
      </c>
      <c r="P162" s="761">
        <f t="shared" si="111"/>
        <v>0</v>
      </c>
      <c r="Q162" s="761">
        <f t="shared" si="111"/>
        <v>0</v>
      </c>
      <c r="R162" s="761">
        <f t="shared" si="111"/>
        <v>0</v>
      </c>
      <c r="S162" s="761">
        <f t="shared" si="111"/>
        <v>0</v>
      </c>
      <c r="T162" s="761">
        <f t="shared" si="111"/>
        <v>0</v>
      </c>
      <c r="U162" s="761">
        <f t="shared" si="111"/>
        <v>0</v>
      </c>
      <c r="V162" s="761">
        <f t="shared" si="111"/>
        <v>0</v>
      </c>
      <c r="W162" s="761">
        <f t="shared" si="111"/>
        <v>0</v>
      </c>
      <c r="X162" s="3914"/>
      <c r="Y162" s="744"/>
      <c r="Z162" s="468"/>
    </row>
    <row r="163" spans="1:26" s="3214" customFormat="1" ht="15" hidden="1" customHeight="1">
      <c r="A163" s="3930"/>
      <c r="B163" s="100" t="s">
        <v>32</v>
      </c>
      <c r="C163" s="3959"/>
      <c r="D163" s="647">
        <f>SUM(M163:W163)</f>
        <v>0</v>
      </c>
      <c r="E163" s="672"/>
      <c r="F163" s="673"/>
      <c r="G163" s="673"/>
      <c r="H163" s="673"/>
      <c r="I163" s="674"/>
      <c r="J163" s="674"/>
      <c r="K163" s="674"/>
      <c r="L163" s="674"/>
      <c r="M163" s="645">
        <f>+M164</f>
        <v>0</v>
      </c>
      <c r="N163" s="645">
        <f t="shared" ref="N163:W163" si="112">+N164</f>
        <v>0</v>
      </c>
      <c r="O163" s="645">
        <f t="shared" si="112"/>
        <v>0</v>
      </c>
      <c r="P163" s="645">
        <f t="shared" si="112"/>
        <v>0</v>
      </c>
      <c r="Q163" s="645">
        <f t="shared" si="112"/>
        <v>0</v>
      </c>
      <c r="R163" s="645">
        <f t="shared" si="112"/>
        <v>0</v>
      </c>
      <c r="S163" s="645">
        <f t="shared" si="112"/>
        <v>0</v>
      </c>
      <c r="T163" s="645">
        <f t="shared" si="112"/>
        <v>0</v>
      </c>
      <c r="U163" s="645">
        <f t="shared" si="112"/>
        <v>0</v>
      </c>
      <c r="V163" s="645">
        <f t="shared" si="112"/>
        <v>0</v>
      </c>
      <c r="W163" s="645">
        <f t="shared" si="112"/>
        <v>0</v>
      </c>
      <c r="X163" s="3914"/>
      <c r="Y163" s="744"/>
      <c r="Z163" s="468"/>
    </row>
    <row r="164" spans="1:26" s="3214" customFormat="1" ht="24" hidden="1" customHeight="1">
      <c r="A164" s="2189"/>
      <c r="B164" s="762" t="s">
        <v>349</v>
      </c>
      <c r="C164" s="3959"/>
      <c r="D164" s="763">
        <f t="shared" si="108"/>
        <v>0</v>
      </c>
      <c r="E164" s="764"/>
      <c r="F164" s="765"/>
      <c r="G164" s="765"/>
      <c r="H164" s="765"/>
      <c r="I164" s="766"/>
      <c r="J164" s="766"/>
      <c r="K164" s="766"/>
      <c r="L164" s="766"/>
      <c r="M164" s="767"/>
      <c r="N164" s="764"/>
      <c r="O164" s="763"/>
      <c r="P164" s="763">
        <f>479800-479800</f>
        <v>0</v>
      </c>
      <c r="Q164" s="763">
        <f>624800-624800</f>
        <v>0</v>
      </c>
      <c r="R164" s="763">
        <f>312400-312400</f>
        <v>0</v>
      </c>
      <c r="S164" s="763"/>
      <c r="T164" s="763"/>
      <c r="U164" s="763"/>
      <c r="V164" s="763"/>
      <c r="W164" s="763"/>
      <c r="X164" s="3914"/>
      <c r="Y164" s="744"/>
      <c r="Z164" s="468"/>
    </row>
    <row r="165" spans="1:26" s="3214" customFormat="1" ht="15.75" hidden="1" customHeight="1">
      <c r="A165" s="4008" t="s">
        <v>380</v>
      </c>
      <c r="B165" s="3341" t="s">
        <v>354</v>
      </c>
      <c r="C165" s="3342" t="s">
        <v>95</v>
      </c>
      <c r="D165" s="3343"/>
      <c r="E165" s="3344"/>
      <c r="F165" s="3345"/>
      <c r="G165" s="3345"/>
      <c r="H165" s="3346"/>
      <c r="I165" s="3347"/>
      <c r="J165" s="3348"/>
      <c r="K165" s="3347"/>
      <c r="L165" s="3347"/>
      <c r="M165" s="3349"/>
      <c r="N165" s="3349"/>
      <c r="O165" s="3349"/>
      <c r="P165" s="3344"/>
      <c r="Q165" s="3344"/>
      <c r="R165" s="3344"/>
      <c r="S165" s="3344"/>
      <c r="T165" s="3344"/>
      <c r="U165" s="3344"/>
      <c r="V165" s="3344"/>
      <c r="W165" s="3350"/>
      <c r="X165" s="3351"/>
      <c r="Y165" s="744"/>
      <c r="Z165" s="468"/>
    </row>
    <row r="166" spans="1:26" s="3214" customFormat="1" ht="13.5" hidden="1" customHeight="1">
      <c r="A166" s="3930"/>
      <c r="B166" s="238" t="s">
        <v>21</v>
      </c>
      <c r="C166" s="3352"/>
      <c r="D166" s="651">
        <f t="shared" ref="D166:D173" si="113">SUM(M166:W166)</f>
        <v>38828260</v>
      </c>
      <c r="E166" s="3353"/>
      <c r="F166" s="3353"/>
      <c r="G166" s="3353"/>
      <c r="H166" s="3353"/>
      <c r="I166" s="3353"/>
      <c r="J166" s="3353"/>
      <c r="K166" s="3353"/>
      <c r="L166" s="3353"/>
      <c r="M166" s="3353">
        <f>+M167+M170</f>
        <v>0</v>
      </c>
      <c r="N166" s="3353">
        <f t="shared" ref="N166:W166" si="114">+N167+N170</f>
        <v>0</v>
      </c>
      <c r="O166" s="3353">
        <f t="shared" si="114"/>
        <v>0</v>
      </c>
      <c r="P166" s="3353">
        <f t="shared" si="114"/>
        <v>360377</v>
      </c>
      <c r="Q166" s="3353">
        <f t="shared" si="114"/>
        <v>3213177</v>
      </c>
      <c r="R166" s="3353">
        <f t="shared" si="114"/>
        <v>24359490</v>
      </c>
      <c r="S166" s="3353">
        <f t="shared" si="114"/>
        <v>10895216</v>
      </c>
      <c r="T166" s="3353">
        <f t="shared" si="114"/>
        <v>0</v>
      </c>
      <c r="U166" s="3353">
        <f t="shared" si="114"/>
        <v>0</v>
      </c>
      <c r="V166" s="3353">
        <f t="shared" si="114"/>
        <v>0</v>
      </c>
      <c r="W166" s="3353">
        <f t="shared" si="114"/>
        <v>0</v>
      </c>
      <c r="X166" s="3330">
        <f>+X167+X170</f>
        <v>38828260</v>
      </c>
      <c r="Y166" s="744"/>
      <c r="Z166" s="468"/>
    </row>
    <row r="167" spans="1:26" s="3214" customFormat="1" ht="14.25" hidden="1" customHeight="1">
      <c r="A167" s="3930"/>
      <c r="B167" s="294" t="s">
        <v>35</v>
      </c>
      <c r="C167" s="3955" t="s">
        <v>361</v>
      </c>
      <c r="D167" s="3354">
        <f t="shared" si="113"/>
        <v>8828260</v>
      </c>
      <c r="E167" s="3355"/>
      <c r="F167" s="3356"/>
      <c r="G167" s="3356"/>
      <c r="H167" s="3356"/>
      <c r="I167" s="3357"/>
      <c r="J167" s="3357"/>
      <c r="K167" s="3357"/>
      <c r="L167" s="3357"/>
      <c r="M167" s="3358">
        <f>+M168+M169</f>
        <v>0</v>
      </c>
      <c r="N167" s="3358">
        <f t="shared" ref="N167:W167" si="115">+N168+N169</f>
        <v>0</v>
      </c>
      <c r="O167" s="3358">
        <f t="shared" si="115"/>
        <v>0</v>
      </c>
      <c r="P167" s="3358">
        <f t="shared" si="115"/>
        <v>0</v>
      </c>
      <c r="Q167" s="3358">
        <f t="shared" si="115"/>
        <v>200000</v>
      </c>
      <c r="R167" s="3358">
        <f t="shared" si="115"/>
        <v>4606853</v>
      </c>
      <c r="S167" s="3358">
        <f t="shared" si="115"/>
        <v>4021407</v>
      </c>
      <c r="T167" s="3358">
        <f t="shared" si="115"/>
        <v>0</v>
      </c>
      <c r="U167" s="3358">
        <f t="shared" si="115"/>
        <v>0</v>
      </c>
      <c r="V167" s="3358">
        <f t="shared" si="115"/>
        <v>0</v>
      </c>
      <c r="W167" s="3358">
        <f t="shared" si="115"/>
        <v>0</v>
      </c>
      <c r="X167" s="3359">
        <f t="shared" ref="X167:X173" si="116">SUM(M167:W167)</f>
        <v>8828260</v>
      </c>
      <c r="Y167" s="744"/>
      <c r="Z167" s="468"/>
    </row>
    <row r="168" spans="1:26" s="3214" customFormat="1" ht="15" hidden="1" customHeight="1">
      <c r="A168" s="3930"/>
      <c r="B168" s="622" t="s">
        <v>23</v>
      </c>
      <c r="C168" s="3956"/>
      <c r="D168" s="3360">
        <f t="shared" si="113"/>
        <v>8828260</v>
      </c>
      <c r="E168" s="3361"/>
      <c r="F168" s="3362"/>
      <c r="G168" s="3362"/>
      <c r="H168" s="3362"/>
      <c r="I168" s="3363"/>
      <c r="J168" s="3363"/>
      <c r="K168" s="3363"/>
      <c r="L168" s="3363"/>
      <c r="M168" s="3364"/>
      <c r="N168" s="3361"/>
      <c r="O168" s="3360"/>
      <c r="P168" s="3360">
        <f>1300+98700-100000</f>
        <v>0</v>
      </c>
      <c r="Q168" s="3360">
        <f>2771900+1650960-4222860</f>
        <v>200000</v>
      </c>
      <c r="R168" s="3360">
        <f>1331570+1528290+1746993</f>
        <v>4606853</v>
      </c>
      <c r="S168" s="3360">
        <f>504177+3517230</f>
        <v>4021407</v>
      </c>
      <c r="T168" s="3360"/>
      <c r="U168" s="3360"/>
      <c r="V168" s="3360"/>
      <c r="W168" s="3360"/>
      <c r="X168" s="3365">
        <f t="shared" si="116"/>
        <v>8828260</v>
      </c>
      <c r="Y168" s="744"/>
      <c r="Z168" s="468"/>
    </row>
    <row r="169" spans="1:26" s="3214" customFormat="1" ht="17.25" hidden="1" customHeight="1">
      <c r="A169" s="3930"/>
      <c r="B169" s="622" t="s">
        <v>76</v>
      </c>
      <c r="C169" s="3956"/>
      <c r="D169" s="3366">
        <f t="shared" si="113"/>
        <v>0</v>
      </c>
      <c r="E169" s="3367"/>
      <c r="F169" s="3368"/>
      <c r="G169" s="3368"/>
      <c r="H169" s="3368"/>
      <c r="I169" s="3369"/>
      <c r="J169" s="3369"/>
      <c r="K169" s="3369"/>
      <c r="L169" s="3369"/>
      <c r="M169" s="3370"/>
      <c r="N169" s="3367"/>
      <c r="O169" s="3366"/>
      <c r="P169" s="3366"/>
      <c r="Q169" s="3366"/>
      <c r="R169" s="3366"/>
      <c r="S169" s="3366"/>
      <c r="T169" s="3366"/>
      <c r="U169" s="3366"/>
      <c r="V169" s="3366"/>
      <c r="W169" s="3366"/>
      <c r="X169" s="3371">
        <f t="shared" si="116"/>
        <v>0</v>
      </c>
      <c r="Y169" s="744"/>
      <c r="Z169" s="468"/>
    </row>
    <row r="170" spans="1:26" s="379" customFormat="1" ht="15.75" hidden="1" customHeight="1">
      <c r="A170" s="3930"/>
      <c r="B170" s="2052" t="s">
        <v>29</v>
      </c>
      <c r="C170" s="3956"/>
      <c r="D170" s="3354">
        <f t="shared" si="113"/>
        <v>30000000</v>
      </c>
      <c r="E170" s="3355"/>
      <c r="F170" s="3356"/>
      <c r="G170" s="3356"/>
      <c r="H170" s="3356"/>
      <c r="I170" s="3357"/>
      <c r="J170" s="3357"/>
      <c r="K170" s="3357"/>
      <c r="L170" s="3357"/>
      <c r="M170" s="3354">
        <f>+M171</f>
        <v>0</v>
      </c>
      <c r="N170" s="3354">
        <f t="shared" ref="N170:W170" si="117">+N171</f>
        <v>0</v>
      </c>
      <c r="O170" s="3354">
        <f t="shared" si="117"/>
        <v>0</v>
      </c>
      <c r="P170" s="3354">
        <f>+P171</f>
        <v>360377</v>
      </c>
      <c r="Q170" s="3354">
        <f t="shared" si="117"/>
        <v>3013177</v>
      </c>
      <c r="R170" s="3354">
        <f t="shared" si="117"/>
        <v>19752637</v>
      </c>
      <c r="S170" s="3354">
        <f t="shared" si="117"/>
        <v>6873809</v>
      </c>
      <c r="T170" s="3354">
        <f t="shared" si="117"/>
        <v>0</v>
      </c>
      <c r="U170" s="3354">
        <f t="shared" si="117"/>
        <v>0</v>
      </c>
      <c r="V170" s="3354">
        <f t="shared" si="117"/>
        <v>0</v>
      </c>
      <c r="W170" s="3354">
        <f t="shared" si="117"/>
        <v>0</v>
      </c>
      <c r="X170" s="3359">
        <f t="shared" si="116"/>
        <v>30000000</v>
      </c>
      <c r="Y170" s="744"/>
      <c r="Z170" s="557"/>
    </row>
    <row r="171" spans="1:26" s="3214" customFormat="1" ht="13.5" hidden="1" customHeight="1">
      <c r="A171" s="3930"/>
      <c r="B171" s="100" t="s">
        <v>32</v>
      </c>
      <c r="C171" s="3956"/>
      <c r="D171" s="3360">
        <f t="shared" si="113"/>
        <v>30000000</v>
      </c>
      <c r="E171" s="3361"/>
      <c r="F171" s="3362"/>
      <c r="G171" s="3362"/>
      <c r="H171" s="3362"/>
      <c r="I171" s="3363"/>
      <c r="J171" s="3363"/>
      <c r="K171" s="3363"/>
      <c r="L171" s="3363"/>
      <c r="M171" s="3364">
        <f>+M172+M173</f>
        <v>0</v>
      </c>
      <c r="N171" s="3364">
        <f t="shared" ref="N171:W171" si="118">+N172+N173</f>
        <v>0</v>
      </c>
      <c r="O171" s="3364">
        <f t="shared" si="118"/>
        <v>0</v>
      </c>
      <c r="P171" s="3364">
        <f t="shared" si="118"/>
        <v>360377</v>
      </c>
      <c r="Q171" s="3364">
        <f t="shared" si="118"/>
        <v>3013177</v>
      </c>
      <c r="R171" s="3364">
        <f t="shared" si="118"/>
        <v>19752637</v>
      </c>
      <c r="S171" s="3364">
        <f t="shared" si="118"/>
        <v>6873809</v>
      </c>
      <c r="T171" s="3364">
        <f t="shared" si="118"/>
        <v>0</v>
      </c>
      <c r="U171" s="3364">
        <f t="shared" si="118"/>
        <v>0</v>
      </c>
      <c r="V171" s="3364">
        <f t="shared" si="118"/>
        <v>0</v>
      </c>
      <c r="W171" s="3364">
        <f t="shared" si="118"/>
        <v>0</v>
      </c>
      <c r="X171" s="3365">
        <f t="shared" si="116"/>
        <v>30000000</v>
      </c>
      <c r="Y171" s="744"/>
      <c r="Z171" s="468"/>
    </row>
    <row r="172" spans="1:26" s="3214" customFormat="1" ht="27" hidden="1" customHeight="1">
      <c r="A172" s="3930"/>
      <c r="B172" s="296" t="s">
        <v>349</v>
      </c>
      <c r="C172" s="3956"/>
      <c r="D172" s="3366">
        <f t="shared" si="113"/>
        <v>20000000</v>
      </c>
      <c r="E172" s="3367"/>
      <c r="F172" s="3368"/>
      <c r="G172" s="3368"/>
      <c r="H172" s="3368"/>
      <c r="I172" s="3369"/>
      <c r="J172" s="3369"/>
      <c r="K172" s="3369"/>
      <c r="L172" s="3369"/>
      <c r="M172" s="3370">
        <v>0</v>
      </c>
      <c r="N172" s="3367"/>
      <c r="O172" s="3366">
        <v>0</v>
      </c>
      <c r="P172" s="3366">
        <f>964000+479800-1063800-19623</f>
        <v>360377</v>
      </c>
      <c r="Q172" s="3366">
        <f>6627800+624800-3893137-346286</f>
        <v>3013177</v>
      </c>
      <c r="R172" s="3366">
        <f>8003000+624800+1372200+2609637</f>
        <v>12609637</v>
      </c>
      <c r="S172" s="3366">
        <f>3584737+432072</f>
        <v>4016809</v>
      </c>
      <c r="T172" s="3366">
        <v>0</v>
      </c>
      <c r="U172" s="3366">
        <v>0</v>
      </c>
      <c r="V172" s="3366">
        <v>0</v>
      </c>
      <c r="W172" s="3366">
        <v>0</v>
      </c>
      <c r="X172" s="3371">
        <f t="shared" si="116"/>
        <v>20000000</v>
      </c>
      <c r="Y172" s="744"/>
      <c r="Z172" s="468"/>
    </row>
    <row r="173" spans="1:26" s="3214" customFormat="1" ht="21.75" hidden="1" customHeight="1">
      <c r="A173" s="3930"/>
      <c r="B173" s="296" t="s">
        <v>350</v>
      </c>
      <c r="C173" s="3957"/>
      <c r="D173" s="3366">
        <f t="shared" si="113"/>
        <v>10000000</v>
      </c>
      <c r="E173" s="3367"/>
      <c r="F173" s="3368"/>
      <c r="G173" s="3368"/>
      <c r="H173" s="3368"/>
      <c r="I173" s="3369"/>
      <c r="J173" s="3369"/>
      <c r="K173" s="3369"/>
      <c r="L173" s="3369"/>
      <c r="M173" s="3370">
        <v>0</v>
      </c>
      <c r="N173" s="3367"/>
      <c r="O173" s="3366">
        <v>0</v>
      </c>
      <c r="P173" s="3366">
        <v>0</v>
      </c>
      <c r="Q173" s="3366">
        <f>3000000-3000000</f>
        <v>0</v>
      </c>
      <c r="R173" s="3366">
        <f>7000000+143000</f>
        <v>7143000</v>
      </c>
      <c r="S173" s="3366">
        <v>2857000</v>
      </c>
      <c r="T173" s="3366">
        <v>0</v>
      </c>
      <c r="U173" s="3366">
        <v>0</v>
      </c>
      <c r="V173" s="3366">
        <v>0</v>
      </c>
      <c r="W173" s="3366">
        <v>0</v>
      </c>
      <c r="X173" s="3371">
        <f t="shared" si="116"/>
        <v>10000000</v>
      </c>
      <c r="Y173" s="744"/>
      <c r="Z173" s="468"/>
    </row>
    <row r="174" spans="1:26" s="3214" customFormat="1" ht="17.25" hidden="1" customHeight="1">
      <c r="A174" s="3930"/>
      <c r="B174" s="238" t="s">
        <v>352</v>
      </c>
      <c r="C174" s="220"/>
      <c r="D174" s="3353">
        <f t="shared" ref="D174:W174" si="119">+D175+D177</f>
        <v>30000000</v>
      </c>
      <c r="E174" s="3353">
        <f t="shared" si="119"/>
        <v>0</v>
      </c>
      <c r="F174" s="3353">
        <f t="shared" si="119"/>
        <v>0</v>
      </c>
      <c r="G174" s="3353">
        <f t="shared" si="119"/>
        <v>0</v>
      </c>
      <c r="H174" s="3353">
        <f t="shared" si="119"/>
        <v>0</v>
      </c>
      <c r="I174" s="3353">
        <f t="shared" si="119"/>
        <v>0</v>
      </c>
      <c r="J174" s="3353">
        <f t="shared" si="119"/>
        <v>0</v>
      </c>
      <c r="K174" s="3353">
        <f t="shared" si="119"/>
        <v>0</v>
      </c>
      <c r="L174" s="3353">
        <f t="shared" si="119"/>
        <v>0</v>
      </c>
      <c r="M174" s="3353">
        <f t="shared" si="119"/>
        <v>0</v>
      </c>
      <c r="N174" s="3353">
        <f t="shared" si="119"/>
        <v>0</v>
      </c>
      <c r="O174" s="3353">
        <f t="shared" si="119"/>
        <v>0</v>
      </c>
      <c r="P174" s="3353">
        <f t="shared" si="119"/>
        <v>226180</v>
      </c>
      <c r="Q174" s="3353">
        <f t="shared" si="119"/>
        <v>3147374</v>
      </c>
      <c r="R174" s="3353">
        <f t="shared" si="119"/>
        <v>19752637</v>
      </c>
      <c r="S174" s="3353">
        <f t="shared" si="119"/>
        <v>6873809</v>
      </c>
      <c r="T174" s="3353">
        <f t="shared" si="119"/>
        <v>0</v>
      </c>
      <c r="U174" s="3353">
        <f t="shared" si="119"/>
        <v>0</v>
      </c>
      <c r="V174" s="3353">
        <f t="shared" si="119"/>
        <v>0</v>
      </c>
      <c r="W174" s="3353">
        <f t="shared" si="119"/>
        <v>0</v>
      </c>
      <c r="X174" s="4006" t="s">
        <v>75</v>
      </c>
      <c r="Y174" s="744"/>
      <c r="Z174" s="468"/>
    </row>
    <row r="175" spans="1:26" s="3214" customFormat="1" ht="13.5" hidden="1" customHeight="1">
      <c r="A175" s="3930"/>
      <c r="B175" s="294" t="s">
        <v>35</v>
      </c>
      <c r="C175" s="3955" t="s">
        <v>361</v>
      </c>
      <c r="D175" s="3354">
        <f t="shared" ref="D175:D180" si="120">SUM(M175:W175)</f>
        <v>0</v>
      </c>
      <c r="E175" s="3355"/>
      <c r="F175" s="3356"/>
      <c r="G175" s="3356"/>
      <c r="H175" s="3356"/>
      <c r="I175" s="3357"/>
      <c r="J175" s="3357"/>
      <c r="K175" s="3357"/>
      <c r="L175" s="3357"/>
      <c r="M175" s="3358">
        <f t="shared" ref="M175:W175" si="121">+M176</f>
        <v>0</v>
      </c>
      <c r="N175" s="3358">
        <f t="shared" si="121"/>
        <v>0</v>
      </c>
      <c r="O175" s="3358">
        <f t="shared" si="121"/>
        <v>0</v>
      </c>
      <c r="P175" s="3358">
        <f t="shared" si="121"/>
        <v>0</v>
      </c>
      <c r="Q175" s="3358">
        <f t="shared" si="121"/>
        <v>0</v>
      </c>
      <c r="R175" s="3358">
        <f t="shared" si="121"/>
        <v>0</v>
      </c>
      <c r="S175" s="3358">
        <f t="shared" si="121"/>
        <v>0</v>
      </c>
      <c r="T175" s="3358">
        <f t="shared" si="121"/>
        <v>0</v>
      </c>
      <c r="U175" s="3358">
        <f t="shared" si="121"/>
        <v>0</v>
      </c>
      <c r="V175" s="3358">
        <f t="shared" si="121"/>
        <v>0</v>
      </c>
      <c r="W175" s="3358">
        <f t="shared" si="121"/>
        <v>0</v>
      </c>
      <c r="X175" s="3911"/>
      <c r="Y175" s="744"/>
      <c r="Z175" s="468"/>
    </row>
    <row r="176" spans="1:26" s="3214" customFormat="1" ht="15" hidden="1" customHeight="1">
      <c r="A176" s="3930"/>
      <c r="B176" s="622" t="s">
        <v>76</v>
      </c>
      <c r="C176" s="3957"/>
      <c r="D176" s="3366">
        <f t="shared" si="120"/>
        <v>0</v>
      </c>
      <c r="E176" s="3367"/>
      <c r="F176" s="3368"/>
      <c r="G176" s="3368"/>
      <c r="H176" s="3368"/>
      <c r="I176" s="3369"/>
      <c r="J176" s="3369"/>
      <c r="K176" s="3369"/>
      <c r="L176" s="3369"/>
      <c r="M176" s="3370"/>
      <c r="N176" s="3367"/>
      <c r="O176" s="3366"/>
      <c r="P176" s="3366"/>
      <c r="Q176" s="3366"/>
      <c r="R176" s="3366"/>
      <c r="S176" s="3366"/>
      <c r="T176" s="3366"/>
      <c r="U176" s="3366"/>
      <c r="V176" s="3366"/>
      <c r="W176" s="3366"/>
      <c r="X176" s="3911"/>
      <c r="Y176" s="744"/>
      <c r="Z176" s="468"/>
    </row>
    <row r="177" spans="1:26" s="3214" customFormat="1" ht="18.75" hidden="1" customHeight="1">
      <c r="A177" s="3930"/>
      <c r="B177" s="2052" t="s">
        <v>29</v>
      </c>
      <c r="C177" s="3955" t="s">
        <v>368</v>
      </c>
      <c r="D177" s="3354">
        <f t="shared" si="120"/>
        <v>30000000</v>
      </c>
      <c r="E177" s="3355"/>
      <c r="F177" s="3356"/>
      <c r="G177" s="3356"/>
      <c r="H177" s="3356"/>
      <c r="I177" s="3357"/>
      <c r="J177" s="3357"/>
      <c r="K177" s="3357"/>
      <c r="L177" s="3357"/>
      <c r="M177" s="3358">
        <f>+M178</f>
        <v>0</v>
      </c>
      <c r="N177" s="3358">
        <f t="shared" ref="N177:W177" si="122">+N178</f>
        <v>0</v>
      </c>
      <c r="O177" s="3358">
        <f t="shared" si="122"/>
        <v>0</v>
      </c>
      <c r="P177" s="3358">
        <f t="shared" si="122"/>
        <v>226180</v>
      </c>
      <c r="Q177" s="3358">
        <f t="shared" si="122"/>
        <v>3147374</v>
      </c>
      <c r="R177" s="3358">
        <f t="shared" si="122"/>
        <v>19752637</v>
      </c>
      <c r="S177" s="3358">
        <f t="shared" si="122"/>
        <v>6873809</v>
      </c>
      <c r="T177" s="3358">
        <f t="shared" si="122"/>
        <v>0</v>
      </c>
      <c r="U177" s="3358">
        <f t="shared" si="122"/>
        <v>0</v>
      </c>
      <c r="V177" s="3358">
        <f t="shared" si="122"/>
        <v>0</v>
      </c>
      <c r="W177" s="3358">
        <f t="shared" si="122"/>
        <v>0</v>
      </c>
      <c r="X177" s="3911"/>
      <c r="Y177" s="744"/>
      <c r="Z177" s="468"/>
    </row>
    <row r="178" spans="1:26" s="3214" customFormat="1" ht="18" hidden="1" customHeight="1">
      <c r="A178" s="4009"/>
      <c r="B178" s="811" t="s">
        <v>32</v>
      </c>
      <c r="C178" s="3963"/>
      <c r="D178" s="3360">
        <f t="shared" si="120"/>
        <v>30000000</v>
      </c>
      <c r="E178" s="3361"/>
      <c r="F178" s="3362"/>
      <c r="G178" s="3362"/>
      <c r="H178" s="3362"/>
      <c r="I178" s="3363"/>
      <c r="J178" s="3363"/>
      <c r="K178" s="3363"/>
      <c r="L178" s="3363"/>
      <c r="M178" s="3364">
        <f>+M179+M180</f>
        <v>0</v>
      </c>
      <c r="N178" s="3364">
        <f t="shared" ref="N178:W178" si="123">+N179+N180</f>
        <v>0</v>
      </c>
      <c r="O178" s="3364">
        <f t="shared" si="123"/>
        <v>0</v>
      </c>
      <c r="P178" s="3360">
        <f>+P179+P180</f>
        <v>226180</v>
      </c>
      <c r="Q178" s="3360">
        <f t="shared" si="123"/>
        <v>3147374</v>
      </c>
      <c r="R178" s="3360">
        <f t="shared" si="123"/>
        <v>19752637</v>
      </c>
      <c r="S178" s="3360">
        <f t="shared" si="123"/>
        <v>6873809</v>
      </c>
      <c r="T178" s="3360">
        <f t="shared" si="123"/>
        <v>0</v>
      </c>
      <c r="U178" s="3360">
        <f t="shared" si="123"/>
        <v>0</v>
      </c>
      <c r="V178" s="3360">
        <f t="shared" si="123"/>
        <v>0</v>
      </c>
      <c r="W178" s="3360">
        <f t="shared" si="123"/>
        <v>0</v>
      </c>
      <c r="X178" s="3911"/>
      <c r="Y178" s="744"/>
      <c r="Z178" s="468"/>
    </row>
    <row r="179" spans="1:26" s="3214" customFormat="1" ht="22.5" hidden="1" customHeight="1">
      <c r="A179" s="3372"/>
      <c r="B179" s="743" t="s">
        <v>356</v>
      </c>
      <c r="C179" s="3215" t="s">
        <v>314</v>
      </c>
      <c r="D179" s="3366">
        <f t="shared" si="120"/>
        <v>20000000</v>
      </c>
      <c r="E179" s="3367"/>
      <c r="F179" s="3368"/>
      <c r="G179" s="3368"/>
      <c r="H179" s="3368"/>
      <c r="I179" s="3369"/>
      <c r="J179" s="3369"/>
      <c r="K179" s="3369"/>
      <c r="L179" s="3369"/>
      <c r="M179" s="3370"/>
      <c r="N179" s="3367"/>
      <c r="O179" s="3366"/>
      <c r="P179" s="3366">
        <f>964000+479800-1063800-153820</f>
        <v>226180</v>
      </c>
      <c r="Q179" s="3366">
        <f>6627800+624800-3893137-212089</f>
        <v>3147374</v>
      </c>
      <c r="R179" s="3366">
        <f>8003000+624800+1372200+2609637</f>
        <v>12609637</v>
      </c>
      <c r="S179" s="3366">
        <f>3584737+432072</f>
        <v>4016809</v>
      </c>
      <c r="T179" s="3366"/>
      <c r="U179" s="3366"/>
      <c r="V179" s="3366"/>
      <c r="W179" s="3366"/>
      <c r="X179" s="3911"/>
      <c r="Y179" s="744"/>
      <c r="Z179" s="468"/>
    </row>
    <row r="180" spans="1:26" s="3214" customFormat="1" ht="24" hidden="1" customHeight="1">
      <c r="A180" s="3372"/>
      <c r="B180" s="296" t="s">
        <v>357</v>
      </c>
      <c r="C180" s="3215" t="s">
        <v>276</v>
      </c>
      <c r="D180" s="3360">
        <f t="shared" si="120"/>
        <v>10000000</v>
      </c>
      <c r="E180" s="3361"/>
      <c r="F180" s="3362"/>
      <c r="G180" s="3362"/>
      <c r="H180" s="3362"/>
      <c r="I180" s="3363"/>
      <c r="J180" s="3363"/>
      <c r="K180" s="3363"/>
      <c r="L180" s="3363"/>
      <c r="M180" s="3364"/>
      <c r="N180" s="3361"/>
      <c r="O180" s="3360"/>
      <c r="P180" s="3360">
        <v>0</v>
      </c>
      <c r="Q180" s="3360">
        <f>3000000-3000000</f>
        <v>0</v>
      </c>
      <c r="R180" s="3360">
        <f>7000000+143000</f>
        <v>7143000</v>
      </c>
      <c r="S180" s="3360">
        <v>2857000</v>
      </c>
      <c r="T180" s="3360"/>
      <c r="U180" s="3360"/>
      <c r="V180" s="3360"/>
      <c r="W180" s="3360"/>
      <c r="X180" s="4007"/>
      <c r="Y180" s="744"/>
      <c r="Z180" s="468"/>
    </row>
    <row r="181" spans="1:26" s="3214" customFormat="1" ht="15" hidden="1" customHeight="1">
      <c r="A181" s="3930" t="s">
        <v>382</v>
      </c>
      <c r="B181" s="621" t="s">
        <v>358</v>
      </c>
      <c r="C181" s="785" t="s">
        <v>125</v>
      </c>
      <c r="D181" s="768"/>
      <c r="E181" s="769"/>
      <c r="F181" s="770"/>
      <c r="G181" s="770"/>
      <c r="H181" s="771"/>
      <c r="I181" s="772"/>
      <c r="J181" s="773"/>
      <c r="K181" s="772"/>
      <c r="L181" s="772"/>
      <c r="M181" s="774"/>
      <c r="N181" s="774"/>
      <c r="O181" s="774"/>
      <c r="P181" s="769"/>
      <c r="Q181" s="769"/>
      <c r="R181" s="769"/>
      <c r="S181" s="769"/>
      <c r="T181" s="769"/>
      <c r="U181" s="769"/>
      <c r="V181" s="769"/>
      <c r="W181" s="775"/>
      <c r="X181" s="776"/>
      <c r="Y181" s="744"/>
      <c r="Z181" s="468"/>
    </row>
    <row r="182" spans="1:26" s="3214" customFormat="1" ht="13.5" hidden="1" customHeight="1">
      <c r="A182" s="3930"/>
      <c r="B182" s="103" t="s">
        <v>21</v>
      </c>
      <c r="C182" s="777"/>
      <c r="D182" s="605">
        <f>+D183+D185</f>
        <v>0</v>
      </c>
      <c r="E182" s="605">
        <f t="shared" ref="E182:W182" si="124">+E183+E185</f>
        <v>0</v>
      </c>
      <c r="F182" s="605">
        <f t="shared" si="124"/>
        <v>0</v>
      </c>
      <c r="G182" s="605">
        <f t="shared" si="124"/>
        <v>0</v>
      </c>
      <c r="H182" s="605">
        <f t="shared" si="124"/>
        <v>0</v>
      </c>
      <c r="I182" s="605">
        <f t="shared" si="124"/>
        <v>0</v>
      </c>
      <c r="J182" s="605">
        <f t="shared" si="124"/>
        <v>0</v>
      </c>
      <c r="K182" s="605">
        <f t="shared" si="124"/>
        <v>0</v>
      </c>
      <c r="L182" s="605">
        <f t="shared" si="124"/>
        <v>0</v>
      </c>
      <c r="M182" s="605">
        <f t="shared" si="124"/>
        <v>0</v>
      </c>
      <c r="N182" s="605">
        <f t="shared" si="124"/>
        <v>0</v>
      </c>
      <c r="O182" s="605">
        <f t="shared" si="124"/>
        <v>0</v>
      </c>
      <c r="P182" s="605">
        <f t="shared" si="124"/>
        <v>0</v>
      </c>
      <c r="Q182" s="605">
        <f t="shared" si="124"/>
        <v>0</v>
      </c>
      <c r="R182" s="605">
        <f t="shared" si="124"/>
        <v>0</v>
      </c>
      <c r="S182" s="605">
        <f t="shared" si="124"/>
        <v>0</v>
      </c>
      <c r="T182" s="605">
        <f t="shared" si="124"/>
        <v>0</v>
      </c>
      <c r="U182" s="605">
        <f t="shared" si="124"/>
        <v>0</v>
      </c>
      <c r="V182" s="605">
        <f t="shared" si="124"/>
        <v>0</v>
      </c>
      <c r="W182" s="605">
        <f t="shared" si="124"/>
        <v>0</v>
      </c>
      <c r="X182" s="786">
        <f>+X183+X185</f>
        <v>0</v>
      </c>
      <c r="Y182" s="744"/>
      <c r="Z182" s="468"/>
    </row>
    <row r="183" spans="1:26" s="3214" customFormat="1" ht="13.5" hidden="1" customHeight="1">
      <c r="A183" s="3930"/>
      <c r="B183" s="787" t="s">
        <v>35</v>
      </c>
      <c r="C183" s="3964" t="s">
        <v>361</v>
      </c>
      <c r="D183" s="668">
        <f>SUM(M183:W183)</f>
        <v>0</v>
      </c>
      <c r="E183" s="672"/>
      <c r="F183" s="673"/>
      <c r="G183" s="673"/>
      <c r="H183" s="673"/>
      <c r="I183" s="674"/>
      <c r="J183" s="674"/>
      <c r="K183" s="674"/>
      <c r="L183" s="674"/>
      <c r="M183" s="646">
        <f>+M184</f>
        <v>0</v>
      </c>
      <c r="N183" s="646">
        <f t="shared" ref="N183:W183" si="125">+N184</f>
        <v>0</v>
      </c>
      <c r="O183" s="646">
        <f t="shared" si="125"/>
        <v>0</v>
      </c>
      <c r="P183" s="646">
        <f t="shared" si="125"/>
        <v>0</v>
      </c>
      <c r="Q183" s="646">
        <f t="shared" si="125"/>
        <v>0</v>
      </c>
      <c r="R183" s="646">
        <f t="shared" si="125"/>
        <v>0</v>
      </c>
      <c r="S183" s="646">
        <f t="shared" si="125"/>
        <v>0</v>
      </c>
      <c r="T183" s="646">
        <f t="shared" si="125"/>
        <v>0</v>
      </c>
      <c r="U183" s="646">
        <f t="shared" si="125"/>
        <v>0</v>
      </c>
      <c r="V183" s="646">
        <f t="shared" si="125"/>
        <v>0</v>
      </c>
      <c r="W183" s="646">
        <f t="shared" si="125"/>
        <v>0</v>
      </c>
      <c r="X183" s="778">
        <f>SUM(M183:W183)</f>
        <v>0</v>
      </c>
      <c r="Y183" s="744"/>
      <c r="Z183" s="468"/>
    </row>
    <row r="184" spans="1:26" s="3214" customFormat="1" ht="13.5" hidden="1" customHeight="1">
      <c r="A184" s="3930"/>
      <c r="B184" s="788" t="s">
        <v>23</v>
      </c>
      <c r="C184" s="3965"/>
      <c r="D184" s="675">
        <f>SUM(M184:W184)</f>
        <v>0</v>
      </c>
      <c r="E184" s="780"/>
      <c r="F184" s="781"/>
      <c r="G184" s="781"/>
      <c r="H184" s="781"/>
      <c r="I184" s="782"/>
      <c r="J184" s="782"/>
      <c r="K184" s="782"/>
      <c r="L184" s="782"/>
      <c r="M184" s="783">
        <v>0</v>
      </c>
      <c r="N184" s="780"/>
      <c r="O184" s="675">
        <v>0</v>
      </c>
      <c r="P184" s="675">
        <v>0</v>
      </c>
      <c r="Q184" s="675">
        <v>0</v>
      </c>
      <c r="R184" s="675">
        <v>0</v>
      </c>
      <c r="S184" s="675">
        <v>0</v>
      </c>
      <c r="T184" s="675">
        <v>0</v>
      </c>
      <c r="U184" s="675">
        <v>0</v>
      </c>
      <c r="V184" s="675">
        <v>0</v>
      </c>
      <c r="W184" s="675"/>
      <c r="X184" s="784">
        <f>SUM(M184:W184)</f>
        <v>0</v>
      </c>
      <c r="Y184" s="744"/>
      <c r="Z184" s="468"/>
    </row>
    <row r="185" spans="1:26" s="3214" customFormat="1" ht="13.5" hidden="1" customHeight="1">
      <c r="A185" s="3930"/>
      <c r="B185" s="104" t="s">
        <v>29</v>
      </c>
      <c r="C185" s="3960" t="s">
        <v>179</v>
      </c>
      <c r="D185" s="668">
        <f>SUM(M185:W185)</f>
        <v>0</v>
      </c>
      <c r="E185" s="669"/>
      <c r="F185" s="670"/>
      <c r="G185" s="670"/>
      <c r="H185" s="670"/>
      <c r="I185" s="671"/>
      <c r="J185" s="671"/>
      <c r="K185" s="671"/>
      <c r="L185" s="671"/>
      <c r="M185" s="646">
        <f>+M186</f>
        <v>0</v>
      </c>
      <c r="N185" s="646">
        <f t="shared" ref="N185:W185" si="126">+N186</f>
        <v>0</v>
      </c>
      <c r="O185" s="646">
        <f t="shared" si="126"/>
        <v>0</v>
      </c>
      <c r="P185" s="646">
        <f t="shared" si="126"/>
        <v>0</v>
      </c>
      <c r="Q185" s="646">
        <f t="shared" si="126"/>
        <v>0</v>
      </c>
      <c r="R185" s="646">
        <f t="shared" si="126"/>
        <v>0</v>
      </c>
      <c r="S185" s="646">
        <f t="shared" si="126"/>
        <v>0</v>
      </c>
      <c r="T185" s="646">
        <f t="shared" si="126"/>
        <v>0</v>
      </c>
      <c r="U185" s="646">
        <f t="shared" si="126"/>
        <v>0</v>
      </c>
      <c r="V185" s="646">
        <f t="shared" si="126"/>
        <v>0</v>
      </c>
      <c r="W185" s="646">
        <f t="shared" si="126"/>
        <v>0</v>
      </c>
      <c r="X185" s="778">
        <f>SUM(M185:W185)</f>
        <v>0</v>
      </c>
      <c r="Y185" s="744"/>
      <c r="Z185" s="468"/>
    </row>
    <row r="186" spans="1:26" s="3214" customFormat="1" ht="13.5" hidden="1" customHeight="1">
      <c r="A186" s="3930"/>
      <c r="B186" s="100" t="s">
        <v>32</v>
      </c>
      <c r="C186" s="3961"/>
      <c r="D186" s="647">
        <f>SUM(M186:W186)</f>
        <v>0</v>
      </c>
      <c r="E186" s="672"/>
      <c r="F186" s="673"/>
      <c r="G186" s="673"/>
      <c r="H186" s="673"/>
      <c r="I186" s="674"/>
      <c r="J186" s="674"/>
      <c r="K186" s="674"/>
      <c r="L186" s="674"/>
      <c r="M186" s="645">
        <f>+M187</f>
        <v>0</v>
      </c>
      <c r="N186" s="645">
        <f t="shared" ref="N186:W186" si="127">+N187</f>
        <v>0</v>
      </c>
      <c r="O186" s="645">
        <f t="shared" si="127"/>
        <v>0</v>
      </c>
      <c r="P186" s="645">
        <f t="shared" si="127"/>
        <v>0</v>
      </c>
      <c r="Q186" s="645">
        <f t="shared" si="127"/>
        <v>0</v>
      </c>
      <c r="R186" s="645">
        <f t="shared" si="127"/>
        <v>0</v>
      </c>
      <c r="S186" s="645">
        <f t="shared" si="127"/>
        <v>0</v>
      </c>
      <c r="T186" s="645">
        <f t="shared" si="127"/>
        <v>0</v>
      </c>
      <c r="U186" s="645">
        <f t="shared" si="127"/>
        <v>0</v>
      </c>
      <c r="V186" s="645">
        <f t="shared" si="127"/>
        <v>0</v>
      </c>
      <c r="W186" s="645">
        <f t="shared" si="127"/>
        <v>0</v>
      </c>
      <c r="X186" s="779">
        <f>SUM(M186:W186)</f>
        <v>0</v>
      </c>
      <c r="Y186" s="744"/>
      <c r="Z186" s="468"/>
    </row>
    <row r="187" spans="1:26" s="3214" customFormat="1" ht="22.5" hidden="1" customHeight="1">
      <c r="A187" s="3930"/>
      <c r="B187" s="789" t="s">
        <v>355</v>
      </c>
      <c r="C187" s="3962"/>
      <c r="D187" s="675">
        <f>SUM(M187:W187)</f>
        <v>0</v>
      </c>
      <c r="E187" s="780"/>
      <c r="F187" s="781"/>
      <c r="G187" s="781"/>
      <c r="H187" s="781"/>
      <c r="I187" s="782"/>
      <c r="J187" s="782"/>
      <c r="K187" s="782"/>
      <c r="L187" s="782"/>
      <c r="M187" s="783">
        <v>0</v>
      </c>
      <c r="N187" s="780"/>
      <c r="O187" s="675">
        <v>0</v>
      </c>
      <c r="P187" s="675">
        <v>0</v>
      </c>
      <c r="Q187" s="675">
        <v>0</v>
      </c>
      <c r="R187" s="675">
        <f>312400-312400</f>
        <v>0</v>
      </c>
      <c r="S187" s="675">
        <f>624800-624800</f>
        <v>0</v>
      </c>
      <c r="T187" s="675">
        <f>625000-625000</f>
        <v>0</v>
      </c>
      <c r="U187" s="675">
        <v>0</v>
      </c>
      <c r="V187" s="675">
        <v>0</v>
      </c>
      <c r="W187" s="675">
        <v>0</v>
      </c>
      <c r="X187" s="784">
        <f>SUM(M187:W187)</f>
        <v>0</v>
      </c>
      <c r="Y187" s="744"/>
      <c r="Z187" s="468"/>
    </row>
    <row r="188" spans="1:26" s="3214" customFormat="1" ht="13.5" hidden="1" customHeight="1">
      <c r="A188" s="3930"/>
      <c r="B188" s="103" t="s">
        <v>352</v>
      </c>
      <c r="C188" s="226"/>
      <c r="D188" s="564">
        <f>+D189</f>
        <v>0</v>
      </c>
      <c r="E188" s="564">
        <f t="shared" ref="E188:W188" si="128">+E189</f>
        <v>0</v>
      </c>
      <c r="F188" s="564">
        <f t="shared" si="128"/>
        <v>0</v>
      </c>
      <c r="G188" s="564">
        <f t="shared" si="128"/>
        <v>0</v>
      </c>
      <c r="H188" s="564">
        <f t="shared" si="128"/>
        <v>0</v>
      </c>
      <c r="I188" s="564">
        <f t="shared" si="128"/>
        <v>0</v>
      </c>
      <c r="J188" s="564">
        <f t="shared" si="128"/>
        <v>0</v>
      </c>
      <c r="K188" s="564">
        <f t="shared" si="128"/>
        <v>0</v>
      </c>
      <c r="L188" s="564">
        <f t="shared" si="128"/>
        <v>0</v>
      </c>
      <c r="M188" s="564">
        <f t="shared" si="128"/>
        <v>0</v>
      </c>
      <c r="N188" s="564">
        <f t="shared" si="128"/>
        <v>0</v>
      </c>
      <c r="O188" s="564">
        <f t="shared" si="128"/>
        <v>0</v>
      </c>
      <c r="P188" s="564">
        <f t="shared" si="128"/>
        <v>0</v>
      </c>
      <c r="Q188" s="564">
        <f t="shared" si="128"/>
        <v>0</v>
      </c>
      <c r="R188" s="564">
        <f t="shared" si="128"/>
        <v>0</v>
      </c>
      <c r="S188" s="564">
        <f t="shared" si="128"/>
        <v>0</v>
      </c>
      <c r="T188" s="564">
        <f t="shared" si="128"/>
        <v>0</v>
      </c>
      <c r="U188" s="564">
        <f t="shared" si="128"/>
        <v>0</v>
      </c>
      <c r="V188" s="564">
        <f t="shared" si="128"/>
        <v>0</v>
      </c>
      <c r="W188" s="564">
        <f t="shared" si="128"/>
        <v>0</v>
      </c>
      <c r="X188" s="3970" t="s">
        <v>75</v>
      </c>
      <c r="Y188" s="744"/>
      <c r="Z188" s="468"/>
    </row>
    <row r="189" spans="1:26" s="3214" customFormat="1" ht="13.5" hidden="1" customHeight="1">
      <c r="A189" s="3930"/>
      <c r="B189" s="104" t="s">
        <v>29</v>
      </c>
      <c r="C189" s="3960" t="s">
        <v>314</v>
      </c>
      <c r="D189" s="668">
        <f>SUM(M189:W189)</f>
        <v>0</v>
      </c>
      <c r="E189" s="669"/>
      <c r="F189" s="670"/>
      <c r="G189" s="670"/>
      <c r="H189" s="670"/>
      <c r="I189" s="671"/>
      <c r="J189" s="671"/>
      <c r="K189" s="671"/>
      <c r="L189" s="671"/>
      <c r="M189" s="690">
        <f>+M190</f>
        <v>0</v>
      </c>
      <c r="N189" s="690">
        <f t="shared" ref="N189:W190" si="129">+N190</f>
        <v>0</v>
      </c>
      <c r="O189" s="690">
        <f t="shared" si="129"/>
        <v>0</v>
      </c>
      <c r="P189" s="690">
        <f t="shared" si="129"/>
        <v>0</v>
      </c>
      <c r="Q189" s="690">
        <f t="shared" si="129"/>
        <v>0</v>
      </c>
      <c r="R189" s="690">
        <f t="shared" si="129"/>
        <v>0</v>
      </c>
      <c r="S189" s="690">
        <f t="shared" si="129"/>
        <v>0</v>
      </c>
      <c r="T189" s="690">
        <f t="shared" si="129"/>
        <v>0</v>
      </c>
      <c r="U189" s="690">
        <f t="shared" si="129"/>
        <v>0</v>
      </c>
      <c r="V189" s="690">
        <f t="shared" si="129"/>
        <v>0</v>
      </c>
      <c r="W189" s="690">
        <f t="shared" si="129"/>
        <v>0</v>
      </c>
      <c r="X189" s="3914"/>
      <c r="Y189" s="744"/>
      <c r="Z189" s="468"/>
    </row>
    <row r="190" spans="1:26" s="3214" customFormat="1" ht="13.5" hidden="1" customHeight="1" thickBot="1">
      <c r="A190" s="3973"/>
      <c r="B190" s="102" t="s">
        <v>32</v>
      </c>
      <c r="C190" s="3969"/>
      <c r="D190" s="643">
        <f>SUM(M190:W190)</f>
        <v>0</v>
      </c>
      <c r="E190" s="224"/>
      <c r="F190" s="525"/>
      <c r="G190" s="525"/>
      <c r="H190" s="525"/>
      <c r="I190" s="526"/>
      <c r="J190" s="526"/>
      <c r="K190" s="526"/>
      <c r="L190" s="526"/>
      <c r="M190" s="227">
        <f>+M191</f>
        <v>0</v>
      </c>
      <c r="N190" s="227">
        <f t="shared" si="129"/>
        <v>0</v>
      </c>
      <c r="O190" s="227">
        <f t="shared" si="129"/>
        <v>0</v>
      </c>
      <c r="P190" s="227">
        <f t="shared" si="129"/>
        <v>0</v>
      </c>
      <c r="Q190" s="227">
        <f t="shared" si="129"/>
        <v>0</v>
      </c>
      <c r="R190" s="227">
        <f t="shared" si="129"/>
        <v>0</v>
      </c>
      <c r="S190" s="227">
        <f t="shared" si="129"/>
        <v>0</v>
      </c>
      <c r="T190" s="227">
        <f t="shared" si="129"/>
        <v>0</v>
      </c>
      <c r="U190" s="227">
        <f t="shared" si="129"/>
        <v>0</v>
      </c>
      <c r="V190" s="227">
        <f t="shared" si="129"/>
        <v>0</v>
      </c>
      <c r="W190" s="227">
        <f t="shared" si="129"/>
        <v>0</v>
      </c>
      <c r="X190" s="3915"/>
      <c r="Y190" s="790"/>
      <c r="Z190" s="468">
        <f>+D186+D197</f>
        <v>41864000</v>
      </c>
    </row>
    <row r="191" spans="1:26" s="3214" customFormat="1" ht="12" hidden="1" customHeight="1" thickBot="1">
      <c r="A191" s="720"/>
      <c r="B191" s="791" t="s">
        <v>349</v>
      </c>
      <c r="C191" s="792"/>
      <c r="D191" s="793">
        <f>SUM(M191:W191)</f>
        <v>0</v>
      </c>
      <c r="E191" s="794"/>
      <c r="F191" s="795"/>
      <c r="G191" s="795"/>
      <c r="H191" s="795"/>
      <c r="I191" s="796"/>
      <c r="J191" s="796"/>
      <c r="K191" s="796"/>
      <c r="L191" s="796"/>
      <c r="M191" s="797"/>
      <c r="N191" s="794"/>
      <c r="O191" s="793"/>
      <c r="P191" s="793"/>
      <c r="Q191" s="793">
        <v>0</v>
      </c>
      <c r="R191" s="793">
        <f>312400-312400</f>
        <v>0</v>
      </c>
      <c r="S191" s="793">
        <f>624800-624800</f>
        <v>0</v>
      </c>
      <c r="T191" s="793">
        <f>625000-625000</f>
        <v>0</v>
      </c>
      <c r="U191" s="798"/>
      <c r="V191" s="798"/>
      <c r="W191" s="793"/>
      <c r="X191" s="703"/>
      <c r="Y191" s="790"/>
      <c r="Z191" s="468"/>
    </row>
    <row r="192" spans="1:26" s="3214" customFormat="1" ht="16.5" hidden="1" customHeight="1">
      <c r="A192" s="3930" t="s">
        <v>381</v>
      </c>
      <c r="B192" s="621" t="s">
        <v>358</v>
      </c>
      <c r="C192" s="3373" t="s">
        <v>95</v>
      </c>
      <c r="D192" s="1591"/>
      <c r="E192" s="1592"/>
      <c r="F192" s="1593"/>
      <c r="G192" s="1593"/>
      <c r="H192" s="1594"/>
      <c r="I192" s="1595"/>
      <c r="J192" s="1596"/>
      <c r="K192" s="1595"/>
      <c r="L192" s="1595"/>
      <c r="M192" s="1597"/>
      <c r="N192" s="1597"/>
      <c r="O192" s="1597"/>
      <c r="P192" s="1592"/>
      <c r="Q192" s="1592"/>
      <c r="R192" s="1592"/>
      <c r="S192" s="1592"/>
      <c r="T192" s="1592"/>
      <c r="U192" s="1592"/>
      <c r="V192" s="1592"/>
      <c r="W192" s="1598"/>
      <c r="X192" s="3374"/>
      <c r="Y192" s="744"/>
      <c r="Z192" s="468"/>
    </row>
    <row r="193" spans="1:26" s="3214" customFormat="1" ht="13.5" hidden="1" customHeight="1">
      <c r="A193" s="3930"/>
      <c r="B193" s="103" t="s">
        <v>21</v>
      </c>
      <c r="C193" s="3375"/>
      <c r="D193" s="605">
        <f t="shared" ref="D193:X193" si="130">+D194+D197</f>
        <v>50561760</v>
      </c>
      <c r="E193" s="605">
        <f t="shared" si="130"/>
        <v>0</v>
      </c>
      <c r="F193" s="605">
        <f t="shared" si="130"/>
        <v>0</v>
      </c>
      <c r="G193" s="605">
        <f t="shared" si="130"/>
        <v>0</v>
      </c>
      <c r="H193" s="605">
        <f t="shared" si="130"/>
        <v>0</v>
      </c>
      <c r="I193" s="605">
        <f t="shared" si="130"/>
        <v>0</v>
      </c>
      <c r="J193" s="605">
        <f t="shared" si="130"/>
        <v>0</v>
      </c>
      <c r="K193" s="605">
        <f t="shared" si="130"/>
        <v>0</v>
      </c>
      <c r="L193" s="605">
        <f t="shared" si="130"/>
        <v>0</v>
      </c>
      <c r="M193" s="605">
        <f t="shared" si="130"/>
        <v>0</v>
      </c>
      <c r="N193" s="605">
        <f t="shared" si="130"/>
        <v>0</v>
      </c>
      <c r="O193" s="605">
        <f t="shared" si="130"/>
        <v>0</v>
      </c>
      <c r="P193" s="605">
        <f t="shared" si="130"/>
        <v>0</v>
      </c>
      <c r="Q193" s="605">
        <f t="shared" si="130"/>
        <v>0</v>
      </c>
      <c r="R193" s="605">
        <f t="shared" si="130"/>
        <v>0</v>
      </c>
      <c r="S193" s="605">
        <f t="shared" si="130"/>
        <v>27388889</v>
      </c>
      <c r="T193" s="605">
        <f t="shared" si="130"/>
        <v>23172871</v>
      </c>
      <c r="U193" s="605">
        <f t="shared" si="130"/>
        <v>0</v>
      </c>
      <c r="V193" s="605">
        <f t="shared" si="130"/>
        <v>0</v>
      </c>
      <c r="W193" s="605">
        <f t="shared" si="130"/>
        <v>0</v>
      </c>
      <c r="X193" s="573">
        <f t="shared" si="130"/>
        <v>50561760</v>
      </c>
      <c r="Y193" s="744"/>
      <c r="Z193" s="468"/>
    </row>
    <row r="194" spans="1:26" s="3214" customFormat="1" ht="13.5" hidden="1" customHeight="1">
      <c r="A194" s="3930"/>
      <c r="B194" s="787" t="s">
        <v>35</v>
      </c>
      <c r="C194" s="3955" t="s">
        <v>361</v>
      </c>
      <c r="D194" s="566">
        <f>SUM(M194:W194)</f>
        <v>8697760</v>
      </c>
      <c r="E194" s="742"/>
      <c r="F194" s="746"/>
      <c r="G194" s="746"/>
      <c r="H194" s="746"/>
      <c r="I194" s="747"/>
      <c r="J194" s="747"/>
      <c r="K194" s="747"/>
      <c r="L194" s="747"/>
      <c r="M194" s="515">
        <f>+M195+M196</f>
        <v>0</v>
      </c>
      <c r="N194" s="515">
        <f t="shared" ref="N194:W194" si="131">+N195+N196</f>
        <v>0</v>
      </c>
      <c r="O194" s="515">
        <f t="shared" si="131"/>
        <v>0</v>
      </c>
      <c r="P194" s="515">
        <f t="shared" si="131"/>
        <v>0</v>
      </c>
      <c r="Q194" s="515">
        <f>+Q195+Q196</f>
        <v>0</v>
      </c>
      <c r="R194" s="515">
        <f>+R195+R196</f>
        <v>0</v>
      </c>
      <c r="S194" s="515">
        <f>+S195+S196</f>
        <v>5184629</v>
      </c>
      <c r="T194" s="515">
        <f t="shared" si="131"/>
        <v>3513131</v>
      </c>
      <c r="U194" s="515">
        <f t="shared" si="131"/>
        <v>0</v>
      </c>
      <c r="V194" s="515">
        <f t="shared" si="131"/>
        <v>0</v>
      </c>
      <c r="W194" s="515">
        <f t="shared" si="131"/>
        <v>0</v>
      </c>
      <c r="X194" s="3376">
        <f>SUM(M194:W194)</f>
        <v>8697760</v>
      </c>
      <c r="Y194" s="744"/>
      <c r="Z194" s="468"/>
    </row>
    <row r="195" spans="1:26" s="3214" customFormat="1" ht="13.5" hidden="1" customHeight="1">
      <c r="A195" s="3930"/>
      <c r="B195" s="622" t="s">
        <v>23</v>
      </c>
      <c r="C195" s="3956"/>
      <c r="D195" s="537">
        <f>SUM(M195:W195)</f>
        <v>3697760</v>
      </c>
      <c r="E195" s="539"/>
      <c r="F195" s="538"/>
      <c r="G195" s="538"/>
      <c r="H195" s="538"/>
      <c r="I195" s="726"/>
      <c r="J195" s="726"/>
      <c r="K195" s="726"/>
      <c r="L195" s="726"/>
      <c r="M195" s="520"/>
      <c r="N195" s="539"/>
      <c r="O195" s="537"/>
      <c r="P195" s="537"/>
      <c r="Q195" s="537">
        <v>0</v>
      </c>
      <c r="R195" s="537">
        <f>2191100+312400-2503500</f>
        <v>0</v>
      </c>
      <c r="S195" s="537">
        <f>4006159-2149730</f>
        <v>1856429</v>
      </c>
      <c r="T195" s="537">
        <f>825200-119869+1136000</f>
        <v>1841331</v>
      </c>
      <c r="U195" s="537"/>
      <c r="V195" s="537"/>
      <c r="W195" s="537"/>
      <c r="X195" s="3377">
        <f>SUM(M195:W195)</f>
        <v>3697760</v>
      </c>
      <c r="Y195" s="744"/>
      <c r="Z195" s="468"/>
    </row>
    <row r="196" spans="1:26" s="3214" customFormat="1" ht="13.5" hidden="1" customHeight="1">
      <c r="A196" s="3930"/>
      <c r="B196" s="622" t="s">
        <v>27</v>
      </c>
      <c r="C196" s="3956"/>
      <c r="D196" s="537">
        <f>SUM(M196:W196)</f>
        <v>5000000</v>
      </c>
      <c r="E196" s="539"/>
      <c r="F196" s="538"/>
      <c r="G196" s="538"/>
      <c r="H196" s="538"/>
      <c r="I196" s="726"/>
      <c r="J196" s="726"/>
      <c r="K196" s="726"/>
      <c r="L196" s="726"/>
      <c r="M196" s="520"/>
      <c r="N196" s="539"/>
      <c r="O196" s="537"/>
      <c r="P196" s="537"/>
      <c r="Q196" s="537">
        <v>0</v>
      </c>
      <c r="R196" s="537">
        <f>277300-277300</f>
        <v>0</v>
      </c>
      <c r="S196" s="537">
        <v>3328200</v>
      </c>
      <c r="T196" s="537">
        <f>1394500+277300</f>
        <v>1671800</v>
      </c>
      <c r="U196" s="537"/>
      <c r="V196" s="537"/>
      <c r="W196" s="537"/>
      <c r="X196" s="3377">
        <f>SUM(M196:W196)</f>
        <v>5000000</v>
      </c>
      <c r="Y196" s="744"/>
      <c r="Z196" s="468"/>
    </row>
    <row r="197" spans="1:26" s="3214" customFormat="1" ht="15.75" hidden="1" customHeight="1">
      <c r="A197" s="3930"/>
      <c r="B197" s="885" t="s">
        <v>29</v>
      </c>
      <c r="C197" s="3956"/>
      <c r="D197" s="566">
        <f>SUM(M197:W197)</f>
        <v>41864000</v>
      </c>
      <c r="E197" s="566">
        <f t="shared" ref="E197:W197" si="132">+E198</f>
        <v>0</v>
      </c>
      <c r="F197" s="566">
        <f t="shared" si="132"/>
        <v>0</v>
      </c>
      <c r="G197" s="566">
        <f t="shared" si="132"/>
        <v>0</v>
      </c>
      <c r="H197" s="566">
        <f t="shared" si="132"/>
        <v>0</v>
      </c>
      <c r="I197" s="566">
        <f t="shared" si="132"/>
        <v>0</v>
      </c>
      <c r="J197" s="566">
        <f t="shared" si="132"/>
        <v>0</v>
      </c>
      <c r="K197" s="566">
        <f t="shared" si="132"/>
        <v>0</v>
      </c>
      <c r="L197" s="566">
        <f t="shared" si="132"/>
        <v>0</v>
      </c>
      <c r="M197" s="566">
        <f t="shared" si="132"/>
        <v>0</v>
      </c>
      <c r="N197" s="566">
        <f t="shared" si="132"/>
        <v>0</v>
      </c>
      <c r="O197" s="566">
        <f t="shared" si="132"/>
        <v>0</v>
      </c>
      <c r="P197" s="566">
        <f t="shared" si="132"/>
        <v>0</v>
      </c>
      <c r="Q197" s="566">
        <f t="shared" si="132"/>
        <v>0</v>
      </c>
      <c r="R197" s="566">
        <f t="shared" si="132"/>
        <v>0</v>
      </c>
      <c r="S197" s="566">
        <f t="shared" si="132"/>
        <v>22204260</v>
      </c>
      <c r="T197" s="566">
        <f t="shared" si="132"/>
        <v>19659740</v>
      </c>
      <c r="U197" s="566">
        <f t="shared" si="132"/>
        <v>0</v>
      </c>
      <c r="V197" s="566">
        <f t="shared" si="132"/>
        <v>0</v>
      </c>
      <c r="W197" s="566">
        <f t="shared" si="132"/>
        <v>0</v>
      </c>
      <c r="X197" s="3378">
        <f>SUM(M197:W197)</f>
        <v>41864000</v>
      </c>
      <c r="Y197" s="744"/>
      <c r="Z197" s="468"/>
    </row>
    <row r="198" spans="1:26" s="3214" customFormat="1" ht="12" hidden="1" customHeight="1">
      <c r="A198" s="3930"/>
      <c r="B198" s="811" t="s">
        <v>32</v>
      </c>
      <c r="C198" s="3956"/>
      <c r="D198" s="537">
        <f>+D199+D200</f>
        <v>41864000</v>
      </c>
      <c r="E198" s="537">
        <f t="shared" ref="E198:W198" si="133">+E199+E200</f>
        <v>0</v>
      </c>
      <c r="F198" s="537">
        <f t="shared" si="133"/>
        <v>0</v>
      </c>
      <c r="G198" s="537">
        <f t="shared" si="133"/>
        <v>0</v>
      </c>
      <c r="H198" s="537">
        <f t="shared" si="133"/>
        <v>0</v>
      </c>
      <c r="I198" s="537">
        <f t="shared" si="133"/>
        <v>0</v>
      </c>
      <c r="J198" s="537">
        <f t="shared" si="133"/>
        <v>0</v>
      </c>
      <c r="K198" s="537">
        <f t="shared" si="133"/>
        <v>0</v>
      </c>
      <c r="L198" s="537">
        <f t="shared" si="133"/>
        <v>0</v>
      </c>
      <c r="M198" s="537">
        <f t="shared" si="133"/>
        <v>0</v>
      </c>
      <c r="N198" s="537">
        <f t="shared" si="133"/>
        <v>0</v>
      </c>
      <c r="O198" s="537">
        <f t="shared" si="133"/>
        <v>0</v>
      </c>
      <c r="P198" s="537">
        <f t="shared" si="133"/>
        <v>0</v>
      </c>
      <c r="Q198" s="537">
        <f t="shared" si="133"/>
        <v>0</v>
      </c>
      <c r="R198" s="537">
        <f t="shared" si="133"/>
        <v>0</v>
      </c>
      <c r="S198" s="537">
        <f t="shared" si="133"/>
        <v>22204260</v>
      </c>
      <c r="T198" s="537">
        <f t="shared" si="133"/>
        <v>19659740</v>
      </c>
      <c r="U198" s="537">
        <f t="shared" si="133"/>
        <v>0</v>
      </c>
      <c r="V198" s="537">
        <f t="shared" si="133"/>
        <v>0</v>
      </c>
      <c r="W198" s="537">
        <f t="shared" si="133"/>
        <v>0</v>
      </c>
      <c r="X198" s="3377">
        <f>+X199+X200</f>
        <v>41864000</v>
      </c>
      <c r="Y198" s="744"/>
      <c r="Z198" s="468"/>
    </row>
    <row r="199" spans="1:26" s="3214" customFormat="1" ht="22.5" hidden="1" customHeight="1">
      <c r="A199" s="3930"/>
      <c r="B199" s="743" t="s">
        <v>359</v>
      </c>
      <c r="C199" s="3956"/>
      <c r="D199" s="741">
        <f>+M199+O199+P199+Q199+R199+S199+T199+U199+V199+W199</f>
        <v>0</v>
      </c>
      <c r="E199" s="750"/>
      <c r="F199" s="751"/>
      <c r="G199" s="751"/>
      <c r="H199" s="751"/>
      <c r="I199" s="752"/>
      <c r="J199" s="752"/>
      <c r="K199" s="752"/>
      <c r="L199" s="752"/>
      <c r="M199" s="3379">
        <v>0</v>
      </c>
      <c r="N199" s="750"/>
      <c r="O199" s="741">
        <v>0</v>
      </c>
      <c r="P199" s="741">
        <v>0</v>
      </c>
      <c r="Q199" s="741">
        <v>0</v>
      </c>
      <c r="R199" s="741">
        <v>0</v>
      </c>
      <c r="S199" s="741">
        <f>915000+624800-1539800</f>
        <v>0</v>
      </c>
      <c r="T199" s="741">
        <f>511000+625000-1136000</f>
        <v>0</v>
      </c>
      <c r="U199" s="741">
        <v>0</v>
      </c>
      <c r="V199" s="741">
        <v>0</v>
      </c>
      <c r="W199" s="741">
        <v>0</v>
      </c>
      <c r="X199" s="3380">
        <f>SUM(M199:W199)</f>
        <v>0</v>
      </c>
      <c r="Y199" s="744"/>
      <c r="Z199" s="468"/>
    </row>
    <row r="200" spans="1:26" s="3214" customFormat="1" ht="23.25" hidden="1" customHeight="1">
      <c r="A200" s="3930"/>
      <c r="B200" s="3381" t="s">
        <v>351</v>
      </c>
      <c r="C200" s="3957"/>
      <c r="D200" s="741">
        <f>+M200+O200+P200+Q200+R200+S200+T200+U200+V200+W200</f>
        <v>41864000</v>
      </c>
      <c r="E200" s="3382"/>
      <c r="F200" s="3383"/>
      <c r="G200" s="3383"/>
      <c r="H200" s="3383"/>
      <c r="I200" s="3384"/>
      <c r="J200" s="3384"/>
      <c r="K200" s="3384"/>
      <c r="L200" s="3384"/>
      <c r="M200" s="3385">
        <v>0</v>
      </c>
      <c r="N200" s="3382"/>
      <c r="O200" s="3386">
        <v>0</v>
      </c>
      <c r="P200" s="3386">
        <v>0</v>
      </c>
      <c r="Q200" s="3386">
        <v>0</v>
      </c>
      <c r="R200" s="3386">
        <f>2328000-2328000</f>
        <v>0</v>
      </c>
      <c r="S200" s="3386">
        <f>27936000-5731740</f>
        <v>22204260</v>
      </c>
      <c r="T200" s="3386">
        <f>11600000+8059740</f>
        <v>19659740</v>
      </c>
      <c r="U200" s="3386">
        <v>0</v>
      </c>
      <c r="V200" s="3386">
        <v>0</v>
      </c>
      <c r="W200" s="3386">
        <v>0</v>
      </c>
      <c r="X200" s="3380">
        <f>SUM(M200:W200)</f>
        <v>41864000</v>
      </c>
      <c r="Y200" s="744"/>
      <c r="Z200" s="468"/>
    </row>
    <row r="201" spans="1:26" s="3214" customFormat="1" ht="13.5" hidden="1" customHeight="1">
      <c r="A201" s="3930"/>
      <c r="B201" s="25" t="s">
        <v>352</v>
      </c>
      <c r="C201" s="220"/>
      <c r="D201" s="556">
        <f t="shared" ref="D201:W201" si="134">+D202+D204</f>
        <v>46864000</v>
      </c>
      <c r="E201" s="556" t="e">
        <f t="shared" si="134"/>
        <v>#REF!</v>
      </c>
      <c r="F201" s="556" t="e">
        <f t="shared" si="134"/>
        <v>#REF!</v>
      </c>
      <c r="G201" s="556" t="e">
        <f t="shared" si="134"/>
        <v>#REF!</v>
      </c>
      <c r="H201" s="556" t="e">
        <f t="shared" si="134"/>
        <v>#REF!</v>
      </c>
      <c r="I201" s="556" t="e">
        <f t="shared" si="134"/>
        <v>#REF!</v>
      </c>
      <c r="J201" s="556" t="e">
        <f t="shared" si="134"/>
        <v>#REF!</v>
      </c>
      <c r="K201" s="556" t="e">
        <f t="shared" si="134"/>
        <v>#REF!</v>
      </c>
      <c r="L201" s="556" t="e">
        <f t="shared" si="134"/>
        <v>#REF!</v>
      </c>
      <c r="M201" s="556">
        <f t="shared" si="134"/>
        <v>0</v>
      </c>
      <c r="N201" s="556">
        <f t="shared" si="134"/>
        <v>0</v>
      </c>
      <c r="O201" s="556">
        <f t="shared" si="134"/>
        <v>0</v>
      </c>
      <c r="P201" s="556">
        <f t="shared" si="134"/>
        <v>0</v>
      </c>
      <c r="Q201" s="556">
        <f t="shared" si="134"/>
        <v>0</v>
      </c>
      <c r="R201" s="556">
        <f t="shared" si="134"/>
        <v>0</v>
      </c>
      <c r="S201" s="556">
        <f t="shared" si="134"/>
        <v>25532460</v>
      </c>
      <c r="T201" s="556">
        <f t="shared" si="134"/>
        <v>21331540</v>
      </c>
      <c r="U201" s="556">
        <f t="shared" si="134"/>
        <v>0</v>
      </c>
      <c r="V201" s="556">
        <f t="shared" si="134"/>
        <v>0</v>
      </c>
      <c r="W201" s="556">
        <f t="shared" si="134"/>
        <v>0</v>
      </c>
      <c r="X201" s="3953" t="s">
        <v>75</v>
      </c>
      <c r="Y201" s="744"/>
      <c r="Z201" s="468"/>
    </row>
    <row r="202" spans="1:26" s="3214" customFormat="1" ht="15" hidden="1" customHeight="1">
      <c r="A202" s="3930"/>
      <c r="B202" s="787" t="s">
        <v>35</v>
      </c>
      <c r="C202" s="3966" t="s">
        <v>368</v>
      </c>
      <c r="D202" s="566">
        <f>+D203</f>
        <v>5000000</v>
      </c>
      <c r="E202" s="566" t="e">
        <f>+E203+#REF!</f>
        <v>#REF!</v>
      </c>
      <c r="F202" s="566" t="e">
        <f>+F203+#REF!</f>
        <v>#REF!</v>
      </c>
      <c r="G202" s="566" t="e">
        <f>+G203+#REF!</f>
        <v>#REF!</v>
      </c>
      <c r="H202" s="566" t="e">
        <f>+H203+#REF!</f>
        <v>#REF!</v>
      </c>
      <c r="I202" s="566" t="e">
        <f>+I203+#REF!</f>
        <v>#REF!</v>
      </c>
      <c r="J202" s="566" t="e">
        <f>+J203+#REF!</f>
        <v>#REF!</v>
      </c>
      <c r="K202" s="566" t="e">
        <f>+K203+#REF!</f>
        <v>#REF!</v>
      </c>
      <c r="L202" s="566" t="e">
        <f>+L203+#REF!</f>
        <v>#REF!</v>
      </c>
      <c r="M202" s="566">
        <f>+M203</f>
        <v>0</v>
      </c>
      <c r="N202" s="566">
        <f t="shared" ref="N202:W202" si="135">+N203</f>
        <v>0</v>
      </c>
      <c r="O202" s="566">
        <f t="shared" si="135"/>
        <v>0</v>
      </c>
      <c r="P202" s="566">
        <f t="shared" si="135"/>
        <v>0</v>
      </c>
      <c r="Q202" s="566">
        <f t="shared" si="135"/>
        <v>0</v>
      </c>
      <c r="R202" s="566">
        <f t="shared" si="135"/>
        <v>0</v>
      </c>
      <c r="S202" s="566">
        <f t="shared" si="135"/>
        <v>3328200</v>
      </c>
      <c r="T202" s="566">
        <f t="shared" si="135"/>
        <v>1671800</v>
      </c>
      <c r="U202" s="566">
        <f t="shared" si="135"/>
        <v>0</v>
      </c>
      <c r="V202" s="566">
        <f t="shared" si="135"/>
        <v>0</v>
      </c>
      <c r="W202" s="566">
        <f t="shared" si="135"/>
        <v>0</v>
      </c>
      <c r="X202" s="3914"/>
      <c r="Y202" s="744"/>
      <c r="Z202" s="468"/>
    </row>
    <row r="203" spans="1:26" s="3214" customFormat="1" ht="16.5" hidden="1" customHeight="1">
      <c r="A203" s="3930"/>
      <c r="B203" s="622" t="s">
        <v>27</v>
      </c>
      <c r="C203" s="3967"/>
      <c r="D203" s="537">
        <f>SUM(M203:W203)</f>
        <v>5000000</v>
      </c>
      <c r="E203" s="539"/>
      <c r="F203" s="538"/>
      <c r="G203" s="538"/>
      <c r="H203" s="538"/>
      <c r="I203" s="726"/>
      <c r="J203" s="726"/>
      <c r="K203" s="726"/>
      <c r="L203" s="726"/>
      <c r="M203" s="520"/>
      <c r="N203" s="539"/>
      <c r="O203" s="537"/>
      <c r="P203" s="537"/>
      <c r="Q203" s="537">
        <v>0</v>
      </c>
      <c r="R203" s="537">
        <f>277300-277300</f>
        <v>0</v>
      </c>
      <c r="S203" s="537">
        <v>3328200</v>
      </c>
      <c r="T203" s="537">
        <f>1394500+277300</f>
        <v>1671800</v>
      </c>
      <c r="U203" s="537"/>
      <c r="V203" s="537"/>
      <c r="W203" s="537"/>
      <c r="X203" s="3914"/>
      <c r="Y203" s="744"/>
      <c r="Z203" s="468"/>
    </row>
    <row r="204" spans="1:26" s="3214" customFormat="1" ht="16.5" hidden="1" customHeight="1">
      <c r="A204" s="3930"/>
      <c r="B204" s="885" t="s">
        <v>29</v>
      </c>
      <c r="C204" s="3967"/>
      <c r="D204" s="566">
        <f>SUM(M204:W204)</f>
        <v>41864000</v>
      </c>
      <c r="E204" s="566">
        <f t="shared" ref="E204:W204" si="136">+E205</f>
        <v>0</v>
      </c>
      <c r="F204" s="566">
        <f t="shared" si="136"/>
        <v>0</v>
      </c>
      <c r="G204" s="566">
        <f t="shared" si="136"/>
        <v>0</v>
      </c>
      <c r="H204" s="566">
        <f t="shared" si="136"/>
        <v>0</v>
      </c>
      <c r="I204" s="566">
        <f t="shared" si="136"/>
        <v>0</v>
      </c>
      <c r="J204" s="566">
        <f t="shared" si="136"/>
        <v>0</v>
      </c>
      <c r="K204" s="566">
        <f t="shared" si="136"/>
        <v>0</v>
      </c>
      <c r="L204" s="566">
        <f t="shared" si="136"/>
        <v>0</v>
      </c>
      <c r="M204" s="566">
        <f t="shared" si="136"/>
        <v>0</v>
      </c>
      <c r="N204" s="566">
        <f t="shared" si="136"/>
        <v>0</v>
      </c>
      <c r="O204" s="566">
        <f t="shared" si="136"/>
        <v>0</v>
      </c>
      <c r="P204" s="566">
        <f t="shared" si="136"/>
        <v>0</v>
      </c>
      <c r="Q204" s="566">
        <f t="shared" si="136"/>
        <v>0</v>
      </c>
      <c r="R204" s="566">
        <f t="shared" si="136"/>
        <v>0</v>
      </c>
      <c r="S204" s="566">
        <f t="shared" si="136"/>
        <v>22204260</v>
      </c>
      <c r="T204" s="566">
        <f t="shared" si="136"/>
        <v>19659740</v>
      </c>
      <c r="U204" s="566">
        <f t="shared" si="136"/>
        <v>0</v>
      </c>
      <c r="V204" s="566">
        <f t="shared" si="136"/>
        <v>0</v>
      </c>
      <c r="W204" s="566">
        <f t="shared" si="136"/>
        <v>0</v>
      </c>
      <c r="X204" s="3914"/>
      <c r="Y204" s="744"/>
      <c r="Z204" s="468"/>
    </row>
    <row r="205" spans="1:26" s="3214" customFormat="1" ht="15" hidden="1" customHeight="1">
      <c r="A205" s="3372"/>
      <c r="B205" s="811" t="s">
        <v>32</v>
      </c>
      <c r="C205" s="3968"/>
      <c r="D205" s="537">
        <f>SUM(M205:W205)</f>
        <v>41864000</v>
      </c>
      <c r="E205" s="537">
        <f t="shared" ref="E205:W205" si="137">+E206+E207</f>
        <v>0</v>
      </c>
      <c r="F205" s="537">
        <f t="shared" si="137"/>
        <v>0</v>
      </c>
      <c r="G205" s="537">
        <f t="shared" si="137"/>
        <v>0</v>
      </c>
      <c r="H205" s="537">
        <f t="shared" si="137"/>
        <v>0</v>
      </c>
      <c r="I205" s="537">
        <f t="shared" si="137"/>
        <v>0</v>
      </c>
      <c r="J205" s="537">
        <f t="shared" si="137"/>
        <v>0</v>
      </c>
      <c r="K205" s="537">
        <f t="shared" si="137"/>
        <v>0</v>
      </c>
      <c r="L205" s="537">
        <f t="shared" si="137"/>
        <v>0</v>
      </c>
      <c r="M205" s="537">
        <f t="shared" si="137"/>
        <v>0</v>
      </c>
      <c r="N205" s="537">
        <f t="shared" si="137"/>
        <v>0</v>
      </c>
      <c r="O205" s="537">
        <f t="shared" si="137"/>
        <v>0</v>
      </c>
      <c r="P205" s="537">
        <f t="shared" si="137"/>
        <v>0</v>
      </c>
      <c r="Q205" s="537">
        <f t="shared" si="137"/>
        <v>0</v>
      </c>
      <c r="R205" s="537">
        <f>+R206+R207</f>
        <v>0</v>
      </c>
      <c r="S205" s="537">
        <f t="shared" si="137"/>
        <v>22204260</v>
      </c>
      <c r="T205" s="537">
        <f t="shared" si="137"/>
        <v>19659740</v>
      </c>
      <c r="U205" s="537">
        <f t="shared" si="137"/>
        <v>0</v>
      </c>
      <c r="V205" s="537">
        <f t="shared" si="137"/>
        <v>0</v>
      </c>
      <c r="W205" s="537">
        <f t="shared" si="137"/>
        <v>0</v>
      </c>
      <c r="X205" s="3914"/>
      <c r="Y205" s="744"/>
      <c r="Z205" s="468"/>
    </row>
    <row r="206" spans="1:26" s="3214" customFormat="1" ht="27.75" hidden="1" customHeight="1">
      <c r="A206" s="3372"/>
      <c r="B206" s="743" t="s">
        <v>349</v>
      </c>
      <c r="C206" s="3387" t="s">
        <v>314</v>
      </c>
      <c r="D206" s="3388">
        <f>SUM(M206:W206)</f>
        <v>0</v>
      </c>
      <c r="E206" s="3389"/>
      <c r="F206" s="3390"/>
      <c r="G206" s="3390"/>
      <c r="H206" s="3390"/>
      <c r="I206" s="3391"/>
      <c r="J206" s="3391"/>
      <c r="K206" s="3391"/>
      <c r="L206" s="3391"/>
      <c r="M206" s="3392">
        <v>0</v>
      </c>
      <c r="N206" s="3393"/>
      <c r="O206" s="3388">
        <v>0</v>
      </c>
      <c r="P206" s="3388">
        <v>0</v>
      </c>
      <c r="Q206" s="3388">
        <v>0</v>
      </c>
      <c r="R206" s="3388">
        <v>0</v>
      </c>
      <c r="S206" s="3388">
        <f>915000+624800-1539800</f>
        <v>0</v>
      </c>
      <c r="T206" s="3388">
        <f>511000+625000-1136000</f>
        <v>0</v>
      </c>
      <c r="U206" s="3388">
        <v>0</v>
      </c>
      <c r="V206" s="3388">
        <v>0</v>
      </c>
      <c r="W206" s="3388">
        <v>0</v>
      </c>
      <c r="X206" s="3914"/>
      <c r="Y206" s="3394"/>
      <c r="Z206" s="468"/>
    </row>
    <row r="207" spans="1:26" s="3214" customFormat="1" ht="21.75" hidden="1" customHeight="1" thickBot="1">
      <c r="A207" s="3372"/>
      <c r="B207" s="1599" t="s">
        <v>360</v>
      </c>
      <c r="C207" s="3387" t="s">
        <v>276</v>
      </c>
      <c r="D207" s="3395">
        <f>SUM(M207:W207)</f>
        <v>41864000</v>
      </c>
      <c r="E207" s="3389"/>
      <c r="F207" s="3390"/>
      <c r="G207" s="3390"/>
      <c r="H207" s="3390"/>
      <c r="I207" s="3391"/>
      <c r="J207" s="3391"/>
      <c r="K207" s="3391"/>
      <c r="L207" s="3391"/>
      <c r="M207" s="3396">
        <v>0</v>
      </c>
      <c r="N207" s="3397"/>
      <c r="O207" s="3395">
        <v>0</v>
      </c>
      <c r="P207" s="3395">
        <v>0</v>
      </c>
      <c r="Q207" s="3395">
        <v>0</v>
      </c>
      <c r="R207" s="3395">
        <f>2328000-2328000</f>
        <v>0</v>
      </c>
      <c r="S207" s="3395">
        <f>27936000-5731740</f>
        <v>22204260</v>
      </c>
      <c r="T207" s="3395">
        <f>11600000+8059740</f>
        <v>19659740</v>
      </c>
      <c r="U207" s="3395">
        <v>0</v>
      </c>
      <c r="V207" s="3395">
        <v>0</v>
      </c>
      <c r="W207" s="3395">
        <v>0</v>
      </c>
      <c r="X207" s="3915"/>
      <c r="Y207" s="3394"/>
      <c r="Z207" s="468"/>
    </row>
    <row r="208" spans="1:26" s="3214" customFormat="1" ht="27.75" customHeight="1">
      <c r="A208" s="3929" t="s">
        <v>102</v>
      </c>
      <c r="B208" s="214" t="s">
        <v>379</v>
      </c>
      <c r="C208" s="215" t="s">
        <v>125</v>
      </c>
      <c r="D208" s="614"/>
      <c r="E208" s="614"/>
      <c r="F208" s="615"/>
      <c r="G208" s="615"/>
      <c r="H208" s="616"/>
      <c r="I208" s="617"/>
      <c r="J208" s="617"/>
      <c r="K208" s="618"/>
      <c r="L208" s="618"/>
      <c r="M208" s="234"/>
      <c r="N208" s="234"/>
      <c r="O208" s="234"/>
      <c r="P208" s="614"/>
      <c r="Q208" s="614"/>
      <c r="R208" s="614"/>
      <c r="S208" s="234"/>
      <c r="T208" s="234"/>
      <c r="U208" s="234"/>
      <c r="V208" s="234"/>
      <c r="W208" s="347"/>
      <c r="X208" s="501"/>
      <c r="Y208" s="3949" t="s">
        <v>431</v>
      </c>
      <c r="Z208" s="468"/>
    </row>
    <row r="209" spans="1:26" s="3214" customFormat="1">
      <c r="A209" s="3930"/>
      <c r="B209" s="25" t="s">
        <v>21</v>
      </c>
      <c r="C209" s="799"/>
      <c r="D209" s="556">
        <f>+D210+D214</f>
        <v>5491442</v>
      </c>
      <c r="E209" s="556">
        <f t="shared" ref="E209:Q209" si="138">+E210+E214</f>
        <v>0</v>
      </c>
      <c r="F209" s="800">
        <f t="shared" si="138"/>
        <v>0</v>
      </c>
      <c r="G209" s="800">
        <f t="shared" si="138"/>
        <v>0</v>
      </c>
      <c r="H209" s="800">
        <f t="shared" si="138"/>
        <v>0</v>
      </c>
      <c r="I209" s="801">
        <f t="shared" si="138"/>
        <v>0</v>
      </c>
      <c r="J209" s="801">
        <f t="shared" si="138"/>
        <v>0</v>
      </c>
      <c r="K209" s="801">
        <f t="shared" si="138"/>
        <v>0</v>
      </c>
      <c r="L209" s="801">
        <f t="shared" si="138"/>
        <v>0</v>
      </c>
      <c r="M209" s="556">
        <f t="shared" si="138"/>
        <v>0</v>
      </c>
      <c r="N209" s="556">
        <f t="shared" si="138"/>
        <v>0</v>
      </c>
      <c r="O209" s="556">
        <f t="shared" si="138"/>
        <v>0</v>
      </c>
      <c r="P209" s="556">
        <f t="shared" si="138"/>
        <v>131150</v>
      </c>
      <c r="Q209" s="556">
        <f t="shared" si="138"/>
        <v>4439839</v>
      </c>
      <c r="R209" s="556">
        <f>+R210+R214</f>
        <v>920453</v>
      </c>
      <c r="S209" s="502"/>
      <c r="T209" s="502"/>
      <c r="U209" s="502"/>
      <c r="V209" s="502"/>
      <c r="W209" s="502"/>
      <c r="X209" s="802">
        <f>X210+X214</f>
        <v>4905086</v>
      </c>
      <c r="Y209" s="3950"/>
      <c r="Z209" s="468"/>
    </row>
    <row r="210" spans="1:26" s="3214" customFormat="1">
      <c r="A210" s="3930"/>
      <c r="B210" s="217" t="s">
        <v>35</v>
      </c>
      <c r="C210" s="3952" t="s">
        <v>257</v>
      </c>
      <c r="D210" s="506">
        <f>SUM(D211:D213)</f>
        <v>1295641</v>
      </c>
      <c r="E210" s="506">
        <f t="shared" ref="E210:R210" si="139">SUM(E211:E213)</f>
        <v>0</v>
      </c>
      <c r="F210" s="506">
        <f t="shared" si="139"/>
        <v>0</v>
      </c>
      <c r="G210" s="506">
        <f t="shared" si="139"/>
        <v>0</v>
      </c>
      <c r="H210" s="506">
        <f t="shared" si="139"/>
        <v>0</v>
      </c>
      <c r="I210" s="506">
        <f t="shared" si="139"/>
        <v>0</v>
      </c>
      <c r="J210" s="506">
        <f t="shared" si="139"/>
        <v>0</v>
      </c>
      <c r="K210" s="506">
        <f t="shared" si="139"/>
        <v>0</v>
      </c>
      <c r="L210" s="506">
        <f t="shared" si="139"/>
        <v>0</v>
      </c>
      <c r="M210" s="506">
        <f t="shared" si="139"/>
        <v>0</v>
      </c>
      <c r="N210" s="506">
        <f t="shared" si="139"/>
        <v>0</v>
      </c>
      <c r="O210" s="506">
        <f t="shared" si="139"/>
        <v>0</v>
      </c>
      <c r="P210" s="506">
        <f t="shared" si="139"/>
        <v>28691</v>
      </c>
      <c r="Q210" s="506">
        <f t="shared" si="139"/>
        <v>968171</v>
      </c>
      <c r="R210" s="506">
        <f t="shared" si="139"/>
        <v>298779</v>
      </c>
      <c r="S210" s="506"/>
      <c r="T210" s="506"/>
      <c r="U210" s="506"/>
      <c r="V210" s="506"/>
      <c r="W210" s="506"/>
      <c r="X210" s="509">
        <f>SUM(X211:X212)</f>
        <v>811744</v>
      </c>
      <c r="Y210" s="3950"/>
      <c r="Z210" s="468"/>
    </row>
    <row r="211" spans="1:26" s="3214" customFormat="1">
      <c r="A211" s="3930"/>
      <c r="B211" s="218" t="s">
        <v>23</v>
      </c>
      <c r="C211" s="3954"/>
      <c r="D211" s="325">
        <f>M211+P211+Q211+R211+S211+T211+U211+V211+W211</f>
        <v>100000</v>
      </c>
      <c r="E211" s="683"/>
      <c r="F211" s="684"/>
      <c r="G211" s="684"/>
      <c r="H211" s="684"/>
      <c r="I211" s="685"/>
      <c r="J211" s="685"/>
      <c r="K211" s="685"/>
      <c r="L211" s="685"/>
      <c r="M211" s="387">
        <f>+E211+I211+J211+K211+L211+N211+O211</f>
        <v>0</v>
      </c>
      <c r="N211" s="683"/>
      <c r="O211" s="683"/>
      <c r="P211" s="3398">
        <f>37500-24987-1902</f>
        <v>10611</v>
      </c>
      <c r="Q211" s="3398">
        <f>50000+1902</f>
        <v>51902</v>
      </c>
      <c r="R211" s="3398">
        <f>12500+24987</f>
        <v>37487</v>
      </c>
      <c r="S211" s="803"/>
      <c r="T211" s="803"/>
      <c r="U211" s="803"/>
      <c r="V211" s="803"/>
      <c r="W211" s="803"/>
      <c r="X211" s="867">
        <f>SUM(Q211:W211)</f>
        <v>89389</v>
      </c>
      <c r="Y211" s="3950"/>
      <c r="Z211" s="468"/>
    </row>
    <row r="212" spans="1:26" s="3214" customFormat="1">
      <c r="A212" s="3930"/>
      <c r="B212" s="218" t="s">
        <v>24</v>
      </c>
      <c r="C212" s="3862"/>
      <c r="D212" s="325">
        <f>M212+P212+Q212+R212+S212+T212+U212+V212+W212</f>
        <v>740435</v>
      </c>
      <c r="E212" s="512">
        <v>0</v>
      </c>
      <c r="F212" s="513"/>
      <c r="G212" s="513"/>
      <c r="H212" s="513">
        <v>0</v>
      </c>
      <c r="I212" s="514"/>
      <c r="J212" s="514"/>
      <c r="K212" s="514"/>
      <c r="L212" s="514"/>
      <c r="M212" s="387">
        <f>+E212+I212+J212+K212+L212+N212+O212</f>
        <v>0</v>
      </c>
      <c r="N212" s="512">
        <v>0</v>
      </c>
      <c r="O212" s="512">
        <v>0</v>
      </c>
      <c r="P212" s="219">
        <f>165740-143029-4631</f>
        <v>18080</v>
      </c>
      <c r="Q212" s="219">
        <f>412301+81979+118367</f>
        <v>612647</v>
      </c>
      <c r="R212" s="219">
        <f>163259+60000-113551</f>
        <v>109708</v>
      </c>
      <c r="S212" s="219"/>
      <c r="T212" s="219"/>
      <c r="U212" s="219"/>
      <c r="V212" s="219"/>
      <c r="W212" s="219"/>
      <c r="X212" s="867">
        <f>SUM(Q212:W212)</f>
        <v>722355</v>
      </c>
      <c r="Y212" s="3950"/>
      <c r="Z212" s="468"/>
    </row>
    <row r="213" spans="1:26" s="3214" customFormat="1">
      <c r="A213" s="3930"/>
      <c r="B213" s="739" t="s">
        <v>43</v>
      </c>
      <c r="C213" s="3862"/>
      <c r="D213" s="325">
        <f>M213+P213+Q213+R213+S213+T213+U213+V213+W213</f>
        <v>455206</v>
      </c>
      <c r="E213" s="687"/>
      <c r="F213" s="688"/>
      <c r="G213" s="688"/>
      <c r="H213" s="688"/>
      <c r="I213" s="689"/>
      <c r="J213" s="689"/>
      <c r="K213" s="689"/>
      <c r="L213" s="689"/>
      <c r="M213" s="387">
        <f>+E213+I213+J213+K213+L213+N213+O213</f>
        <v>0</v>
      </c>
      <c r="N213" s="687"/>
      <c r="O213" s="687"/>
      <c r="P213" s="219">
        <f>88889-88889</f>
        <v>0</v>
      </c>
      <c r="Q213" s="219">
        <f>255556+48066</f>
        <v>303622</v>
      </c>
      <c r="R213" s="219">
        <f>110761+40823</f>
        <v>151584</v>
      </c>
      <c r="S213" s="219"/>
      <c r="T213" s="219"/>
      <c r="U213" s="219"/>
      <c r="V213" s="219"/>
      <c r="W213" s="219"/>
      <c r="X213" s="804" t="s">
        <v>75</v>
      </c>
      <c r="Y213" s="3950"/>
      <c r="Z213" s="468"/>
    </row>
    <row r="214" spans="1:26" s="3214" customFormat="1">
      <c r="A214" s="3930"/>
      <c r="B214" s="104" t="s">
        <v>29</v>
      </c>
      <c r="C214" s="3862"/>
      <c r="D214" s="515">
        <f>+D215</f>
        <v>4195801</v>
      </c>
      <c r="E214" s="515">
        <f t="shared" ref="E214:R214" si="140">E215</f>
        <v>0</v>
      </c>
      <c r="F214" s="507">
        <f t="shared" si="140"/>
        <v>0</v>
      </c>
      <c r="G214" s="507">
        <f t="shared" si="140"/>
        <v>0</v>
      </c>
      <c r="H214" s="507">
        <f t="shared" si="140"/>
        <v>0</v>
      </c>
      <c r="I214" s="508">
        <f t="shared" si="140"/>
        <v>0</v>
      </c>
      <c r="J214" s="508">
        <f t="shared" si="140"/>
        <v>0</v>
      </c>
      <c r="K214" s="508">
        <f t="shared" si="140"/>
        <v>0</v>
      </c>
      <c r="L214" s="508">
        <f t="shared" si="140"/>
        <v>0</v>
      </c>
      <c r="M214" s="515">
        <f t="shared" si="140"/>
        <v>0</v>
      </c>
      <c r="N214" s="515">
        <f t="shared" si="140"/>
        <v>0</v>
      </c>
      <c r="O214" s="515">
        <f t="shared" si="140"/>
        <v>0</v>
      </c>
      <c r="P214" s="515">
        <f t="shared" si="140"/>
        <v>102459</v>
      </c>
      <c r="Q214" s="515">
        <f t="shared" si="140"/>
        <v>3471668</v>
      </c>
      <c r="R214" s="515">
        <f t="shared" si="140"/>
        <v>621674</v>
      </c>
      <c r="S214" s="515"/>
      <c r="T214" s="515"/>
      <c r="U214" s="515"/>
      <c r="V214" s="515"/>
      <c r="W214" s="515"/>
      <c r="X214" s="509">
        <f>+X215</f>
        <v>4093342</v>
      </c>
      <c r="Y214" s="3950"/>
      <c r="Z214" s="468"/>
    </row>
    <row r="215" spans="1:26" s="3214" customFormat="1">
      <c r="A215" s="3930"/>
      <c r="B215" s="516" t="s">
        <v>32</v>
      </c>
      <c r="C215" s="3883"/>
      <c r="D215" s="325">
        <f>M215+P215+Q215+R215+S215+T215+U215+V215+W215</f>
        <v>4195801</v>
      </c>
      <c r="E215" s="517">
        <v>0</v>
      </c>
      <c r="F215" s="518"/>
      <c r="G215" s="518"/>
      <c r="H215" s="518">
        <v>0</v>
      </c>
      <c r="I215" s="519"/>
      <c r="J215" s="519"/>
      <c r="K215" s="519"/>
      <c r="L215" s="519"/>
      <c r="M215" s="387">
        <f>+E215+I215+J215+K215+L215+N215+O215</f>
        <v>0</v>
      </c>
      <c r="N215" s="517">
        <v>0</v>
      </c>
      <c r="O215" s="517">
        <v>0</v>
      </c>
      <c r="P215" s="175">
        <f>939192-810496-26237</f>
        <v>102459</v>
      </c>
      <c r="Q215" s="175">
        <f>2336375+464546+670747</f>
        <v>3471668</v>
      </c>
      <c r="R215" s="175">
        <f>925133+340000-643459</f>
        <v>621674</v>
      </c>
      <c r="S215" s="175"/>
      <c r="T215" s="175"/>
      <c r="U215" s="175"/>
      <c r="V215" s="175"/>
      <c r="W215" s="175"/>
      <c r="X215" s="867">
        <f>SUM(Q215:W215)</f>
        <v>4093342</v>
      </c>
      <c r="Y215" s="3950"/>
      <c r="Z215" s="468"/>
    </row>
    <row r="216" spans="1:26" s="3214" customFormat="1">
      <c r="A216" s="3637"/>
      <c r="B216" s="25" t="s">
        <v>33</v>
      </c>
      <c r="C216" s="220"/>
      <c r="D216" s="502">
        <f>+D217+D219</f>
        <v>4936236</v>
      </c>
      <c r="E216" s="502">
        <f t="shared" ref="E216:R216" si="141">E217+E219</f>
        <v>0</v>
      </c>
      <c r="F216" s="503">
        <f t="shared" si="141"/>
        <v>0</v>
      </c>
      <c r="G216" s="503">
        <f t="shared" si="141"/>
        <v>0</v>
      </c>
      <c r="H216" s="503">
        <f t="shared" si="141"/>
        <v>0</v>
      </c>
      <c r="I216" s="504">
        <f t="shared" si="141"/>
        <v>0</v>
      </c>
      <c r="J216" s="504">
        <f t="shared" si="141"/>
        <v>0</v>
      </c>
      <c r="K216" s="504">
        <f t="shared" si="141"/>
        <v>0</v>
      </c>
      <c r="L216" s="504">
        <f t="shared" si="141"/>
        <v>0</v>
      </c>
      <c r="M216" s="502">
        <f t="shared" si="141"/>
        <v>0</v>
      </c>
      <c r="N216" s="502">
        <f t="shared" si="141"/>
        <v>0</v>
      </c>
      <c r="O216" s="502">
        <f t="shared" si="141"/>
        <v>0</v>
      </c>
      <c r="P216" s="502">
        <f t="shared" si="141"/>
        <v>120539</v>
      </c>
      <c r="Q216" s="502">
        <f t="shared" si="141"/>
        <v>4084315</v>
      </c>
      <c r="R216" s="502">
        <f t="shared" si="141"/>
        <v>731382</v>
      </c>
      <c r="S216" s="528"/>
      <c r="T216" s="502"/>
      <c r="U216" s="502"/>
      <c r="V216" s="502"/>
      <c r="W216" s="502"/>
      <c r="X216" s="3953" t="s">
        <v>75</v>
      </c>
      <c r="Y216" s="3950"/>
      <c r="Z216" s="468"/>
    </row>
    <row r="217" spans="1:26" s="3214" customFormat="1">
      <c r="A217" s="3637"/>
      <c r="B217" s="221" t="s">
        <v>35</v>
      </c>
      <c r="C217" s="3952" t="s">
        <v>257</v>
      </c>
      <c r="D217" s="506">
        <f>+D218</f>
        <v>740435</v>
      </c>
      <c r="E217" s="506">
        <f t="shared" ref="E217:R217" si="142">E218</f>
        <v>0</v>
      </c>
      <c r="F217" s="507">
        <f t="shared" si="142"/>
        <v>0</v>
      </c>
      <c r="G217" s="507">
        <f t="shared" si="142"/>
        <v>0</v>
      </c>
      <c r="H217" s="507">
        <f t="shared" si="142"/>
        <v>0</v>
      </c>
      <c r="I217" s="508">
        <f t="shared" si="142"/>
        <v>0</v>
      </c>
      <c r="J217" s="508">
        <f t="shared" si="142"/>
        <v>0</v>
      </c>
      <c r="K217" s="508">
        <f t="shared" si="142"/>
        <v>0</v>
      </c>
      <c r="L217" s="508">
        <f t="shared" si="142"/>
        <v>0</v>
      </c>
      <c r="M217" s="506">
        <f t="shared" si="142"/>
        <v>0</v>
      </c>
      <c r="N217" s="506">
        <f t="shared" si="142"/>
        <v>0</v>
      </c>
      <c r="O217" s="506">
        <f t="shared" si="142"/>
        <v>0</v>
      </c>
      <c r="P217" s="506">
        <f t="shared" si="142"/>
        <v>18080</v>
      </c>
      <c r="Q217" s="506">
        <f t="shared" si="142"/>
        <v>612647</v>
      </c>
      <c r="R217" s="506">
        <f t="shared" si="142"/>
        <v>109708</v>
      </c>
      <c r="S217" s="529"/>
      <c r="T217" s="506"/>
      <c r="U217" s="506"/>
      <c r="V217" s="506"/>
      <c r="W217" s="506"/>
      <c r="X217" s="3914"/>
      <c r="Y217" s="3950"/>
      <c r="Z217" s="468"/>
    </row>
    <row r="218" spans="1:26" s="3214" customFormat="1">
      <c r="A218" s="3637"/>
      <c r="B218" s="222" t="s">
        <v>24</v>
      </c>
      <c r="C218" s="3862"/>
      <c r="D218" s="325">
        <f>M218+P218+Q218+R218+S218+T218+U218+V218+W218</f>
        <v>740435</v>
      </c>
      <c r="E218" s="520">
        <v>0</v>
      </c>
      <c r="F218" s="521"/>
      <c r="G218" s="521"/>
      <c r="H218" s="521"/>
      <c r="I218" s="522"/>
      <c r="J218" s="522"/>
      <c r="K218" s="522"/>
      <c r="L218" s="522"/>
      <c r="M218" s="387">
        <f>+E218+I218+J218+K218+L218+N218+O218</f>
        <v>0</v>
      </c>
      <c r="N218" s="520">
        <v>0</v>
      </c>
      <c r="O218" s="520">
        <v>0</v>
      </c>
      <c r="P218" s="1344">
        <f>165740-143029-4631</f>
        <v>18080</v>
      </c>
      <c r="Q218" s="1344">
        <f>412301+81979+118367</f>
        <v>612647</v>
      </c>
      <c r="R218" s="1344">
        <f>163259+60000-113551</f>
        <v>109708</v>
      </c>
      <c r="S218" s="520"/>
      <c r="T218" s="520"/>
      <c r="U218" s="520"/>
      <c r="V218" s="520"/>
      <c r="W218" s="520"/>
      <c r="X218" s="3914"/>
      <c r="Y218" s="3950"/>
      <c r="Z218" s="468"/>
    </row>
    <row r="219" spans="1:26" s="3214" customFormat="1">
      <c r="A219" s="3637"/>
      <c r="B219" s="523" t="s">
        <v>29</v>
      </c>
      <c r="C219" s="3862"/>
      <c r="D219" s="515">
        <f>+D220</f>
        <v>4195801</v>
      </c>
      <c r="E219" s="515">
        <f t="shared" ref="E219:R219" si="143">E220</f>
        <v>0</v>
      </c>
      <c r="F219" s="507">
        <f t="shared" si="143"/>
        <v>0</v>
      </c>
      <c r="G219" s="507">
        <f t="shared" si="143"/>
        <v>0</v>
      </c>
      <c r="H219" s="507">
        <f t="shared" si="143"/>
        <v>0</v>
      </c>
      <c r="I219" s="508">
        <f t="shared" si="143"/>
        <v>0</v>
      </c>
      <c r="J219" s="508">
        <f t="shared" si="143"/>
        <v>0</v>
      </c>
      <c r="K219" s="508">
        <f t="shared" si="143"/>
        <v>0</v>
      </c>
      <c r="L219" s="508">
        <f t="shared" si="143"/>
        <v>0</v>
      </c>
      <c r="M219" s="515">
        <f t="shared" si="143"/>
        <v>0</v>
      </c>
      <c r="N219" s="515">
        <f t="shared" si="143"/>
        <v>0</v>
      </c>
      <c r="O219" s="515">
        <f t="shared" si="143"/>
        <v>0</v>
      </c>
      <c r="P219" s="515">
        <f t="shared" si="143"/>
        <v>102459</v>
      </c>
      <c r="Q219" s="515">
        <f t="shared" si="143"/>
        <v>3471668</v>
      </c>
      <c r="R219" s="515">
        <f t="shared" si="143"/>
        <v>621674</v>
      </c>
      <c r="S219" s="530"/>
      <c r="T219" s="515"/>
      <c r="U219" s="515"/>
      <c r="V219" s="515"/>
      <c r="W219" s="515"/>
      <c r="X219" s="3914"/>
      <c r="Y219" s="3950"/>
      <c r="Z219" s="468"/>
    </row>
    <row r="220" spans="1:26" s="3214" customFormat="1" ht="13.5" thickBot="1">
      <c r="A220" s="3638"/>
      <c r="B220" s="524" t="s">
        <v>32</v>
      </c>
      <c r="C220" s="3905"/>
      <c r="D220" s="325">
        <f>M220+P220+Q220+R220+S220+T220+U220+V220+W220</f>
        <v>4195801</v>
      </c>
      <c r="E220" s="224">
        <v>0</v>
      </c>
      <c r="F220" s="525"/>
      <c r="G220" s="525"/>
      <c r="H220" s="525">
        <v>0</v>
      </c>
      <c r="I220" s="526"/>
      <c r="J220" s="526"/>
      <c r="K220" s="526"/>
      <c r="L220" s="526"/>
      <c r="M220" s="387">
        <f>+E220+I220+J220+K220+L220+N220+O220</f>
        <v>0</v>
      </c>
      <c r="N220" s="224">
        <v>0</v>
      </c>
      <c r="O220" s="224">
        <v>0</v>
      </c>
      <c r="P220" s="1310">
        <f>939192-810496-26237</f>
        <v>102459</v>
      </c>
      <c r="Q220" s="1310">
        <f>2336375+464546+670747</f>
        <v>3471668</v>
      </c>
      <c r="R220" s="1310">
        <f>925133+340000-643459</f>
        <v>621674</v>
      </c>
      <c r="S220" s="224"/>
      <c r="T220" s="224"/>
      <c r="U220" s="224"/>
      <c r="V220" s="224"/>
      <c r="W220" s="224"/>
      <c r="X220" s="3915"/>
      <c r="Y220" s="3951"/>
      <c r="Z220" s="468"/>
    </row>
    <row r="221" spans="1:26" s="3214" customFormat="1" ht="36.75" customHeight="1">
      <c r="A221" s="3929" t="s">
        <v>103</v>
      </c>
      <c r="B221" s="214" t="s">
        <v>474</v>
      </c>
      <c r="C221" s="215" t="s">
        <v>95</v>
      </c>
      <c r="D221" s="236"/>
      <c r="E221" s="614"/>
      <c r="F221" s="615"/>
      <c r="G221" s="615"/>
      <c r="H221" s="616"/>
      <c r="I221" s="617"/>
      <c r="J221" s="617"/>
      <c r="K221" s="618"/>
      <c r="L221" s="618"/>
      <c r="M221" s="234"/>
      <c r="N221" s="234"/>
      <c r="O221" s="234"/>
      <c r="P221" s="234"/>
      <c r="Q221" s="234"/>
      <c r="R221" s="234"/>
      <c r="S221" s="234"/>
      <c r="T221" s="234"/>
      <c r="U221" s="234"/>
      <c r="V221" s="234"/>
      <c r="W221" s="347"/>
      <c r="X221" s="501"/>
      <c r="Y221" s="3949" t="s">
        <v>431</v>
      </c>
      <c r="Z221" s="468"/>
    </row>
    <row r="222" spans="1:26" s="3214" customFormat="1">
      <c r="A222" s="3930"/>
      <c r="B222" s="25" t="s">
        <v>21</v>
      </c>
      <c r="C222" s="799"/>
      <c r="D222" s="556">
        <f t="shared" ref="D222:R222" si="144">+D223+D225</f>
        <v>5764</v>
      </c>
      <c r="E222" s="556">
        <f t="shared" si="144"/>
        <v>0</v>
      </c>
      <c r="F222" s="800">
        <f t="shared" si="144"/>
        <v>0</v>
      </c>
      <c r="G222" s="800">
        <f t="shared" si="144"/>
        <v>0</v>
      </c>
      <c r="H222" s="800">
        <f t="shared" si="144"/>
        <v>0</v>
      </c>
      <c r="I222" s="801">
        <f t="shared" si="144"/>
        <v>0</v>
      </c>
      <c r="J222" s="801">
        <f t="shared" si="144"/>
        <v>0</v>
      </c>
      <c r="K222" s="801">
        <f t="shared" si="144"/>
        <v>0</v>
      </c>
      <c r="L222" s="801">
        <f t="shared" si="144"/>
        <v>0</v>
      </c>
      <c r="M222" s="556">
        <f t="shared" si="144"/>
        <v>0</v>
      </c>
      <c r="N222" s="556">
        <f t="shared" si="144"/>
        <v>0</v>
      </c>
      <c r="O222" s="556">
        <f t="shared" si="144"/>
        <v>0</v>
      </c>
      <c r="P222" s="556">
        <f t="shared" si="144"/>
        <v>5764</v>
      </c>
      <c r="Q222" s="556">
        <f t="shared" si="144"/>
        <v>0</v>
      </c>
      <c r="R222" s="556">
        <f t="shared" si="144"/>
        <v>0</v>
      </c>
      <c r="S222" s="502"/>
      <c r="T222" s="502"/>
      <c r="U222" s="502"/>
      <c r="V222" s="502"/>
      <c r="W222" s="502"/>
      <c r="X222" s="802">
        <f>X223+X225</f>
        <v>0</v>
      </c>
      <c r="Y222" s="3950"/>
      <c r="Z222" s="468"/>
    </row>
    <row r="223" spans="1:26" s="3214" customFormat="1">
      <c r="A223" s="3930"/>
      <c r="B223" s="217" t="s">
        <v>35</v>
      </c>
      <c r="C223" s="3952" t="s">
        <v>257</v>
      </c>
      <c r="D223" s="506">
        <f t="shared" ref="D223:R223" si="145">SUM(D224:D224)</f>
        <v>865</v>
      </c>
      <c r="E223" s="506">
        <f t="shared" si="145"/>
        <v>0</v>
      </c>
      <c r="F223" s="506">
        <f t="shared" si="145"/>
        <v>0</v>
      </c>
      <c r="G223" s="506">
        <f t="shared" si="145"/>
        <v>0</v>
      </c>
      <c r="H223" s="506">
        <f t="shared" si="145"/>
        <v>0</v>
      </c>
      <c r="I223" s="506">
        <f t="shared" si="145"/>
        <v>0</v>
      </c>
      <c r="J223" s="506">
        <f t="shared" si="145"/>
        <v>0</v>
      </c>
      <c r="K223" s="506">
        <f t="shared" si="145"/>
        <v>0</v>
      </c>
      <c r="L223" s="506">
        <f t="shared" si="145"/>
        <v>0</v>
      </c>
      <c r="M223" s="506">
        <f t="shared" si="145"/>
        <v>0</v>
      </c>
      <c r="N223" s="506">
        <f t="shared" si="145"/>
        <v>0</v>
      </c>
      <c r="O223" s="506">
        <f t="shared" si="145"/>
        <v>0</v>
      </c>
      <c r="P223" s="506">
        <f t="shared" si="145"/>
        <v>865</v>
      </c>
      <c r="Q223" s="506">
        <f t="shared" si="145"/>
        <v>0</v>
      </c>
      <c r="R223" s="506">
        <f t="shared" si="145"/>
        <v>0</v>
      </c>
      <c r="S223" s="506"/>
      <c r="T223" s="506"/>
      <c r="U223" s="506"/>
      <c r="V223" s="506"/>
      <c r="W223" s="506"/>
      <c r="X223" s="509">
        <f>SUM(X224:X224)</f>
        <v>0</v>
      </c>
      <c r="Y223" s="3950"/>
      <c r="Z223" s="468"/>
    </row>
    <row r="224" spans="1:26" s="3214" customFormat="1">
      <c r="A224" s="3930"/>
      <c r="B224" s="218" t="s">
        <v>24</v>
      </c>
      <c r="C224" s="3862"/>
      <c r="D224" s="325">
        <f>M224+P224+Q224+R224+S224+T224+U224+V224+W224</f>
        <v>865</v>
      </c>
      <c r="E224" s="512">
        <v>0</v>
      </c>
      <c r="F224" s="513"/>
      <c r="G224" s="513"/>
      <c r="H224" s="513">
        <v>0</v>
      </c>
      <c r="I224" s="514"/>
      <c r="J224" s="514"/>
      <c r="K224" s="514"/>
      <c r="L224" s="514"/>
      <c r="M224" s="387">
        <f>+E224+I224+J224+K224+L224+N224+O224</f>
        <v>0</v>
      </c>
      <c r="N224" s="512">
        <v>0</v>
      </c>
      <c r="O224" s="512">
        <v>0</v>
      </c>
      <c r="P224" s="219">
        <f>1050-185</f>
        <v>865</v>
      </c>
      <c r="Q224" s="219">
        <v>0</v>
      </c>
      <c r="R224" s="219">
        <v>0</v>
      </c>
      <c r="S224" s="219"/>
      <c r="T224" s="219"/>
      <c r="U224" s="219"/>
      <c r="V224" s="219"/>
      <c r="W224" s="219"/>
      <c r="X224" s="867">
        <f>SUM(Q224:W224)</f>
        <v>0</v>
      </c>
      <c r="Y224" s="3950"/>
      <c r="Z224" s="468"/>
    </row>
    <row r="225" spans="1:37" s="3214" customFormat="1">
      <c r="A225" s="3930"/>
      <c r="B225" s="104" t="s">
        <v>29</v>
      </c>
      <c r="C225" s="3862"/>
      <c r="D225" s="515">
        <f>+D226</f>
        <v>4899</v>
      </c>
      <c r="E225" s="515">
        <f t="shared" ref="E225:R225" si="146">E226</f>
        <v>0</v>
      </c>
      <c r="F225" s="507">
        <f t="shared" si="146"/>
        <v>0</v>
      </c>
      <c r="G225" s="507">
        <f t="shared" si="146"/>
        <v>0</v>
      </c>
      <c r="H225" s="507">
        <f t="shared" si="146"/>
        <v>0</v>
      </c>
      <c r="I225" s="508">
        <f t="shared" si="146"/>
        <v>0</v>
      </c>
      <c r="J225" s="508">
        <f t="shared" si="146"/>
        <v>0</v>
      </c>
      <c r="K225" s="508">
        <f t="shared" si="146"/>
        <v>0</v>
      </c>
      <c r="L225" s="508">
        <f t="shared" si="146"/>
        <v>0</v>
      </c>
      <c r="M225" s="515">
        <f t="shared" si="146"/>
        <v>0</v>
      </c>
      <c r="N225" s="515">
        <f t="shared" si="146"/>
        <v>0</v>
      </c>
      <c r="O225" s="515">
        <f t="shared" si="146"/>
        <v>0</v>
      </c>
      <c r="P225" s="515">
        <f t="shared" si="146"/>
        <v>4899</v>
      </c>
      <c r="Q225" s="515">
        <f t="shared" si="146"/>
        <v>0</v>
      </c>
      <c r="R225" s="515">
        <f t="shared" si="146"/>
        <v>0</v>
      </c>
      <c r="S225" s="515"/>
      <c r="T225" s="515"/>
      <c r="U225" s="515"/>
      <c r="V225" s="515"/>
      <c r="W225" s="515"/>
      <c r="X225" s="509">
        <f>+X226</f>
        <v>0</v>
      </c>
      <c r="Y225" s="3950"/>
      <c r="Z225" s="468"/>
    </row>
    <row r="226" spans="1:37" s="3214" customFormat="1">
      <c r="A226" s="3930"/>
      <c r="B226" s="516" t="s">
        <v>32</v>
      </c>
      <c r="C226" s="3883"/>
      <c r="D226" s="325">
        <f>M226+P226+Q226+R226+S226+T226+U226+V226+W226</f>
        <v>4899</v>
      </c>
      <c r="E226" s="517">
        <v>0</v>
      </c>
      <c r="F226" s="518"/>
      <c r="G226" s="518"/>
      <c r="H226" s="518">
        <v>0</v>
      </c>
      <c r="I226" s="519"/>
      <c r="J226" s="519"/>
      <c r="K226" s="519"/>
      <c r="L226" s="519"/>
      <c r="M226" s="387">
        <f>+E226+I226+J226+K226+L226+N226+O226</f>
        <v>0</v>
      </c>
      <c r="N226" s="517">
        <v>0</v>
      </c>
      <c r="O226" s="517">
        <v>0</v>
      </c>
      <c r="P226" s="175">
        <f>5950-1051</f>
        <v>4899</v>
      </c>
      <c r="Q226" s="175">
        <v>0</v>
      </c>
      <c r="R226" s="175">
        <v>0</v>
      </c>
      <c r="S226" s="175"/>
      <c r="T226" s="175"/>
      <c r="U226" s="175"/>
      <c r="V226" s="175"/>
      <c r="W226" s="175"/>
      <c r="X226" s="867">
        <f>SUM(Q226:W226)</f>
        <v>0</v>
      </c>
      <c r="Y226" s="3950"/>
      <c r="Z226" s="468"/>
    </row>
    <row r="227" spans="1:37" s="3214" customFormat="1">
      <c r="A227" s="3637"/>
      <c r="B227" s="25" t="s">
        <v>33</v>
      </c>
      <c r="C227" s="220"/>
      <c r="D227" s="502">
        <f>+D228+D230</f>
        <v>5764</v>
      </c>
      <c r="E227" s="502">
        <f t="shared" ref="E227:R227" si="147">E228+E230</f>
        <v>0</v>
      </c>
      <c r="F227" s="503">
        <f t="shared" si="147"/>
        <v>0</v>
      </c>
      <c r="G227" s="503">
        <f t="shared" si="147"/>
        <v>0</v>
      </c>
      <c r="H227" s="503">
        <f t="shared" si="147"/>
        <v>0</v>
      </c>
      <c r="I227" s="504">
        <f t="shared" si="147"/>
        <v>0</v>
      </c>
      <c r="J227" s="504">
        <f t="shared" si="147"/>
        <v>0</v>
      </c>
      <c r="K227" s="504">
        <f t="shared" si="147"/>
        <v>0</v>
      </c>
      <c r="L227" s="504">
        <f t="shared" si="147"/>
        <v>0</v>
      </c>
      <c r="M227" s="502">
        <f t="shared" si="147"/>
        <v>0</v>
      </c>
      <c r="N227" s="502">
        <f t="shared" si="147"/>
        <v>0</v>
      </c>
      <c r="O227" s="502">
        <f t="shared" si="147"/>
        <v>0</v>
      </c>
      <c r="P227" s="502">
        <f t="shared" si="147"/>
        <v>5764</v>
      </c>
      <c r="Q227" s="502">
        <f t="shared" si="147"/>
        <v>0</v>
      </c>
      <c r="R227" s="502">
        <f t="shared" si="147"/>
        <v>0</v>
      </c>
      <c r="S227" s="528"/>
      <c r="T227" s="502"/>
      <c r="U227" s="502"/>
      <c r="V227" s="502"/>
      <c r="W227" s="502"/>
      <c r="X227" s="3953" t="s">
        <v>75</v>
      </c>
      <c r="Y227" s="3950"/>
      <c r="Z227" s="468"/>
    </row>
    <row r="228" spans="1:37" s="3214" customFormat="1">
      <c r="A228" s="3637"/>
      <c r="B228" s="221" t="s">
        <v>35</v>
      </c>
      <c r="C228" s="3952" t="s">
        <v>257</v>
      </c>
      <c r="D228" s="506">
        <f>+D229</f>
        <v>865</v>
      </c>
      <c r="E228" s="506">
        <f t="shared" ref="E228:R228" si="148">E229</f>
        <v>0</v>
      </c>
      <c r="F228" s="507">
        <f t="shared" si="148"/>
        <v>0</v>
      </c>
      <c r="G228" s="507">
        <f t="shared" si="148"/>
        <v>0</v>
      </c>
      <c r="H228" s="507">
        <f t="shared" si="148"/>
        <v>0</v>
      </c>
      <c r="I228" s="508">
        <f t="shared" si="148"/>
        <v>0</v>
      </c>
      <c r="J228" s="508">
        <f t="shared" si="148"/>
        <v>0</v>
      </c>
      <c r="K228" s="508">
        <f t="shared" si="148"/>
        <v>0</v>
      </c>
      <c r="L228" s="508">
        <f t="shared" si="148"/>
        <v>0</v>
      </c>
      <c r="M228" s="506">
        <f t="shared" si="148"/>
        <v>0</v>
      </c>
      <c r="N228" s="506">
        <f t="shared" si="148"/>
        <v>0</v>
      </c>
      <c r="O228" s="506">
        <f t="shared" si="148"/>
        <v>0</v>
      </c>
      <c r="P228" s="506">
        <f t="shared" si="148"/>
        <v>865</v>
      </c>
      <c r="Q228" s="506">
        <f t="shared" si="148"/>
        <v>0</v>
      </c>
      <c r="R228" s="506">
        <f t="shared" si="148"/>
        <v>0</v>
      </c>
      <c r="S228" s="529"/>
      <c r="T228" s="506"/>
      <c r="U228" s="506"/>
      <c r="V228" s="506"/>
      <c r="W228" s="506"/>
      <c r="X228" s="3914"/>
      <c r="Y228" s="3950"/>
      <c r="Z228" s="468"/>
    </row>
    <row r="229" spans="1:37" s="3214" customFormat="1">
      <c r="A229" s="3637"/>
      <c r="B229" s="222" t="s">
        <v>24</v>
      </c>
      <c r="C229" s="3862"/>
      <c r="D229" s="325">
        <f>M229+P229+Q229+R229+S229+T229+U229+V229+W229</f>
        <v>865</v>
      </c>
      <c r="E229" s="520">
        <v>0</v>
      </c>
      <c r="F229" s="521"/>
      <c r="G229" s="521"/>
      <c r="H229" s="521"/>
      <c r="I229" s="522"/>
      <c r="J229" s="522"/>
      <c r="K229" s="522"/>
      <c r="L229" s="522"/>
      <c r="M229" s="387">
        <f>+E229+I229+J229+K229+L229+N229+O229</f>
        <v>0</v>
      </c>
      <c r="N229" s="520">
        <v>0</v>
      </c>
      <c r="O229" s="520">
        <v>0</v>
      </c>
      <c r="P229" s="1344">
        <f>1050-185</f>
        <v>865</v>
      </c>
      <c r="Q229" s="520">
        <v>0</v>
      </c>
      <c r="R229" s="520">
        <v>0</v>
      </c>
      <c r="S229" s="520"/>
      <c r="T229" s="520"/>
      <c r="U229" s="520"/>
      <c r="V229" s="520"/>
      <c r="W229" s="520"/>
      <c r="X229" s="3914"/>
      <c r="Y229" s="3950"/>
      <c r="Z229" s="468"/>
    </row>
    <row r="230" spans="1:37" s="3214" customFormat="1">
      <c r="A230" s="3637"/>
      <c r="B230" s="523" t="s">
        <v>29</v>
      </c>
      <c r="C230" s="3862"/>
      <c r="D230" s="515">
        <f>+D231</f>
        <v>4899</v>
      </c>
      <c r="E230" s="515">
        <f t="shared" ref="E230:R230" si="149">E231</f>
        <v>0</v>
      </c>
      <c r="F230" s="507">
        <f t="shared" si="149"/>
        <v>0</v>
      </c>
      <c r="G230" s="507">
        <f t="shared" si="149"/>
        <v>0</v>
      </c>
      <c r="H230" s="507">
        <f t="shared" si="149"/>
        <v>0</v>
      </c>
      <c r="I230" s="508">
        <f t="shared" si="149"/>
        <v>0</v>
      </c>
      <c r="J230" s="508">
        <f t="shared" si="149"/>
        <v>0</v>
      </c>
      <c r="K230" s="508">
        <f t="shared" si="149"/>
        <v>0</v>
      </c>
      <c r="L230" s="508">
        <f t="shared" si="149"/>
        <v>0</v>
      </c>
      <c r="M230" s="515">
        <f t="shared" si="149"/>
        <v>0</v>
      </c>
      <c r="N230" s="515">
        <f t="shared" si="149"/>
        <v>0</v>
      </c>
      <c r="O230" s="515">
        <f t="shared" si="149"/>
        <v>0</v>
      </c>
      <c r="P230" s="515">
        <f t="shared" si="149"/>
        <v>4899</v>
      </c>
      <c r="Q230" s="515">
        <f t="shared" si="149"/>
        <v>0</v>
      </c>
      <c r="R230" s="515">
        <f t="shared" si="149"/>
        <v>0</v>
      </c>
      <c r="S230" s="530"/>
      <c r="T230" s="515"/>
      <c r="U230" s="515"/>
      <c r="V230" s="515"/>
      <c r="W230" s="515"/>
      <c r="X230" s="3914"/>
      <c r="Y230" s="3950"/>
      <c r="Z230" s="468"/>
    </row>
    <row r="231" spans="1:37" s="3214" customFormat="1" ht="13.5" thickBot="1">
      <c r="A231" s="3638"/>
      <c r="B231" s="524" t="s">
        <v>32</v>
      </c>
      <c r="C231" s="3905"/>
      <c r="D231" s="2214">
        <f>M231+P231+Q231+R231+S231+T231+U231+V231+W231</f>
        <v>4899</v>
      </c>
      <c r="E231" s="1310">
        <v>0</v>
      </c>
      <c r="F231" s="2181"/>
      <c r="G231" s="2181"/>
      <c r="H231" s="2181">
        <v>0</v>
      </c>
      <c r="I231" s="2182"/>
      <c r="J231" s="2182"/>
      <c r="K231" s="2182"/>
      <c r="L231" s="2182"/>
      <c r="M231" s="2215">
        <f>+E231+I231+J231+K231+L231+N231+O231</f>
        <v>0</v>
      </c>
      <c r="N231" s="224">
        <v>0</v>
      </c>
      <c r="O231" s="224">
        <v>0</v>
      </c>
      <c r="P231" s="1310">
        <f>5950-1051</f>
        <v>4899</v>
      </c>
      <c r="Q231" s="224">
        <v>0</v>
      </c>
      <c r="R231" s="224">
        <v>0</v>
      </c>
      <c r="S231" s="224"/>
      <c r="T231" s="224"/>
      <c r="U231" s="224"/>
      <c r="V231" s="224"/>
      <c r="W231" s="224"/>
      <c r="X231" s="3915"/>
      <c r="Y231" s="3951"/>
      <c r="Z231" s="468"/>
    </row>
    <row r="232" spans="1:37" s="3214" customFormat="1" ht="13.5" hidden="1" thickBot="1">
      <c r="A232" s="1092"/>
      <c r="B232" s="1093"/>
      <c r="C232" s="1094"/>
      <c r="D232" s="1095"/>
      <c r="E232" s="1096"/>
      <c r="F232" s="1097"/>
      <c r="G232" s="1097"/>
      <c r="H232" s="1097"/>
      <c r="I232" s="1098"/>
      <c r="J232" s="1098"/>
      <c r="K232" s="1098"/>
      <c r="L232" s="1098"/>
      <c r="M232" s="1095"/>
      <c r="N232" s="1096"/>
      <c r="O232" s="1096"/>
      <c r="P232" s="1096"/>
      <c r="Q232" s="1096"/>
      <c r="R232" s="1096"/>
      <c r="S232" s="1096"/>
      <c r="T232" s="1096"/>
      <c r="U232" s="1096"/>
      <c r="V232" s="1096"/>
      <c r="W232" s="1096"/>
      <c r="X232" s="1099"/>
      <c r="Y232" s="1100"/>
      <c r="Z232" s="468"/>
    </row>
    <row r="233" spans="1:37" s="459" customFormat="1" ht="15" customHeight="1" thickBot="1">
      <c r="A233" s="248" t="s">
        <v>188</v>
      </c>
      <c r="B233" s="249"/>
      <c r="C233" s="249"/>
      <c r="D233" s="249"/>
      <c r="E233" s="2469"/>
      <c r="F233" s="2470"/>
      <c r="G233" s="2470"/>
      <c r="H233" s="2470"/>
      <c r="I233" s="2471"/>
      <c r="J233" s="2471"/>
      <c r="K233" s="2471"/>
      <c r="L233" s="2471"/>
      <c r="M233" s="249"/>
      <c r="N233" s="249"/>
      <c r="O233" s="249"/>
      <c r="P233" s="249"/>
      <c r="Q233" s="249"/>
      <c r="R233" s="249"/>
      <c r="S233" s="249"/>
      <c r="T233" s="249"/>
      <c r="U233" s="249"/>
      <c r="V233" s="249"/>
      <c r="W233" s="249"/>
      <c r="X233" s="2472"/>
      <c r="Y233" s="250"/>
    </row>
    <row r="234" spans="1:37" s="3214" customFormat="1">
      <c r="A234" s="246"/>
      <c r="B234" s="287" t="s">
        <v>90</v>
      </c>
      <c r="C234" s="288"/>
      <c r="D234" s="289">
        <f>+D235+D236</f>
        <v>54353667</v>
      </c>
      <c r="E234" s="289">
        <f t="shared" ref="E234:Q234" si="150">+E235+E236</f>
        <v>0</v>
      </c>
      <c r="F234" s="567">
        <f t="shared" si="150"/>
        <v>0</v>
      </c>
      <c r="G234" s="567">
        <f t="shared" si="150"/>
        <v>0</v>
      </c>
      <c r="H234" s="567">
        <f t="shared" si="150"/>
        <v>0</v>
      </c>
      <c r="I234" s="568">
        <f t="shared" si="150"/>
        <v>156327</v>
      </c>
      <c r="J234" s="568">
        <f t="shared" si="150"/>
        <v>34555</v>
      </c>
      <c r="K234" s="568">
        <f t="shared" si="150"/>
        <v>6883394</v>
      </c>
      <c r="L234" s="568">
        <f t="shared" si="150"/>
        <v>4899792</v>
      </c>
      <c r="M234" s="289">
        <f>+M235+M236</f>
        <v>23850781</v>
      </c>
      <c r="N234" s="289">
        <f t="shared" si="150"/>
        <v>5739798</v>
      </c>
      <c r="O234" s="289">
        <f t="shared" si="150"/>
        <v>6136915</v>
      </c>
      <c r="P234" s="289">
        <f t="shared" si="150"/>
        <v>9219481</v>
      </c>
      <c r="Q234" s="289">
        <f t="shared" si="150"/>
        <v>8871679</v>
      </c>
      <c r="R234" s="289">
        <f>+R235+R236</f>
        <v>7382305</v>
      </c>
      <c r="S234" s="289">
        <f>+S235+S236</f>
        <v>5029421</v>
      </c>
      <c r="T234" s="289">
        <f>+T235+T236</f>
        <v>0</v>
      </c>
      <c r="U234" s="289"/>
      <c r="V234" s="289"/>
      <c r="W234" s="289"/>
      <c r="X234" s="195">
        <f>+X235+X236</f>
        <v>21283405</v>
      </c>
      <c r="Y234" s="3976" t="s">
        <v>75</v>
      </c>
      <c r="Z234" s="468"/>
    </row>
    <row r="235" spans="1:37" s="3214" customFormat="1" ht="13.5" customHeight="1">
      <c r="A235" s="246"/>
      <c r="B235" s="279" t="s">
        <v>91</v>
      </c>
      <c r="C235" s="280"/>
      <c r="D235" s="281">
        <f>+D249+D253</f>
        <v>52236587</v>
      </c>
      <c r="E235" s="281">
        <f t="shared" ref="E235:Q235" si="151">+E249+E253</f>
        <v>0</v>
      </c>
      <c r="F235" s="569">
        <f t="shared" si="151"/>
        <v>0</v>
      </c>
      <c r="G235" s="569">
        <f t="shared" si="151"/>
        <v>0</v>
      </c>
      <c r="H235" s="569">
        <f t="shared" si="151"/>
        <v>0</v>
      </c>
      <c r="I235" s="570">
        <f t="shared" si="151"/>
        <v>0</v>
      </c>
      <c r="J235" s="570">
        <f t="shared" si="151"/>
        <v>0</v>
      </c>
      <c r="K235" s="570">
        <f t="shared" si="151"/>
        <v>4992196</v>
      </c>
      <c r="L235" s="570">
        <f t="shared" si="151"/>
        <v>4899789</v>
      </c>
      <c r="M235" s="281">
        <f>+M249+M253</f>
        <v>21753850</v>
      </c>
      <c r="N235" s="281">
        <f t="shared" si="151"/>
        <v>5724950</v>
      </c>
      <c r="O235" s="281">
        <f t="shared" si="151"/>
        <v>6136915</v>
      </c>
      <c r="P235" s="281">
        <f t="shared" si="151"/>
        <v>9205156</v>
      </c>
      <c r="Q235" s="281">
        <f t="shared" si="151"/>
        <v>8865855</v>
      </c>
      <c r="R235" s="281">
        <f>+R249</f>
        <v>7382305</v>
      </c>
      <c r="S235" s="281">
        <f>+S249</f>
        <v>5029421</v>
      </c>
      <c r="T235" s="281">
        <f>+T249</f>
        <v>0</v>
      </c>
      <c r="U235" s="281"/>
      <c r="V235" s="281"/>
      <c r="W235" s="281"/>
      <c r="X235" s="22">
        <f>SUM(Q235:W235)</f>
        <v>21277581</v>
      </c>
      <c r="Y235" s="3977"/>
    </row>
    <row r="236" spans="1:37" s="3214" customFormat="1" ht="13.5" customHeight="1" thickBot="1">
      <c r="A236" s="246"/>
      <c r="B236" s="290" t="s">
        <v>20</v>
      </c>
      <c r="C236" s="280"/>
      <c r="D236" s="281">
        <f>+D245</f>
        <v>2117080</v>
      </c>
      <c r="E236" s="281">
        <f>+E245</f>
        <v>0</v>
      </c>
      <c r="F236" s="569">
        <f>F245</f>
        <v>0</v>
      </c>
      <c r="G236" s="569">
        <f>G245</f>
        <v>0</v>
      </c>
      <c r="H236" s="569">
        <f>H245</f>
        <v>0</v>
      </c>
      <c r="I236" s="570">
        <f>+I245</f>
        <v>156327</v>
      </c>
      <c r="J236" s="570">
        <f>+J245</f>
        <v>34555</v>
      </c>
      <c r="K236" s="570">
        <f t="shared" ref="K236:Q236" si="152">+K245</f>
        <v>1891198</v>
      </c>
      <c r="L236" s="570">
        <f t="shared" si="152"/>
        <v>3</v>
      </c>
      <c r="M236" s="281">
        <f>+M245</f>
        <v>2096931</v>
      </c>
      <c r="N236" s="281">
        <f t="shared" si="152"/>
        <v>14848</v>
      </c>
      <c r="O236" s="281">
        <f t="shared" si="152"/>
        <v>0</v>
      </c>
      <c r="P236" s="281">
        <f t="shared" si="152"/>
        <v>14325</v>
      </c>
      <c r="Q236" s="281">
        <f t="shared" si="152"/>
        <v>5824</v>
      </c>
      <c r="R236" s="571">
        <f>+R245</f>
        <v>0</v>
      </c>
      <c r="S236" s="571">
        <f>+S245</f>
        <v>0</v>
      </c>
      <c r="T236" s="571">
        <f>+T245</f>
        <v>0</v>
      </c>
      <c r="U236" s="571"/>
      <c r="V236" s="571"/>
      <c r="W236" s="571"/>
      <c r="X236" s="197">
        <f>SUM(Q236:W236)</f>
        <v>5824</v>
      </c>
      <c r="Y236" s="3977"/>
    </row>
    <row r="237" spans="1:37" s="575" customFormat="1" ht="16.5" customHeight="1">
      <c r="A237" s="572"/>
      <c r="B237" s="230" t="s">
        <v>21</v>
      </c>
      <c r="C237" s="231"/>
      <c r="D237" s="201">
        <f>+D238</f>
        <v>54353667</v>
      </c>
      <c r="E237" s="201">
        <f t="shared" ref="E237:T238" si="153">+E238</f>
        <v>0</v>
      </c>
      <c r="F237" s="469">
        <f t="shared" si="153"/>
        <v>0</v>
      </c>
      <c r="G237" s="469">
        <f t="shared" si="153"/>
        <v>0</v>
      </c>
      <c r="H237" s="469">
        <f t="shared" si="153"/>
        <v>0</v>
      </c>
      <c r="I237" s="470">
        <f t="shared" si="153"/>
        <v>156327</v>
      </c>
      <c r="J237" s="470">
        <f t="shared" si="153"/>
        <v>34555</v>
      </c>
      <c r="K237" s="470">
        <f t="shared" si="153"/>
        <v>6883394</v>
      </c>
      <c r="L237" s="470">
        <f t="shared" si="153"/>
        <v>4899792</v>
      </c>
      <c r="M237" s="201">
        <f t="shared" si="153"/>
        <v>23850781</v>
      </c>
      <c r="N237" s="201">
        <f t="shared" si="153"/>
        <v>5739798</v>
      </c>
      <c r="O237" s="201">
        <f t="shared" si="153"/>
        <v>6136915</v>
      </c>
      <c r="P237" s="201">
        <f t="shared" si="153"/>
        <v>9219481</v>
      </c>
      <c r="Q237" s="201">
        <f t="shared" si="153"/>
        <v>8871679</v>
      </c>
      <c r="R237" s="201">
        <f t="shared" si="153"/>
        <v>7382305</v>
      </c>
      <c r="S237" s="201">
        <f t="shared" si="153"/>
        <v>5029421</v>
      </c>
      <c r="T237" s="201">
        <f t="shared" si="153"/>
        <v>0</v>
      </c>
      <c r="U237" s="201"/>
      <c r="V237" s="201"/>
      <c r="W237" s="201"/>
      <c r="X237" s="573">
        <f>+X238</f>
        <v>21283405</v>
      </c>
      <c r="Y237" s="3977"/>
      <c r="Z237" s="574"/>
      <c r="AA237" s="574"/>
    </row>
    <row r="238" spans="1:37" s="578" customFormat="1" ht="14.25" customHeight="1">
      <c r="A238" s="252"/>
      <c r="B238" s="202" t="s">
        <v>22</v>
      </c>
      <c r="C238" s="3979" t="s">
        <v>75</v>
      </c>
      <c r="D238" s="2473">
        <f>+D239+D240</f>
        <v>54353667</v>
      </c>
      <c r="E238" s="2473">
        <f t="shared" si="153"/>
        <v>0</v>
      </c>
      <c r="F238" s="2474">
        <f t="shared" si="153"/>
        <v>0</v>
      </c>
      <c r="G238" s="2474">
        <f t="shared" si="153"/>
        <v>0</v>
      </c>
      <c r="H238" s="2474">
        <f t="shared" si="153"/>
        <v>0</v>
      </c>
      <c r="I238" s="2475">
        <f t="shared" si="153"/>
        <v>156327</v>
      </c>
      <c r="J238" s="2475">
        <f t="shared" si="153"/>
        <v>34555</v>
      </c>
      <c r="K238" s="2475">
        <f t="shared" si="153"/>
        <v>6883394</v>
      </c>
      <c r="L238" s="2475">
        <f t="shared" si="153"/>
        <v>4899792</v>
      </c>
      <c r="M238" s="2473">
        <f t="shared" si="153"/>
        <v>23850781</v>
      </c>
      <c r="N238" s="2473">
        <f>+N239+N240</f>
        <v>5739798</v>
      </c>
      <c r="O238" s="2473">
        <f>+O239+O240</f>
        <v>6136915</v>
      </c>
      <c r="P238" s="2473">
        <f t="shared" si="153"/>
        <v>9219481</v>
      </c>
      <c r="Q238" s="2473">
        <f t="shared" si="153"/>
        <v>8871679</v>
      </c>
      <c r="R238" s="2473">
        <f t="shared" si="153"/>
        <v>7382305</v>
      </c>
      <c r="S238" s="2473">
        <f t="shared" si="153"/>
        <v>5029421</v>
      </c>
      <c r="T238" s="2473">
        <f t="shared" si="153"/>
        <v>0</v>
      </c>
      <c r="U238" s="2473"/>
      <c r="V238" s="2473"/>
      <c r="W238" s="2473"/>
      <c r="X238" s="2476">
        <f>+X239+X240</f>
        <v>21283405</v>
      </c>
      <c r="Y238" s="3977"/>
      <c r="Z238" s="576"/>
      <c r="AA238" s="577"/>
      <c r="AB238" s="576"/>
      <c r="AC238" s="576"/>
      <c r="AD238" s="576"/>
      <c r="AE238" s="576"/>
      <c r="AF238" s="576"/>
      <c r="AG238" s="576"/>
      <c r="AH238" s="576"/>
      <c r="AI238" s="576"/>
      <c r="AJ238" s="576"/>
      <c r="AK238" s="576"/>
    </row>
    <row r="239" spans="1:37" s="481" customFormat="1" ht="13.5" customHeight="1" thickBot="1">
      <c r="A239" s="204"/>
      <c r="B239" s="205" t="s">
        <v>23</v>
      </c>
      <c r="C239" s="3980"/>
      <c r="D239" s="2477">
        <f>+D247+D251+D255</f>
        <v>54353667</v>
      </c>
      <c r="E239" s="2477">
        <f>+E247+E251</f>
        <v>0</v>
      </c>
      <c r="F239" s="2478">
        <f t="shared" ref="F239:L239" si="154">+F247+F251</f>
        <v>0</v>
      </c>
      <c r="G239" s="2478">
        <f t="shared" si="154"/>
        <v>0</v>
      </c>
      <c r="H239" s="2478">
        <f t="shared" si="154"/>
        <v>0</v>
      </c>
      <c r="I239" s="2479">
        <f t="shared" si="154"/>
        <v>156327</v>
      </c>
      <c r="J239" s="2479">
        <f t="shared" si="154"/>
        <v>34555</v>
      </c>
      <c r="K239" s="2479">
        <f t="shared" si="154"/>
        <v>6883394</v>
      </c>
      <c r="L239" s="2479">
        <f t="shared" si="154"/>
        <v>4899792</v>
      </c>
      <c r="M239" s="2477">
        <f>+M247+M251+M255</f>
        <v>23850781</v>
      </c>
      <c r="N239" s="2477">
        <f>+N247+N251+N255</f>
        <v>5739798</v>
      </c>
      <c r="O239" s="2477">
        <f>+O247+O251+O255</f>
        <v>6136915</v>
      </c>
      <c r="P239" s="2477">
        <f>+P247+P251+P255</f>
        <v>9219481</v>
      </c>
      <c r="Q239" s="2477">
        <f>+Q247+Q251+Q255</f>
        <v>8871679</v>
      </c>
      <c r="R239" s="2477">
        <f t="shared" ref="R239:S239" si="155">+R247+R251+R255</f>
        <v>7382305</v>
      </c>
      <c r="S239" s="2477">
        <f t="shared" si="155"/>
        <v>5029421</v>
      </c>
      <c r="T239" s="2477">
        <f>+T247+T251</f>
        <v>0</v>
      </c>
      <c r="U239" s="2477"/>
      <c r="V239" s="2477"/>
      <c r="W239" s="2477"/>
      <c r="X239" s="1478">
        <f>SUM(Q239:W239)</f>
        <v>21283405</v>
      </c>
      <c r="Y239" s="3977"/>
      <c r="Z239" s="468"/>
    </row>
    <row r="240" spans="1:37" s="481" customFormat="1" ht="13.5" hidden="1" customHeight="1">
      <c r="A240" s="204"/>
      <c r="B240" s="205" t="s">
        <v>25</v>
      </c>
      <c r="C240" s="3980"/>
      <c r="D240" s="2477">
        <f t="shared" ref="D240:J240" si="156">+D256</f>
        <v>0</v>
      </c>
      <c r="E240" s="2477">
        <f t="shared" si="156"/>
        <v>0</v>
      </c>
      <c r="F240" s="2478">
        <f t="shared" si="156"/>
        <v>0</v>
      </c>
      <c r="G240" s="2478">
        <f t="shared" si="156"/>
        <v>0</v>
      </c>
      <c r="H240" s="2478">
        <f t="shared" si="156"/>
        <v>0</v>
      </c>
      <c r="I240" s="2479">
        <f t="shared" si="156"/>
        <v>0</v>
      </c>
      <c r="J240" s="2479">
        <f t="shared" si="156"/>
        <v>0</v>
      </c>
      <c r="K240" s="2479">
        <f t="shared" ref="K240:P240" si="157">+K256</f>
        <v>0</v>
      </c>
      <c r="L240" s="2479">
        <f t="shared" si="157"/>
        <v>0</v>
      </c>
      <c r="M240" s="2477">
        <f t="shared" si="157"/>
        <v>0</v>
      </c>
      <c r="N240" s="2477">
        <f t="shared" si="157"/>
        <v>0</v>
      </c>
      <c r="O240" s="2477">
        <f t="shared" si="157"/>
        <v>0</v>
      </c>
      <c r="P240" s="2477">
        <f t="shared" si="157"/>
        <v>0</v>
      </c>
      <c r="Q240" s="2477">
        <f>+Q256</f>
        <v>0</v>
      </c>
      <c r="R240" s="2477">
        <f>+R256</f>
        <v>0</v>
      </c>
      <c r="S240" s="2477">
        <f>+S256</f>
        <v>0</v>
      </c>
      <c r="T240" s="2477">
        <f>+T256</f>
        <v>0</v>
      </c>
      <c r="U240" s="2477"/>
      <c r="V240" s="2477"/>
      <c r="W240" s="2477"/>
      <c r="X240" s="1478">
        <f>SUM(Q240:W240)</f>
        <v>0</v>
      </c>
      <c r="Y240" s="3977"/>
      <c r="Z240" s="468"/>
    </row>
    <row r="241" spans="1:27" s="473" customFormat="1" ht="15" hidden="1" customHeight="1">
      <c r="A241" s="198"/>
      <c r="B241" s="103" t="s">
        <v>33</v>
      </c>
      <c r="C241" s="116"/>
      <c r="D241" s="251">
        <f>+D242</f>
        <v>0</v>
      </c>
      <c r="E241" s="251">
        <f t="shared" ref="E241:M242" si="158">+E242</f>
        <v>0</v>
      </c>
      <c r="F241" s="579">
        <f t="shared" si="158"/>
        <v>0</v>
      </c>
      <c r="G241" s="579">
        <f t="shared" si="158"/>
        <v>0</v>
      </c>
      <c r="H241" s="579">
        <f t="shared" si="158"/>
        <v>0</v>
      </c>
      <c r="I241" s="580">
        <f t="shared" si="158"/>
        <v>0</v>
      </c>
      <c r="J241" s="580">
        <f t="shared" si="158"/>
        <v>0</v>
      </c>
      <c r="K241" s="580">
        <f t="shared" si="158"/>
        <v>0</v>
      </c>
      <c r="L241" s="580">
        <f t="shared" si="158"/>
        <v>0</v>
      </c>
      <c r="M241" s="251">
        <f t="shared" si="158"/>
        <v>0</v>
      </c>
      <c r="N241" s="251">
        <f>+N242</f>
        <v>200000</v>
      </c>
      <c r="O241" s="251">
        <f>+O242</f>
        <v>0</v>
      </c>
      <c r="P241" s="251">
        <f t="shared" ref="P241:T242" si="159">+P242</f>
        <v>0</v>
      </c>
      <c r="Q241" s="251">
        <f t="shared" si="159"/>
        <v>0</v>
      </c>
      <c r="R241" s="251">
        <f t="shared" si="159"/>
        <v>0</v>
      </c>
      <c r="S241" s="251">
        <f t="shared" si="159"/>
        <v>0</v>
      </c>
      <c r="T241" s="251">
        <f t="shared" si="159"/>
        <v>0</v>
      </c>
      <c r="U241" s="251"/>
      <c r="V241" s="251"/>
      <c r="W241" s="251"/>
      <c r="X241" s="3916" t="s">
        <v>75</v>
      </c>
      <c r="Y241" s="3977"/>
      <c r="Z241" s="472"/>
      <c r="AA241" s="472"/>
    </row>
    <row r="242" spans="1:27" s="473" customFormat="1" ht="14.25" hidden="1" customHeight="1">
      <c r="A242" s="198"/>
      <c r="B242" s="202" t="s">
        <v>22</v>
      </c>
      <c r="C242" s="3979" t="s">
        <v>75</v>
      </c>
      <c r="D242" s="2473">
        <f>+D243</f>
        <v>0</v>
      </c>
      <c r="E242" s="2473">
        <f t="shared" si="158"/>
        <v>0</v>
      </c>
      <c r="F242" s="2474">
        <f t="shared" si="158"/>
        <v>0</v>
      </c>
      <c r="G242" s="2474">
        <f t="shared" si="158"/>
        <v>0</v>
      </c>
      <c r="H242" s="2474">
        <f t="shared" si="158"/>
        <v>0</v>
      </c>
      <c r="I242" s="2475">
        <f t="shared" si="158"/>
        <v>0</v>
      </c>
      <c r="J242" s="2475">
        <f t="shared" si="158"/>
        <v>0</v>
      </c>
      <c r="K242" s="2475">
        <f>+K243</f>
        <v>0</v>
      </c>
      <c r="L242" s="2475">
        <f>+L243</f>
        <v>0</v>
      </c>
      <c r="M242" s="2473">
        <f>+M243</f>
        <v>0</v>
      </c>
      <c r="N242" s="2473">
        <f>+N243</f>
        <v>200000</v>
      </c>
      <c r="O242" s="2473">
        <f>+O243</f>
        <v>0</v>
      </c>
      <c r="P242" s="2473">
        <f t="shared" si="159"/>
        <v>0</v>
      </c>
      <c r="Q242" s="2473">
        <f t="shared" si="159"/>
        <v>0</v>
      </c>
      <c r="R242" s="2473">
        <f t="shared" si="159"/>
        <v>0</v>
      </c>
      <c r="S242" s="2473">
        <f t="shared" si="159"/>
        <v>0</v>
      </c>
      <c r="T242" s="2473">
        <f t="shared" si="159"/>
        <v>0</v>
      </c>
      <c r="U242" s="2473"/>
      <c r="V242" s="2473"/>
      <c r="W242" s="2473"/>
      <c r="X242" s="3914"/>
      <c r="Y242" s="3977"/>
      <c r="Z242" s="472"/>
      <c r="AA242" s="472"/>
    </row>
    <row r="243" spans="1:27" s="481" customFormat="1" ht="16.5" hidden="1" customHeight="1" thickBot="1">
      <c r="A243" s="204"/>
      <c r="B243" s="205" t="s">
        <v>25</v>
      </c>
      <c r="C243" s="3980"/>
      <c r="D243" s="2477">
        <f>+D259</f>
        <v>0</v>
      </c>
      <c r="E243" s="2477">
        <f>+E259</f>
        <v>0</v>
      </c>
      <c r="F243" s="2478">
        <f t="shared" ref="F243:T243" si="160">+F259</f>
        <v>0</v>
      </c>
      <c r="G243" s="2478">
        <f t="shared" si="160"/>
        <v>0</v>
      </c>
      <c r="H243" s="2478">
        <f t="shared" si="160"/>
        <v>0</v>
      </c>
      <c r="I243" s="2479">
        <f t="shared" si="160"/>
        <v>0</v>
      </c>
      <c r="J243" s="2479">
        <f t="shared" si="160"/>
        <v>0</v>
      </c>
      <c r="K243" s="2479">
        <f t="shared" si="160"/>
        <v>0</v>
      </c>
      <c r="L243" s="2479">
        <f t="shared" si="160"/>
        <v>0</v>
      </c>
      <c r="M243" s="2477">
        <f>+M259</f>
        <v>0</v>
      </c>
      <c r="N243" s="2477">
        <f t="shared" si="160"/>
        <v>200000</v>
      </c>
      <c r="O243" s="2477">
        <f t="shared" si="160"/>
        <v>0</v>
      </c>
      <c r="P243" s="2477">
        <f>+P259</f>
        <v>0</v>
      </c>
      <c r="Q243" s="2477">
        <f t="shared" si="160"/>
        <v>0</v>
      </c>
      <c r="R243" s="2477">
        <f t="shared" si="160"/>
        <v>0</v>
      </c>
      <c r="S243" s="2477">
        <f t="shared" si="160"/>
        <v>0</v>
      </c>
      <c r="T243" s="2477">
        <f t="shared" si="160"/>
        <v>0</v>
      </c>
      <c r="U243" s="581"/>
      <c r="V243" s="581"/>
      <c r="W243" s="581"/>
      <c r="X243" s="3915"/>
      <c r="Y243" s="3978"/>
      <c r="Z243" s="471"/>
    </row>
    <row r="244" spans="1:27" s="493" customFormat="1" ht="25.5" customHeight="1">
      <c r="A244" s="3929" t="s">
        <v>77</v>
      </c>
      <c r="B244" s="582" t="s">
        <v>482</v>
      </c>
      <c r="C244" s="583" t="s">
        <v>95</v>
      </c>
      <c r="D244" s="3986"/>
      <c r="E244" s="3987"/>
      <c r="F244" s="3987"/>
      <c r="G244" s="3987"/>
      <c r="H244" s="3987"/>
      <c r="I244" s="3987"/>
      <c r="J244" s="3987"/>
      <c r="K244" s="3987"/>
      <c r="L244" s="3987"/>
      <c r="M244" s="3987"/>
      <c r="N244" s="3987"/>
      <c r="O244" s="3987"/>
      <c r="P244" s="3987"/>
      <c r="Q244" s="3987"/>
      <c r="R244" s="3987"/>
      <c r="S244" s="3987"/>
      <c r="T244" s="3987"/>
      <c r="U244" s="3987"/>
      <c r="V244" s="3987"/>
      <c r="W244" s="3988"/>
      <c r="X244" s="531"/>
      <c r="Y244" s="3949" t="s">
        <v>434</v>
      </c>
    </row>
    <row r="245" spans="1:27" s="493" customFormat="1" ht="15" customHeight="1">
      <c r="A245" s="3930"/>
      <c r="B245" s="103" t="s">
        <v>21</v>
      </c>
      <c r="C245" s="1517"/>
      <c r="D245" s="1499">
        <f>+D246</f>
        <v>2117080</v>
      </c>
      <c r="E245" s="1499">
        <f t="shared" ref="E245:X246" si="161">+E246</f>
        <v>0</v>
      </c>
      <c r="F245" s="2357">
        <f t="shared" si="161"/>
        <v>0</v>
      </c>
      <c r="G245" s="2357">
        <f t="shared" si="161"/>
        <v>0</v>
      </c>
      <c r="H245" s="2357">
        <f t="shared" si="161"/>
        <v>0</v>
      </c>
      <c r="I245" s="2358">
        <f t="shared" si="161"/>
        <v>156327</v>
      </c>
      <c r="J245" s="2358">
        <f t="shared" si="161"/>
        <v>34555</v>
      </c>
      <c r="K245" s="2358">
        <f t="shared" si="161"/>
        <v>1891198</v>
      </c>
      <c r="L245" s="2358">
        <f t="shared" si="161"/>
        <v>3</v>
      </c>
      <c r="M245" s="1499">
        <f t="shared" si="161"/>
        <v>2096931</v>
      </c>
      <c r="N245" s="1499">
        <f t="shared" si="161"/>
        <v>14848</v>
      </c>
      <c r="O245" s="1499">
        <f t="shared" si="161"/>
        <v>0</v>
      </c>
      <c r="P245" s="1499">
        <f t="shared" si="161"/>
        <v>14325</v>
      </c>
      <c r="Q245" s="1499">
        <f>+Q246</f>
        <v>5824</v>
      </c>
      <c r="R245" s="1518">
        <v>0</v>
      </c>
      <c r="S245" s="1518">
        <v>0</v>
      </c>
      <c r="T245" s="1518">
        <v>0</v>
      </c>
      <c r="U245" s="1518">
        <v>0</v>
      </c>
      <c r="V245" s="1518">
        <v>0</v>
      </c>
      <c r="W245" s="1518">
        <v>0</v>
      </c>
      <c r="X245" s="2359">
        <f t="shared" si="161"/>
        <v>5824</v>
      </c>
      <c r="Y245" s="3974"/>
      <c r="Z245" s="468"/>
    </row>
    <row r="246" spans="1:27" s="493" customFormat="1" ht="12" customHeight="1">
      <c r="A246" s="3930"/>
      <c r="B246" s="1251" t="s">
        <v>35</v>
      </c>
      <c r="C246" s="3992" t="s">
        <v>189</v>
      </c>
      <c r="D246" s="1506">
        <f>+D247</f>
        <v>2117080</v>
      </c>
      <c r="E246" s="1506">
        <f t="shared" si="161"/>
        <v>0</v>
      </c>
      <c r="F246" s="2360">
        <f t="shared" si="161"/>
        <v>0</v>
      </c>
      <c r="G246" s="2360">
        <f t="shared" si="161"/>
        <v>0</v>
      </c>
      <c r="H246" s="2360">
        <f t="shared" si="161"/>
        <v>0</v>
      </c>
      <c r="I246" s="2361">
        <f t="shared" si="161"/>
        <v>156327</v>
      </c>
      <c r="J246" s="2361">
        <f t="shared" si="161"/>
        <v>34555</v>
      </c>
      <c r="K246" s="2361">
        <f t="shared" si="161"/>
        <v>1891198</v>
      </c>
      <c r="L246" s="2361">
        <f t="shared" si="161"/>
        <v>3</v>
      </c>
      <c r="M246" s="1506">
        <f t="shared" si="161"/>
        <v>2096931</v>
      </c>
      <c r="N246" s="1506">
        <f t="shared" si="161"/>
        <v>14848</v>
      </c>
      <c r="O246" s="1506">
        <f t="shared" si="161"/>
        <v>0</v>
      </c>
      <c r="P246" s="1506">
        <f t="shared" si="161"/>
        <v>14325</v>
      </c>
      <c r="Q246" s="1506">
        <f>+Q247</f>
        <v>5824</v>
      </c>
      <c r="R246" s="1427">
        <v>0</v>
      </c>
      <c r="S246" s="1427">
        <v>0</v>
      </c>
      <c r="T246" s="1427">
        <v>0</v>
      </c>
      <c r="U246" s="1427">
        <v>0</v>
      </c>
      <c r="V246" s="1427">
        <v>0</v>
      </c>
      <c r="W246" s="1427">
        <v>0</v>
      </c>
      <c r="X246" s="2362">
        <f t="shared" si="161"/>
        <v>5824</v>
      </c>
      <c r="Y246" s="3974"/>
    </row>
    <row r="247" spans="1:27" s="493" customFormat="1" ht="13.5" customHeight="1" thickBot="1">
      <c r="A247" s="3973"/>
      <c r="B247" s="1600" t="s">
        <v>23</v>
      </c>
      <c r="C247" s="3905"/>
      <c r="D247" s="2215">
        <f>M247+P247+Q247+R247+S247+T247+U247+V247+W247</f>
        <v>2117080</v>
      </c>
      <c r="E247" s="1126">
        <v>0</v>
      </c>
      <c r="F247" s="2363">
        <v>0</v>
      </c>
      <c r="G247" s="2363">
        <v>0</v>
      </c>
      <c r="H247" s="2363">
        <v>0</v>
      </c>
      <c r="I247" s="2364">
        <f>153720+2607</f>
        <v>156327</v>
      </c>
      <c r="J247" s="2364">
        <f>25000+1450000+500000-1940000-445</f>
        <v>34555</v>
      </c>
      <c r="K247" s="2364">
        <f>1940000-35000-13802</f>
        <v>1891198</v>
      </c>
      <c r="L247" s="2364">
        <f>35000-34997</f>
        <v>3</v>
      </c>
      <c r="M247" s="2215">
        <f>+E247+I247+J247+K247+L247+N247+O247</f>
        <v>2096931</v>
      </c>
      <c r="N247" s="1126">
        <f>24347+8150-17649</f>
        <v>14848</v>
      </c>
      <c r="O247" s="1126">
        <f>2500+17649-20149</f>
        <v>0</v>
      </c>
      <c r="P247" s="1126">
        <f>20149-5824</f>
        <v>14325</v>
      </c>
      <c r="Q247" s="1126">
        <v>5824</v>
      </c>
      <c r="R247" s="1412">
        <v>0</v>
      </c>
      <c r="S247" s="1412">
        <v>0</v>
      </c>
      <c r="T247" s="1412">
        <v>0</v>
      </c>
      <c r="U247" s="1412">
        <v>0</v>
      </c>
      <c r="V247" s="1412">
        <v>0</v>
      </c>
      <c r="W247" s="1412">
        <v>0</v>
      </c>
      <c r="X247" s="2365">
        <f>SUM(Q247:W247)</f>
        <v>5824</v>
      </c>
      <c r="Y247" s="3975"/>
    </row>
    <row r="248" spans="1:27" s="493" customFormat="1" ht="36.75" customHeight="1">
      <c r="A248" s="3989" t="s">
        <v>78</v>
      </c>
      <c r="B248" s="214" t="s">
        <v>258</v>
      </c>
      <c r="C248" s="583" t="s">
        <v>125</v>
      </c>
      <c r="D248" s="3986"/>
      <c r="E248" s="3987"/>
      <c r="F248" s="3987"/>
      <c r="G248" s="3987"/>
      <c r="H248" s="3987"/>
      <c r="I248" s="3987"/>
      <c r="J248" s="3987"/>
      <c r="K248" s="3987"/>
      <c r="L248" s="3987"/>
      <c r="M248" s="3987"/>
      <c r="N248" s="3987"/>
      <c r="O248" s="3987"/>
      <c r="P248" s="3987"/>
      <c r="Q248" s="3987"/>
      <c r="R248" s="3987"/>
      <c r="S248" s="3987"/>
      <c r="T248" s="3987"/>
      <c r="U248" s="3987"/>
      <c r="V248" s="3987"/>
      <c r="W248" s="3988"/>
      <c r="X248" s="531"/>
      <c r="Y248" s="3949" t="s">
        <v>435</v>
      </c>
      <c r="Z248" s="468"/>
    </row>
    <row r="249" spans="1:27" s="493" customFormat="1" ht="13.5" customHeight="1">
      <c r="A249" s="3990"/>
      <c r="B249" s="1320" t="s">
        <v>21</v>
      </c>
      <c r="C249" s="1517"/>
      <c r="D249" s="1499">
        <f>+D250</f>
        <v>52205837</v>
      </c>
      <c r="E249" s="1499">
        <f t="shared" ref="E249:X250" si="162">+E250</f>
        <v>0</v>
      </c>
      <c r="F249" s="2357">
        <f t="shared" si="162"/>
        <v>0</v>
      </c>
      <c r="G249" s="2357">
        <f t="shared" si="162"/>
        <v>0</v>
      </c>
      <c r="H249" s="2357">
        <f t="shared" si="162"/>
        <v>0</v>
      </c>
      <c r="I249" s="2358">
        <f t="shared" si="162"/>
        <v>0</v>
      </c>
      <c r="J249" s="2358">
        <f t="shared" si="162"/>
        <v>0</v>
      </c>
      <c r="K249" s="2358">
        <f t="shared" si="162"/>
        <v>4992196</v>
      </c>
      <c r="L249" s="2358">
        <f t="shared" si="162"/>
        <v>4899789</v>
      </c>
      <c r="M249" s="1499">
        <f t="shared" si="162"/>
        <v>21753850</v>
      </c>
      <c r="N249" s="1499">
        <f t="shared" si="162"/>
        <v>5724950</v>
      </c>
      <c r="O249" s="1499">
        <f t="shared" si="162"/>
        <v>6136915</v>
      </c>
      <c r="P249" s="1499">
        <f t="shared" si="162"/>
        <v>9205156</v>
      </c>
      <c r="Q249" s="1499">
        <f t="shared" si="162"/>
        <v>8835105</v>
      </c>
      <c r="R249" s="1499">
        <f t="shared" si="162"/>
        <v>7382305</v>
      </c>
      <c r="S249" s="1499">
        <f t="shared" si="162"/>
        <v>5029421</v>
      </c>
      <c r="T249" s="1518">
        <f t="shared" si="162"/>
        <v>0</v>
      </c>
      <c r="U249" s="1518">
        <f t="shared" si="162"/>
        <v>0</v>
      </c>
      <c r="V249" s="1518">
        <f t="shared" si="162"/>
        <v>0</v>
      </c>
      <c r="W249" s="1518">
        <f t="shared" si="162"/>
        <v>0</v>
      </c>
      <c r="X249" s="2372">
        <f t="shared" si="162"/>
        <v>21246831</v>
      </c>
      <c r="Y249" s="3974"/>
    </row>
    <row r="250" spans="1:27" s="493" customFormat="1" ht="13.5" customHeight="1">
      <c r="A250" s="3990"/>
      <c r="B250" s="1251" t="s">
        <v>35</v>
      </c>
      <c r="C250" s="3934" t="s">
        <v>179</v>
      </c>
      <c r="D250" s="2373">
        <f>+D251</f>
        <v>52205837</v>
      </c>
      <c r="E250" s="2373">
        <f t="shared" si="162"/>
        <v>0</v>
      </c>
      <c r="F250" s="2374">
        <f t="shared" si="162"/>
        <v>0</v>
      </c>
      <c r="G250" s="2374">
        <f t="shared" si="162"/>
        <v>0</v>
      </c>
      <c r="H250" s="2374">
        <f t="shared" si="162"/>
        <v>0</v>
      </c>
      <c r="I250" s="2375">
        <f t="shared" si="162"/>
        <v>0</v>
      </c>
      <c r="J250" s="2375">
        <f t="shared" si="162"/>
        <v>0</v>
      </c>
      <c r="K250" s="2375">
        <f t="shared" si="162"/>
        <v>4992196</v>
      </c>
      <c r="L250" s="2375">
        <f t="shared" si="162"/>
        <v>4899789</v>
      </c>
      <c r="M250" s="2373">
        <f t="shared" si="162"/>
        <v>21753850</v>
      </c>
      <c r="N250" s="2373">
        <f t="shared" si="162"/>
        <v>5724950</v>
      </c>
      <c r="O250" s="2373">
        <f t="shared" si="162"/>
        <v>6136915</v>
      </c>
      <c r="P250" s="2373">
        <f t="shared" si="162"/>
        <v>9205156</v>
      </c>
      <c r="Q250" s="2373">
        <f t="shared" si="162"/>
        <v>8835105</v>
      </c>
      <c r="R250" s="2480">
        <f t="shared" si="162"/>
        <v>7382305</v>
      </c>
      <c r="S250" s="2480">
        <f t="shared" si="162"/>
        <v>5029421</v>
      </c>
      <c r="T250" s="2481">
        <f t="shared" si="162"/>
        <v>0</v>
      </c>
      <c r="U250" s="2481">
        <f t="shared" si="162"/>
        <v>0</v>
      </c>
      <c r="V250" s="2481">
        <f t="shared" si="162"/>
        <v>0</v>
      </c>
      <c r="W250" s="2481">
        <f t="shared" si="162"/>
        <v>0</v>
      </c>
      <c r="X250" s="2376">
        <f t="shared" si="162"/>
        <v>21246831</v>
      </c>
      <c r="Y250" s="3974"/>
    </row>
    <row r="251" spans="1:27" s="493" customFormat="1" ht="13.5" customHeight="1" thickBot="1">
      <c r="A251" s="3991"/>
      <c r="B251" s="886" t="s">
        <v>23</v>
      </c>
      <c r="C251" s="3981"/>
      <c r="D251" s="2234">
        <f>M251+P251+Q251+R251+S251+T251+U251+V251+W251</f>
        <v>52205837</v>
      </c>
      <c r="E251" s="2482">
        <v>0</v>
      </c>
      <c r="F251" s="2363"/>
      <c r="G251" s="2363"/>
      <c r="H251" s="2363"/>
      <c r="I251" s="2364">
        <v>0</v>
      </c>
      <c r="J251" s="2364">
        <f>1125478-1125478</f>
        <v>0</v>
      </c>
      <c r="K251" s="2364">
        <f>7028902-2036706</f>
        <v>4992196</v>
      </c>
      <c r="L251" s="2364">
        <f>8468756-1002327-2055288-511352</f>
        <v>4899789</v>
      </c>
      <c r="M251" s="2273">
        <f>+E251+I251+J251+K251+L251+N251+O251</f>
        <v>21753850</v>
      </c>
      <c r="N251" s="2482">
        <f>8580352-876446-1300000-678956</f>
        <v>5724950</v>
      </c>
      <c r="O251" s="2482">
        <f>9259840-3875840+85000+497000-1300000+1470915</f>
        <v>6136915</v>
      </c>
      <c r="P251" s="2482">
        <f>9445041-9445041+300000+130000+8775156</f>
        <v>9205156</v>
      </c>
      <c r="Q251" s="2482">
        <f>0+8835105</f>
        <v>8835105</v>
      </c>
      <c r="R251" s="2483">
        <f>0+7382305</f>
        <v>7382305</v>
      </c>
      <c r="S251" s="2483">
        <v>5029421</v>
      </c>
      <c r="T251" s="2484">
        <v>0</v>
      </c>
      <c r="U251" s="2484">
        <v>0</v>
      </c>
      <c r="V251" s="2484">
        <v>0</v>
      </c>
      <c r="W251" s="2484">
        <v>0</v>
      </c>
      <c r="X251" s="1478">
        <f>SUM(Q251:W251)</f>
        <v>21246831</v>
      </c>
      <c r="Y251" s="3985"/>
    </row>
    <row r="252" spans="1:27" s="493" customFormat="1" ht="48.75" customHeight="1">
      <c r="A252" s="3929" t="s">
        <v>79</v>
      </c>
      <c r="B252" s="214" t="s">
        <v>481</v>
      </c>
      <c r="C252" s="583" t="s">
        <v>125</v>
      </c>
      <c r="D252" s="3982"/>
      <c r="E252" s="3983"/>
      <c r="F252" s="3983"/>
      <c r="G252" s="3983"/>
      <c r="H252" s="3983"/>
      <c r="I252" s="3983"/>
      <c r="J252" s="3983"/>
      <c r="K252" s="3983"/>
      <c r="L252" s="3983"/>
      <c r="M252" s="3983"/>
      <c r="N252" s="3983"/>
      <c r="O252" s="3983"/>
      <c r="P252" s="3983"/>
      <c r="Q252" s="3983"/>
      <c r="R252" s="3983"/>
      <c r="S252" s="3983"/>
      <c r="T252" s="3983"/>
      <c r="U252" s="3983"/>
      <c r="V252" s="3983"/>
      <c r="W252" s="3984"/>
      <c r="X252" s="2485"/>
      <c r="Y252" s="3994" t="s">
        <v>190</v>
      </c>
      <c r="Z252" s="468"/>
    </row>
    <row r="253" spans="1:27" s="493" customFormat="1" ht="13.5" customHeight="1">
      <c r="A253" s="3930"/>
      <c r="B253" s="1320" t="s">
        <v>21</v>
      </c>
      <c r="C253" s="2371"/>
      <c r="D253" s="1499">
        <f>+D254</f>
        <v>30750</v>
      </c>
      <c r="E253" s="1499">
        <f t="shared" ref="E253:W253" si="163">+E254</f>
        <v>0</v>
      </c>
      <c r="F253" s="2357">
        <f t="shared" si="163"/>
        <v>0</v>
      </c>
      <c r="G253" s="2357">
        <f t="shared" si="163"/>
        <v>0</v>
      </c>
      <c r="H253" s="2357">
        <f t="shared" si="163"/>
        <v>0</v>
      </c>
      <c r="I253" s="2358">
        <f t="shared" si="163"/>
        <v>0</v>
      </c>
      <c r="J253" s="2358">
        <f t="shared" si="163"/>
        <v>0</v>
      </c>
      <c r="K253" s="2358">
        <f t="shared" si="163"/>
        <v>0</v>
      </c>
      <c r="L253" s="2358">
        <f t="shared" si="163"/>
        <v>0</v>
      </c>
      <c r="M253" s="1499">
        <f t="shared" si="163"/>
        <v>0</v>
      </c>
      <c r="N253" s="1499">
        <f t="shared" si="163"/>
        <v>0</v>
      </c>
      <c r="O253" s="1499">
        <f t="shared" si="163"/>
        <v>0</v>
      </c>
      <c r="P253" s="1518">
        <f t="shared" si="163"/>
        <v>0</v>
      </c>
      <c r="Q253" s="1499">
        <f t="shared" si="163"/>
        <v>30750</v>
      </c>
      <c r="R253" s="1518">
        <f t="shared" si="163"/>
        <v>0</v>
      </c>
      <c r="S253" s="1518">
        <f t="shared" si="163"/>
        <v>0</v>
      </c>
      <c r="T253" s="1518">
        <f t="shared" si="163"/>
        <v>0</v>
      </c>
      <c r="U253" s="1518">
        <f t="shared" si="163"/>
        <v>0</v>
      </c>
      <c r="V253" s="1518">
        <f t="shared" si="163"/>
        <v>0</v>
      </c>
      <c r="W253" s="1518">
        <f t="shared" si="163"/>
        <v>0</v>
      </c>
      <c r="X253" s="2372">
        <f>+X254</f>
        <v>30750</v>
      </c>
      <c r="Y253" s="3995"/>
    </row>
    <row r="254" spans="1:27" s="493" customFormat="1" ht="13.5" customHeight="1">
      <c r="A254" s="3930"/>
      <c r="B254" s="1251" t="s">
        <v>35</v>
      </c>
      <c r="C254" s="3934" t="s">
        <v>469</v>
      </c>
      <c r="D254" s="2373">
        <f>+D255+D256</f>
        <v>30750</v>
      </c>
      <c r="E254" s="2373">
        <f t="shared" ref="E254:L254" si="164">+E256</f>
        <v>0</v>
      </c>
      <c r="F254" s="2374">
        <f t="shared" si="164"/>
        <v>0</v>
      </c>
      <c r="G254" s="2374">
        <f t="shared" si="164"/>
        <v>0</v>
      </c>
      <c r="H254" s="2374">
        <f t="shared" si="164"/>
        <v>0</v>
      </c>
      <c r="I254" s="2375">
        <f t="shared" si="164"/>
        <v>0</v>
      </c>
      <c r="J254" s="2375">
        <f t="shared" si="164"/>
        <v>0</v>
      </c>
      <c r="K254" s="2375">
        <f t="shared" si="164"/>
        <v>0</v>
      </c>
      <c r="L254" s="2375">
        <f t="shared" si="164"/>
        <v>0</v>
      </c>
      <c r="M254" s="2373">
        <f t="shared" ref="M254:X254" si="165">+M255+M256</f>
        <v>0</v>
      </c>
      <c r="N254" s="2373">
        <f t="shared" si="165"/>
        <v>0</v>
      </c>
      <c r="O254" s="2373">
        <f t="shared" si="165"/>
        <v>0</v>
      </c>
      <c r="P254" s="1441">
        <f t="shared" si="165"/>
        <v>0</v>
      </c>
      <c r="Q254" s="2373">
        <f t="shared" si="165"/>
        <v>30750</v>
      </c>
      <c r="R254" s="1441">
        <f t="shared" si="165"/>
        <v>0</v>
      </c>
      <c r="S254" s="1441">
        <f t="shared" si="165"/>
        <v>0</v>
      </c>
      <c r="T254" s="1441">
        <f t="shared" si="165"/>
        <v>0</v>
      </c>
      <c r="U254" s="1441">
        <f t="shared" si="165"/>
        <v>0</v>
      </c>
      <c r="V254" s="1441">
        <f t="shared" si="165"/>
        <v>0</v>
      </c>
      <c r="W254" s="1441">
        <f t="shared" si="165"/>
        <v>0</v>
      </c>
      <c r="X254" s="2376">
        <f t="shared" si="165"/>
        <v>30750</v>
      </c>
      <c r="Y254" s="3995"/>
    </row>
    <row r="255" spans="1:27" s="493" customFormat="1" ht="13.5" customHeight="1" thickBot="1">
      <c r="A255" s="3973"/>
      <c r="B255" s="2385" t="s">
        <v>23</v>
      </c>
      <c r="C255" s="3993"/>
      <c r="D255" s="2215">
        <f>M255+P255+Q255+R255+S255+T255+U255+V255+W255</f>
        <v>30750</v>
      </c>
      <c r="E255" s="2386">
        <v>0</v>
      </c>
      <c r="F255" s="2387"/>
      <c r="G255" s="2387"/>
      <c r="H255" s="2387"/>
      <c r="I255" s="2388"/>
      <c r="J255" s="2388"/>
      <c r="K255" s="2388"/>
      <c r="L255" s="2388"/>
      <c r="M255" s="2215">
        <f>+E255+I255+J255+K255+L255+N255+O255</f>
        <v>0</v>
      </c>
      <c r="N255" s="2386"/>
      <c r="O255" s="2386">
        <v>0</v>
      </c>
      <c r="P255" s="2389">
        <v>0</v>
      </c>
      <c r="Q255" s="1258">
        <v>30750</v>
      </c>
      <c r="R255" s="2389">
        <v>0</v>
      </c>
      <c r="S255" s="2389">
        <v>0</v>
      </c>
      <c r="T255" s="2389">
        <v>0</v>
      </c>
      <c r="U255" s="2389">
        <v>0</v>
      </c>
      <c r="V255" s="2389">
        <v>0</v>
      </c>
      <c r="W255" s="2389">
        <v>0</v>
      </c>
      <c r="X255" s="2365">
        <f>SUM(Q255:W255)</f>
        <v>30750</v>
      </c>
      <c r="Y255" s="3996"/>
    </row>
    <row r="256" spans="1:27" s="493" customFormat="1" ht="13.5" hidden="1" customHeight="1">
      <c r="A256" s="2377"/>
      <c r="B256" s="3214" t="s">
        <v>25</v>
      </c>
      <c r="C256" s="2378"/>
      <c r="D256" s="2379">
        <f>M256+P256+Q256+R256+S256+T256+U256+V256+W256</f>
        <v>0</v>
      </c>
      <c r="E256" s="2380">
        <v>0</v>
      </c>
      <c r="F256" s="2381"/>
      <c r="G256" s="2381"/>
      <c r="H256" s="2381"/>
      <c r="I256" s="2382">
        <v>0</v>
      </c>
      <c r="J256" s="2382">
        <f>1125478-1125478</f>
        <v>0</v>
      </c>
      <c r="K256" s="2382">
        <v>0</v>
      </c>
      <c r="L256" s="2382">
        <v>0</v>
      </c>
      <c r="M256" s="2383"/>
      <c r="N256" s="2380"/>
      <c r="O256" s="2380">
        <v>0</v>
      </c>
      <c r="P256" s="2384">
        <v>0</v>
      </c>
      <c r="Q256" s="2384">
        <v>0</v>
      </c>
      <c r="R256" s="2384">
        <v>0</v>
      </c>
      <c r="S256" s="2384">
        <v>0</v>
      </c>
      <c r="T256" s="2384">
        <v>0</v>
      </c>
      <c r="U256" s="2384">
        <v>0</v>
      </c>
      <c r="V256" s="2384">
        <v>0</v>
      </c>
      <c r="W256" s="2384">
        <v>0</v>
      </c>
      <c r="X256" s="1939">
        <f>SUM(Q256:W256)</f>
        <v>0</v>
      </c>
      <c r="Y256" s="3399"/>
    </row>
    <row r="257" spans="1:25" s="3214" customFormat="1" ht="13.5" hidden="1" customHeight="1">
      <c r="A257" s="2377"/>
      <c r="B257" s="1320" t="s">
        <v>33</v>
      </c>
      <c r="C257" s="2371"/>
      <c r="D257" s="1499">
        <f>+D258</f>
        <v>0</v>
      </c>
      <c r="E257" s="1499">
        <f t="shared" ref="E257:W257" si="166">+E258</f>
        <v>0</v>
      </c>
      <c r="F257" s="2357">
        <f t="shared" si="166"/>
        <v>0</v>
      </c>
      <c r="G257" s="2357">
        <f t="shared" si="166"/>
        <v>0</v>
      </c>
      <c r="H257" s="2357">
        <f t="shared" si="166"/>
        <v>0</v>
      </c>
      <c r="I257" s="2358">
        <f t="shared" si="166"/>
        <v>0</v>
      </c>
      <c r="J257" s="2358">
        <f t="shared" si="166"/>
        <v>0</v>
      </c>
      <c r="K257" s="2358">
        <f t="shared" si="166"/>
        <v>0</v>
      </c>
      <c r="L257" s="2358">
        <f t="shared" si="166"/>
        <v>0</v>
      </c>
      <c r="M257" s="1499">
        <f t="shared" si="166"/>
        <v>0</v>
      </c>
      <c r="N257" s="1499">
        <f t="shared" si="166"/>
        <v>200000</v>
      </c>
      <c r="O257" s="1499">
        <f t="shared" si="166"/>
        <v>0</v>
      </c>
      <c r="P257" s="1518">
        <f t="shared" si="166"/>
        <v>0</v>
      </c>
      <c r="Q257" s="1518">
        <f t="shared" si="166"/>
        <v>0</v>
      </c>
      <c r="R257" s="1518">
        <f t="shared" si="166"/>
        <v>0</v>
      </c>
      <c r="S257" s="1322">
        <f t="shared" si="166"/>
        <v>0</v>
      </c>
      <c r="T257" s="1518">
        <f t="shared" si="166"/>
        <v>0</v>
      </c>
      <c r="U257" s="1518">
        <f t="shared" si="166"/>
        <v>0</v>
      </c>
      <c r="V257" s="1322">
        <f t="shared" si="166"/>
        <v>0</v>
      </c>
      <c r="W257" s="1518">
        <f t="shared" si="166"/>
        <v>0</v>
      </c>
      <c r="X257" s="3916" t="s">
        <v>34</v>
      </c>
      <c r="Y257" s="3399"/>
    </row>
    <row r="258" spans="1:25" s="3214" customFormat="1" ht="13.5" hidden="1" customHeight="1">
      <c r="A258" s="862"/>
      <c r="B258" s="1251" t="s">
        <v>35</v>
      </c>
      <c r="C258" s="3934" t="s">
        <v>470</v>
      </c>
      <c r="D258" s="2373">
        <f t="shared" ref="D258:W258" si="167">+D259</f>
        <v>0</v>
      </c>
      <c r="E258" s="2373">
        <f t="shared" si="167"/>
        <v>0</v>
      </c>
      <c r="F258" s="2374">
        <f t="shared" si="167"/>
        <v>0</v>
      </c>
      <c r="G258" s="2374">
        <f t="shared" si="167"/>
        <v>0</v>
      </c>
      <c r="H258" s="2374">
        <f t="shared" si="167"/>
        <v>0</v>
      </c>
      <c r="I258" s="2375">
        <f t="shared" si="167"/>
        <v>0</v>
      </c>
      <c r="J258" s="2375">
        <f t="shared" si="167"/>
        <v>0</v>
      </c>
      <c r="K258" s="2375">
        <f t="shared" si="167"/>
        <v>0</v>
      </c>
      <c r="L258" s="2375">
        <f t="shared" si="167"/>
        <v>0</v>
      </c>
      <c r="M258" s="2373">
        <f t="shared" si="167"/>
        <v>0</v>
      </c>
      <c r="N258" s="2373">
        <f t="shared" si="167"/>
        <v>200000</v>
      </c>
      <c r="O258" s="2373">
        <f t="shared" si="167"/>
        <v>0</v>
      </c>
      <c r="P258" s="1441">
        <f t="shared" si="167"/>
        <v>0</v>
      </c>
      <c r="Q258" s="1441">
        <f t="shared" si="167"/>
        <v>0</v>
      </c>
      <c r="R258" s="1441">
        <f t="shared" si="167"/>
        <v>0</v>
      </c>
      <c r="S258" s="1601">
        <f t="shared" si="167"/>
        <v>0</v>
      </c>
      <c r="T258" s="1602">
        <f t="shared" si="167"/>
        <v>0</v>
      </c>
      <c r="U258" s="1441">
        <f t="shared" si="167"/>
        <v>0</v>
      </c>
      <c r="V258" s="1601">
        <f t="shared" si="167"/>
        <v>0</v>
      </c>
      <c r="W258" s="1602">
        <f t="shared" si="167"/>
        <v>0</v>
      </c>
      <c r="X258" s="3914"/>
      <c r="Y258" s="3399"/>
    </row>
    <row r="259" spans="1:25" s="3214" customFormat="1" ht="22.5" hidden="1" customHeight="1" thickBot="1">
      <c r="A259" s="3197"/>
      <c r="B259" s="1267" t="s">
        <v>25</v>
      </c>
      <c r="C259" s="3981"/>
      <c r="D259" s="1258">
        <f>M259+O259+P259+Q259+R259+S259+T259+U259+V259+W259</f>
        <v>0</v>
      </c>
      <c r="E259" s="1603">
        <v>0</v>
      </c>
      <c r="F259" s="1604"/>
      <c r="G259" s="1604"/>
      <c r="H259" s="1604"/>
      <c r="I259" s="1605">
        <v>0</v>
      </c>
      <c r="J259" s="1605">
        <f>6315000-2528100-3749850-37050</f>
        <v>0</v>
      </c>
      <c r="K259" s="1605">
        <v>0</v>
      </c>
      <c r="L259" s="1605">
        <v>0</v>
      </c>
      <c r="M259" s="1523">
        <v>0</v>
      </c>
      <c r="N259" s="1603">
        <v>200000</v>
      </c>
      <c r="O259" s="1603">
        <v>0</v>
      </c>
      <c r="P259" s="1606">
        <v>0</v>
      </c>
      <c r="Q259" s="1606">
        <v>0</v>
      </c>
      <c r="R259" s="1606">
        <v>0</v>
      </c>
      <c r="S259" s="1607">
        <v>0</v>
      </c>
      <c r="T259" s="1607">
        <v>0</v>
      </c>
      <c r="U259" s="1606">
        <v>0</v>
      </c>
      <c r="V259" s="1607">
        <v>0</v>
      </c>
      <c r="W259" s="1607">
        <v>0</v>
      </c>
      <c r="X259" s="3915"/>
      <c r="Y259" s="3400"/>
    </row>
    <row r="260" spans="1:25">
      <c r="A260" s="3972" t="s">
        <v>578</v>
      </c>
      <c r="B260" s="3972"/>
      <c r="C260" s="3972"/>
      <c r="D260" s="3972"/>
      <c r="E260" s="3972"/>
      <c r="F260" s="3972"/>
      <c r="G260" s="3972"/>
      <c r="H260" s="3972"/>
      <c r="I260" s="3972"/>
      <c r="J260" s="3972"/>
      <c r="K260" s="3972"/>
      <c r="L260" s="3972"/>
      <c r="M260" s="3972"/>
      <c r="N260" s="3972"/>
      <c r="O260" s="3972"/>
      <c r="P260" s="3972"/>
      <c r="Q260" s="3972"/>
      <c r="R260" s="3972"/>
      <c r="S260" s="3972"/>
      <c r="T260" s="3972"/>
      <c r="U260" s="3972"/>
      <c r="V260" s="3972"/>
      <c r="W260" s="3972"/>
      <c r="X260" s="3972"/>
      <c r="Y260" s="3972"/>
    </row>
    <row r="261" spans="1:25" hidden="1">
      <c r="A261" s="584"/>
      <c r="E261" s="585"/>
      <c r="F261" s="449"/>
    </row>
    <row r="262" spans="1:25" hidden="1">
      <c r="B262" s="3216" t="s">
        <v>54</v>
      </c>
      <c r="E262" s="585"/>
      <c r="F262" s="449"/>
    </row>
    <row r="263" spans="1:25" hidden="1">
      <c r="B263" s="3971" t="s">
        <v>318</v>
      </c>
      <c r="C263" s="448" t="s">
        <v>125</v>
      </c>
      <c r="D263" s="455">
        <f>D111-O111-P111-Q111-R111-S111-T111-U111-V111-W111</f>
        <v>0</v>
      </c>
      <c r="E263" s="585"/>
      <c r="F263" s="449"/>
      <c r="M263" s="448" t="s">
        <v>125</v>
      </c>
    </row>
    <row r="264" spans="1:25" hidden="1">
      <c r="B264" s="3971"/>
      <c r="C264" s="448" t="s">
        <v>95</v>
      </c>
      <c r="D264" s="455">
        <f>D130-O130-P130-Q130-R130-S130-T130-U130-V130-W130</f>
        <v>0</v>
      </c>
      <c r="E264" s="585"/>
      <c r="F264" s="449"/>
      <c r="M264" s="448" t="s">
        <v>95</v>
      </c>
    </row>
    <row r="265" spans="1:25" hidden="1">
      <c r="B265" s="3971"/>
      <c r="D265" s="587">
        <f>D263+D264</f>
        <v>0</v>
      </c>
      <c r="E265" s="585"/>
      <c r="F265" s="449"/>
    </row>
    <row r="266" spans="1:25" hidden="1">
      <c r="E266" s="585"/>
      <c r="F266" s="449"/>
    </row>
    <row r="267" spans="1:25" hidden="1">
      <c r="B267" s="588" t="s">
        <v>568</v>
      </c>
      <c r="C267" s="448" t="s">
        <v>125</v>
      </c>
      <c r="D267" s="455">
        <f>+D101-O101-P101-Q101-R101-S101-T101-U101-V101-W101</f>
        <v>0</v>
      </c>
      <c r="E267" s="585"/>
      <c r="F267" s="449"/>
    </row>
    <row r="268" spans="1:25" hidden="1">
      <c r="C268" s="448" t="s">
        <v>95</v>
      </c>
      <c r="D268" s="455">
        <f>D120-O120-P120-Q120-R120-S120-T120-U120-V120-W120</f>
        <v>0</v>
      </c>
      <c r="E268" s="585"/>
      <c r="F268" s="449"/>
    </row>
    <row r="269" spans="1:25" hidden="1">
      <c r="D269" s="587">
        <f>D267+D268</f>
        <v>0</v>
      </c>
      <c r="E269" s="585"/>
      <c r="F269" s="449"/>
    </row>
    <row r="270" spans="1:25" hidden="1">
      <c r="E270" s="585"/>
      <c r="F270" s="449"/>
    </row>
    <row r="271" spans="1:25" hidden="1">
      <c r="B271" s="588" t="s">
        <v>320</v>
      </c>
      <c r="D271" s="587">
        <f>+D92-O92-P92-Q92-R92-S92-T92-U92-V92-W92</f>
        <v>0</v>
      </c>
      <c r="E271" s="585"/>
      <c r="F271" s="449"/>
    </row>
    <row r="272" spans="1:25" hidden="1">
      <c r="E272" s="585"/>
      <c r="F272" s="449"/>
    </row>
    <row r="273" spans="2:24" hidden="1">
      <c r="B273" s="448" t="s">
        <v>319</v>
      </c>
      <c r="D273" s="587">
        <f>D269+D271</f>
        <v>0</v>
      </c>
      <c r="E273" s="585"/>
      <c r="F273" s="449"/>
    </row>
    <row r="274" spans="2:24" hidden="1">
      <c r="E274" s="585"/>
      <c r="F274" s="449"/>
    </row>
    <row r="275" spans="2:24" hidden="1">
      <c r="B275" s="448" t="s">
        <v>451</v>
      </c>
      <c r="D275" s="455">
        <f>+D92+D102</f>
        <v>216367554</v>
      </c>
      <c r="E275" s="585"/>
      <c r="F275" s="449"/>
      <c r="M275" s="455">
        <f>+M92+M102</f>
        <v>95653</v>
      </c>
      <c r="O275" s="455">
        <f t="shared" ref="O275:W275" si="168">+O92+O102</f>
        <v>95653</v>
      </c>
      <c r="P275" s="455">
        <f t="shared" si="168"/>
        <v>23887186</v>
      </c>
      <c r="Q275" s="455">
        <f t="shared" si="168"/>
        <v>29871401</v>
      </c>
      <c r="R275" s="455">
        <f t="shared" si="168"/>
        <v>30102184</v>
      </c>
      <c r="S275" s="455">
        <f t="shared" si="168"/>
        <v>27722123</v>
      </c>
      <c r="T275" s="455">
        <f t="shared" si="168"/>
        <v>26733067</v>
      </c>
      <c r="U275" s="455">
        <f t="shared" si="168"/>
        <v>26987259</v>
      </c>
      <c r="V275" s="455">
        <f t="shared" si="168"/>
        <v>25494696</v>
      </c>
      <c r="W275" s="455">
        <f t="shared" si="168"/>
        <v>25473985</v>
      </c>
      <c r="X275" s="455">
        <f>SUM(M275:W275)-D275</f>
        <v>95653</v>
      </c>
    </row>
    <row r="276" spans="2:24" hidden="1">
      <c r="B276" s="448" t="s">
        <v>452</v>
      </c>
      <c r="D276" s="455">
        <f>+D121</f>
        <v>1795442</v>
      </c>
      <c r="E276" s="585"/>
      <c r="F276" s="449"/>
      <c r="M276" s="455">
        <f t="shared" ref="M276:W276" si="169">+M121</f>
        <v>0</v>
      </c>
      <c r="N276" s="455">
        <f t="shared" si="169"/>
        <v>0</v>
      </c>
      <c r="O276" s="455">
        <f t="shared" si="169"/>
        <v>0</v>
      </c>
      <c r="P276" s="455">
        <f t="shared" si="169"/>
        <v>357504</v>
      </c>
      <c r="Q276" s="455">
        <f t="shared" si="169"/>
        <v>461058</v>
      </c>
      <c r="R276" s="455">
        <f t="shared" si="169"/>
        <v>169380</v>
      </c>
      <c r="S276" s="455">
        <f t="shared" si="169"/>
        <v>161500</v>
      </c>
      <c r="T276" s="455">
        <f t="shared" si="169"/>
        <v>161500</v>
      </c>
      <c r="U276" s="455">
        <f t="shared" si="169"/>
        <v>161500</v>
      </c>
      <c r="V276" s="455">
        <f t="shared" si="169"/>
        <v>161500</v>
      </c>
      <c r="W276" s="455">
        <f t="shared" si="169"/>
        <v>161500</v>
      </c>
      <c r="X276" s="455">
        <f>SUM(M276:W276)-D276</f>
        <v>0</v>
      </c>
    </row>
    <row r="277" spans="2:24" hidden="1">
      <c r="E277" s="585"/>
      <c r="F277" s="449"/>
    </row>
    <row r="278" spans="2:24" hidden="1">
      <c r="B278" s="448" t="s">
        <v>450</v>
      </c>
      <c r="D278" s="455">
        <f>+D111+'Tab. 6B Polit społ i rozwój prz'!D218+D130+'Tab. 6B Polit społ i rozwój prz'!D230</f>
        <v>247298062</v>
      </c>
      <c r="E278" s="585"/>
      <c r="F278" s="449"/>
      <c r="O278" s="455">
        <f>+O111+'Tab. 6B Polit społ i rozwój prz'!O218+O130+'Tab. 6B Polit społ i rozwój prz'!O230</f>
        <v>0</v>
      </c>
      <c r="P278" s="455">
        <f>+P111+'Tab. 6B Polit społ i rozwój prz'!P218+P130+'Tab. 6B Polit społ i rozwój prz'!P230</f>
        <v>22196981</v>
      </c>
      <c r="Q278" s="455">
        <f>+Q111+'Tab. 6B Polit społ i rozwój prz'!Q218+Q130+'Tab. 6B Polit społ i rozwój prz'!Q230</f>
        <v>37852626</v>
      </c>
      <c r="R278" s="455">
        <f>+R111+'Tab. 6B Polit społ i rozwój prz'!R218+R130+'Tab. 6B Polit społ i rozwój prz'!R230</f>
        <v>29390363</v>
      </c>
      <c r="S278" s="455">
        <f>+S111+'Tab. 6B Polit społ i rozwój prz'!S218+S130+'Tab. 6B Polit społ i rozwój prz'!S230</f>
        <v>37016818</v>
      </c>
      <c r="T278" s="455">
        <f>+T111+'Tab. 6B Polit społ i rozwój prz'!T218+T130+'Tab. 6B Polit społ i rozwój prz'!T230</f>
        <v>30231855</v>
      </c>
      <c r="U278" s="455">
        <f>+U111+'Tab. 6B Polit społ i rozwój prz'!U218+U130+'Tab. 6B Polit społ i rozwój prz'!U230</f>
        <v>30471862</v>
      </c>
      <c r="V278" s="455">
        <f>+V111+'Tab. 6B Polit społ i rozwój prz'!V218+V130+'Tab. 6B Polit społ i rozwój prz'!V230</f>
        <v>30200542</v>
      </c>
      <c r="W278" s="455">
        <f>+W111+'Tab. 6B Polit społ i rozwój prz'!W218+W130+'Tab. 6B Polit społ i rozwój prz'!W230</f>
        <v>29937015</v>
      </c>
      <c r="X278" s="455">
        <f>SUM(M278:W278)-D278</f>
        <v>0</v>
      </c>
    </row>
    <row r="279" spans="2:24" hidden="1">
      <c r="B279" s="448" t="s">
        <v>449</v>
      </c>
      <c r="D279" s="455">
        <f>+D90+D115+'Tab. 6B Polit społ i rozwój prz'!D212+'Tab. 6B Polit społ i rozwój prz'!D224</f>
        <v>294468308</v>
      </c>
      <c r="E279" s="585"/>
      <c r="F279" s="449"/>
      <c r="O279" s="455">
        <f>+O90+O115+'Tab. 6B Polit społ i rozwój prz'!O212+'Tab. 6B Polit społ i rozwój prz'!O224</f>
        <v>400847</v>
      </c>
      <c r="P279" s="455">
        <f>+P90+P115+'Tab. 6B Polit społ i rozwój prz'!P212+'Tab. 6B Polit społ i rozwój prz'!P224</f>
        <v>33012178</v>
      </c>
      <c r="Q279" s="455">
        <f>+Q90+Q115+'Tab. 6B Polit społ i rozwój prz'!Q212+'Tab. 6B Polit społ i rozwój prz'!Q224</f>
        <v>40763444</v>
      </c>
      <c r="R279" s="455">
        <f>+R90+R115+'Tab. 6B Polit społ i rozwój prz'!R212+'Tab. 6B Polit społ i rozwój prz'!R224</f>
        <v>40232432</v>
      </c>
      <c r="S279" s="455">
        <f>+S90+S115+'Tab. 6B Polit społ i rozwój prz'!S212+'Tab. 6B Polit społ i rozwój prz'!S224</f>
        <v>37628917</v>
      </c>
      <c r="T279" s="455">
        <f>+T90+T115+'Tab. 6B Polit społ i rozwój prz'!T212+'Tab. 6B Polit społ i rozwój prz'!T224</f>
        <v>36659861</v>
      </c>
      <c r="U279" s="455">
        <f>+U90+U115+'Tab. 6B Polit społ i rozwój prz'!U212+'Tab. 6B Polit społ i rozwój prz'!U224</f>
        <v>36810053</v>
      </c>
      <c r="V279" s="455">
        <f>+V90+V115+'Tab. 6B Polit społ i rozwój prz'!V212+'Tab. 6B Polit społ i rozwój prz'!V224</f>
        <v>34597489</v>
      </c>
      <c r="W279" s="455">
        <f>+W90+W115+'Tab. 6B Polit społ i rozwój prz'!W212+'Tab. 6B Polit społ i rozwój prz'!W224</f>
        <v>34363386</v>
      </c>
      <c r="X279" s="455">
        <f>SUM(M279:W279)-D279</f>
        <v>299</v>
      </c>
    </row>
    <row r="280" spans="2:24" hidden="1">
      <c r="E280" s="585"/>
      <c r="F280" s="449"/>
    </row>
    <row r="281" spans="2:24" hidden="1">
      <c r="E281" s="585"/>
      <c r="F281" s="449"/>
    </row>
    <row r="282" spans="2:24" hidden="1">
      <c r="E282" s="585"/>
      <c r="F282" s="449"/>
    </row>
    <row r="283" spans="2:24" hidden="1">
      <c r="E283" s="585"/>
      <c r="F283" s="449"/>
    </row>
    <row r="284" spans="2:24" hidden="1">
      <c r="B284" s="448" t="s">
        <v>367</v>
      </c>
      <c r="C284" s="448" t="s">
        <v>365</v>
      </c>
      <c r="D284" s="455">
        <f>+D206+D172</f>
        <v>20000000</v>
      </c>
      <c r="E284" s="585"/>
      <c r="F284" s="449"/>
      <c r="P284" s="455">
        <f t="shared" ref="P284:V284" si="170">+P206+P172</f>
        <v>360377</v>
      </c>
      <c r="Q284" s="455">
        <f t="shared" si="170"/>
        <v>3013177</v>
      </c>
      <c r="R284" s="455">
        <f t="shared" si="170"/>
        <v>12609637</v>
      </c>
      <c r="S284" s="455">
        <f t="shared" si="170"/>
        <v>4016809</v>
      </c>
      <c r="T284" s="455">
        <f t="shared" si="170"/>
        <v>0</v>
      </c>
      <c r="U284" s="455">
        <f t="shared" si="170"/>
        <v>0</v>
      </c>
      <c r="V284" s="455">
        <f t="shared" si="170"/>
        <v>0</v>
      </c>
      <c r="X284" s="455">
        <f>SUM(M284:W284)-D284</f>
        <v>0</v>
      </c>
    </row>
    <row r="285" spans="2:24" hidden="1">
      <c r="C285" s="448" t="s">
        <v>366</v>
      </c>
      <c r="D285" s="455">
        <f>+D164+D191</f>
        <v>0</v>
      </c>
      <c r="E285" s="585"/>
      <c r="F285" s="449"/>
      <c r="P285" s="455">
        <f t="shared" ref="P285:V285" si="171">+P164+P191</f>
        <v>0</v>
      </c>
      <c r="Q285" s="455">
        <f t="shared" si="171"/>
        <v>0</v>
      </c>
      <c r="R285" s="455">
        <f t="shared" si="171"/>
        <v>0</v>
      </c>
      <c r="S285" s="455">
        <f t="shared" si="171"/>
        <v>0</v>
      </c>
      <c r="T285" s="455">
        <f t="shared" si="171"/>
        <v>0</v>
      </c>
      <c r="U285" s="455">
        <f t="shared" si="171"/>
        <v>0</v>
      </c>
      <c r="V285" s="455">
        <f t="shared" si="171"/>
        <v>0</v>
      </c>
      <c r="X285" s="455">
        <f>SUM(M285:W285)-D285</f>
        <v>0</v>
      </c>
    </row>
    <row r="286" spans="2:24" hidden="1">
      <c r="D286" s="455">
        <f>SUM(D284:D285)</f>
        <v>20000000</v>
      </c>
      <c r="E286" s="455">
        <f t="shared" ref="E286:V286" si="172">SUM(E284:E285)</f>
        <v>0</v>
      </c>
      <c r="F286" s="455">
        <f t="shared" si="172"/>
        <v>0</v>
      </c>
      <c r="G286" s="455">
        <f t="shared" si="172"/>
        <v>0</v>
      </c>
      <c r="H286" s="455">
        <f t="shared" si="172"/>
        <v>0</v>
      </c>
      <c r="I286" s="455">
        <f t="shared" si="172"/>
        <v>0</v>
      </c>
      <c r="J286" s="455">
        <f t="shared" si="172"/>
        <v>0</v>
      </c>
      <c r="K286" s="455">
        <f t="shared" si="172"/>
        <v>0</v>
      </c>
      <c r="L286" s="455">
        <f t="shared" si="172"/>
        <v>0</v>
      </c>
      <c r="M286" s="455">
        <f t="shared" si="172"/>
        <v>0</v>
      </c>
      <c r="N286" s="455">
        <f t="shared" si="172"/>
        <v>0</v>
      </c>
      <c r="O286" s="455">
        <f t="shared" si="172"/>
        <v>0</v>
      </c>
      <c r="P286" s="455">
        <f t="shared" si="172"/>
        <v>360377</v>
      </c>
      <c r="Q286" s="455">
        <f t="shared" si="172"/>
        <v>3013177</v>
      </c>
      <c r="R286" s="455">
        <f t="shared" si="172"/>
        <v>12609637</v>
      </c>
      <c r="S286" s="455">
        <f t="shared" si="172"/>
        <v>4016809</v>
      </c>
      <c r="T286" s="455">
        <f t="shared" si="172"/>
        <v>0</v>
      </c>
      <c r="U286" s="455">
        <f t="shared" si="172"/>
        <v>0</v>
      </c>
      <c r="V286" s="455">
        <f t="shared" si="172"/>
        <v>0</v>
      </c>
      <c r="X286" s="455">
        <f>SUM(M286:W286)-D286</f>
        <v>0</v>
      </c>
    </row>
    <row r="287" spans="2:24" hidden="1">
      <c r="B287" s="448" t="s">
        <v>453</v>
      </c>
      <c r="D287" s="455">
        <f>D140</f>
        <v>20000000</v>
      </c>
      <c r="E287" s="585"/>
      <c r="F287" s="449"/>
      <c r="M287" s="455">
        <f t="shared" ref="M287:V287" si="173">M140</f>
        <v>0</v>
      </c>
      <c r="N287" s="455">
        <f t="shared" si="173"/>
        <v>0</v>
      </c>
      <c r="O287" s="455">
        <f t="shared" si="173"/>
        <v>0</v>
      </c>
      <c r="P287" s="455">
        <f t="shared" si="173"/>
        <v>360377</v>
      </c>
      <c r="Q287" s="455">
        <f t="shared" si="173"/>
        <v>3013177</v>
      </c>
      <c r="R287" s="455">
        <f t="shared" si="173"/>
        <v>12609637</v>
      </c>
      <c r="S287" s="455">
        <f t="shared" si="173"/>
        <v>4016809</v>
      </c>
      <c r="T287" s="455">
        <f t="shared" si="173"/>
        <v>0</v>
      </c>
      <c r="U287" s="455">
        <f t="shared" si="173"/>
        <v>0</v>
      </c>
      <c r="V287" s="455">
        <f t="shared" si="173"/>
        <v>0</v>
      </c>
      <c r="X287" s="455">
        <f>SUM(M287:W287)-D287</f>
        <v>0</v>
      </c>
    </row>
    <row r="288" spans="2:24" hidden="1">
      <c r="E288" s="585"/>
      <c r="F288" s="449"/>
    </row>
    <row r="289" spans="2:24" hidden="1">
      <c r="B289" s="448" t="s">
        <v>454</v>
      </c>
      <c r="D289" s="455">
        <f>+D278+D286</f>
        <v>267298062</v>
      </c>
      <c r="E289" s="585"/>
      <c r="F289" s="449"/>
      <c r="M289" s="455">
        <f t="shared" ref="M289:W289" si="174">+M278+M286</f>
        <v>0</v>
      </c>
      <c r="N289" s="455">
        <f t="shared" si="174"/>
        <v>0</v>
      </c>
      <c r="O289" s="455">
        <f t="shared" si="174"/>
        <v>0</v>
      </c>
      <c r="P289" s="455">
        <f t="shared" si="174"/>
        <v>22557358</v>
      </c>
      <c r="Q289" s="455">
        <f t="shared" si="174"/>
        <v>40865803</v>
      </c>
      <c r="R289" s="455">
        <f t="shared" si="174"/>
        <v>42000000</v>
      </c>
      <c r="S289" s="455">
        <f t="shared" si="174"/>
        <v>41033627</v>
      </c>
      <c r="T289" s="455">
        <f t="shared" si="174"/>
        <v>30231855</v>
      </c>
      <c r="U289" s="455">
        <f t="shared" si="174"/>
        <v>30471862</v>
      </c>
      <c r="V289" s="455">
        <f t="shared" si="174"/>
        <v>30200542</v>
      </c>
      <c r="W289" s="455">
        <f t="shared" si="174"/>
        <v>29937015</v>
      </c>
      <c r="X289" s="455">
        <f>SUM(M289:W289)-D289</f>
        <v>0</v>
      </c>
    </row>
    <row r="290" spans="2:24" hidden="1">
      <c r="B290" s="448" t="s">
        <v>455</v>
      </c>
      <c r="D290" s="455">
        <f>+D279+D287</f>
        <v>314468308</v>
      </c>
      <c r="E290" s="585"/>
      <c r="F290" s="449"/>
      <c r="M290" s="455">
        <f t="shared" ref="M290:W290" si="175">+M279+M287</f>
        <v>0</v>
      </c>
      <c r="N290" s="455">
        <f t="shared" si="175"/>
        <v>0</v>
      </c>
      <c r="O290" s="455">
        <f t="shared" si="175"/>
        <v>400847</v>
      </c>
      <c r="P290" s="455">
        <f t="shared" si="175"/>
        <v>33372555</v>
      </c>
      <c r="Q290" s="455">
        <f t="shared" si="175"/>
        <v>43776621</v>
      </c>
      <c r="R290" s="455">
        <f t="shared" si="175"/>
        <v>52842069</v>
      </c>
      <c r="S290" s="455">
        <f t="shared" si="175"/>
        <v>41645726</v>
      </c>
      <c r="T290" s="455">
        <f t="shared" si="175"/>
        <v>36659861</v>
      </c>
      <c r="U290" s="455">
        <f t="shared" si="175"/>
        <v>36810053</v>
      </c>
      <c r="V290" s="455">
        <f t="shared" si="175"/>
        <v>34597489</v>
      </c>
      <c r="W290" s="455">
        <f t="shared" si="175"/>
        <v>34363386</v>
      </c>
      <c r="X290" s="455">
        <f>SUM(M290:W290)-D290</f>
        <v>299</v>
      </c>
    </row>
    <row r="291" spans="2:24" hidden="1">
      <c r="E291" s="585"/>
      <c r="F291" s="449"/>
    </row>
    <row r="292" spans="2:24" hidden="1">
      <c r="E292" s="585"/>
      <c r="F292" s="449"/>
    </row>
    <row r="293" spans="2:24" hidden="1">
      <c r="E293" s="585"/>
      <c r="F293" s="449"/>
    </row>
    <row r="294" spans="2:24" hidden="1">
      <c r="E294" s="585"/>
      <c r="F294" s="449"/>
    </row>
    <row r="295" spans="2:24" hidden="1">
      <c r="E295" s="585"/>
      <c r="F295" s="449"/>
    </row>
    <row r="296" spans="2:24" hidden="1">
      <c r="E296" s="585"/>
      <c r="F296" s="449"/>
    </row>
    <row r="297" spans="2:24" hidden="1">
      <c r="E297" s="585"/>
      <c r="F297" s="449"/>
    </row>
    <row r="298" spans="2:24" hidden="1">
      <c r="E298" s="585"/>
      <c r="F298" s="449"/>
    </row>
    <row r="299" spans="2:24" hidden="1">
      <c r="E299" s="585"/>
      <c r="F299" s="449"/>
    </row>
    <row r="300" spans="2:24" hidden="1">
      <c r="E300" s="585"/>
      <c r="F300" s="449"/>
    </row>
    <row r="301" spans="2:24" hidden="1">
      <c r="E301" s="585"/>
      <c r="F301" s="449"/>
    </row>
    <row r="302" spans="2:24" hidden="1">
      <c r="E302" s="585"/>
      <c r="F302" s="449"/>
    </row>
    <row r="303" spans="2:24" hidden="1">
      <c r="E303" s="585"/>
      <c r="F303" s="449"/>
    </row>
    <row r="304" spans="2:24" hidden="1">
      <c r="E304" s="585"/>
      <c r="F304" s="449"/>
    </row>
    <row r="305" spans="5:6" hidden="1">
      <c r="E305" s="585"/>
      <c r="F305" s="449"/>
    </row>
    <row r="306" spans="5:6" hidden="1">
      <c r="E306" s="585"/>
      <c r="F306" s="449"/>
    </row>
    <row r="307" spans="5:6" hidden="1">
      <c r="E307" s="585"/>
      <c r="F307" s="449"/>
    </row>
    <row r="308" spans="5:6" hidden="1">
      <c r="E308" s="585"/>
      <c r="F308" s="449"/>
    </row>
    <row r="309" spans="5:6" hidden="1">
      <c r="E309" s="585"/>
      <c r="F309" s="449"/>
    </row>
    <row r="310" spans="5:6" hidden="1">
      <c r="E310" s="585"/>
      <c r="F310" s="449"/>
    </row>
    <row r="311" spans="5:6" hidden="1">
      <c r="E311" s="585"/>
      <c r="F311" s="449"/>
    </row>
    <row r="312" spans="5:6" hidden="1">
      <c r="E312" s="585"/>
      <c r="F312" s="449"/>
    </row>
    <row r="313" spans="5:6" hidden="1">
      <c r="E313" s="585"/>
      <c r="F313" s="449"/>
    </row>
    <row r="314" spans="5:6" hidden="1">
      <c r="E314" s="585"/>
      <c r="F314" s="449"/>
    </row>
    <row r="315" spans="5:6" hidden="1">
      <c r="E315" s="585"/>
      <c r="F315" s="449"/>
    </row>
    <row r="316" spans="5:6" hidden="1">
      <c r="E316" s="585"/>
      <c r="F316" s="449"/>
    </row>
    <row r="317" spans="5:6" hidden="1">
      <c r="E317" s="585"/>
      <c r="F317" s="449"/>
    </row>
    <row r="318" spans="5:6" hidden="1">
      <c r="E318" s="585"/>
      <c r="F318" s="449"/>
    </row>
    <row r="319" spans="5:6" hidden="1">
      <c r="E319" s="585"/>
      <c r="F319" s="449"/>
    </row>
    <row r="320" spans="5:6" hidden="1">
      <c r="E320" s="585"/>
      <c r="F320" s="449"/>
    </row>
    <row r="321" spans="5:6" hidden="1">
      <c r="E321" s="585"/>
      <c r="F321" s="449"/>
    </row>
    <row r="322" spans="5:6" hidden="1">
      <c r="E322" s="585"/>
      <c r="F322" s="449"/>
    </row>
    <row r="323" spans="5:6" hidden="1">
      <c r="E323" s="585"/>
      <c r="F323" s="449"/>
    </row>
    <row r="324" spans="5:6" hidden="1">
      <c r="E324" s="585"/>
      <c r="F324" s="449"/>
    </row>
    <row r="325" spans="5:6" hidden="1">
      <c r="E325" s="585"/>
      <c r="F325" s="449"/>
    </row>
    <row r="326" spans="5:6" hidden="1">
      <c r="E326" s="585"/>
      <c r="F326" s="449"/>
    </row>
    <row r="327" spans="5:6" hidden="1">
      <c r="E327" s="585"/>
      <c r="F327" s="449"/>
    </row>
    <row r="328" spans="5:6" hidden="1">
      <c r="E328" s="585"/>
      <c r="F328" s="449"/>
    </row>
    <row r="329" spans="5:6" hidden="1">
      <c r="E329" s="585"/>
      <c r="F329" s="449"/>
    </row>
    <row r="330" spans="5:6" hidden="1">
      <c r="E330" s="585"/>
      <c r="F330" s="449"/>
    </row>
    <row r="331" spans="5:6" hidden="1">
      <c r="E331" s="585"/>
      <c r="F331" s="449"/>
    </row>
    <row r="332" spans="5:6" hidden="1">
      <c r="E332" s="585"/>
      <c r="F332" s="449"/>
    </row>
    <row r="333" spans="5:6" hidden="1">
      <c r="E333" s="585"/>
      <c r="F333" s="449"/>
    </row>
    <row r="334" spans="5:6" hidden="1">
      <c r="E334" s="585"/>
      <c r="F334" s="449"/>
    </row>
    <row r="335" spans="5:6" hidden="1">
      <c r="E335" s="585"/>
      <c r="F335" s="449"/>
    </row>
    <row r="336" spans="5:6" hidden="1">
      <c r="E336" s="585"/>
      <c r="F336" s="449"/>
    </row>
    <row r="337" spans="5:6" hidden="1">
      <c r="E337" s="585"/>
      <c r="F337" s="449"/>
    </row>
    <row r="338" spans="5:6" hidden="1">
      <c r="E338" s="585"/>
      <c r="F338" s="449"/>
    </row>
    <row r="339" spans="5:6" hidden="1">
      <c r="E339" s="585"/>
      <c r="F339" s="449"/>
    </row>
    <row r="340" spans="5:6" hidden="1">
      <c r="E340" s="585"/>
      <c r="F340" s="449"/>
    </row>
    <row r="341" spans="5:6" hidden="1">
      <c r="E341" s="585"/>
      <c r="F341" s="449"/>
    </row>
    <row r="342" spans="5:6" hidden="1">
      <c r="E342" s="585"/>
      <c r="F342" s="449"/>
    </row>
    <row r="343" spans="5:6" hidden="1">
      <c r="E343" s="585"/>
      <c r="F343" s="449"/>
    </row>
    <row r="344" spans="5:6" hidden="1">
      <c r="E344" s="585"/>
      <c r="F344" s="449"/>
    </row>
    <row r="345" spans="5:6" hidden="1">
      <c r="E345" s="585"/>
      <c r="F345" s="449"/>
    </row>
    <row r="346" spans="5:6" hidden="1">
      <c r="E346" s="585"/>
      <c r="F346" s="449"/>
    </row>
    <row r="347" spans="5:6" hidden="1">
      <c r="E347" s="585"/>
      <c r="F347" s="449"/>
    </row>
    <row r="348" spans="5:6" hidden="1">
      <c r="E348" s="585"/>
      <c r="F348" s="449"/>
    </row>
    <row r="349" spans="5:6" hidden="1">
      <c r="E349" s="585"/>
      <c r="F349" s="449"/>
    </row>
    <row r="350" spans="5:6" hidden="1">
      <c r="E350" s="585"/>
      <c r="F350" s="449"/>
    </row>
    <row r="351" spans="5:6" hidden="1">
      <c r="E351" s="585"/>
      <c r="F351" s="449"/>
    </row>
    <row r="352" spans="5:6" hidden="1">
      <c r="E352" s="585"/>
      <c r="F352" s="449"/>
    </row>
    <row r="353" spans="5:6" hidden="1">
      <c r="E353" s="585"/>
      <c r="F353" s="449"/>
    </row>
    <row r="354" spans="5:6" hidden="1">
      <c r="E354" s="585"/>
      <c r="F354" s="449"/>
    </row>
    <row r="355" spans="5:6" hidden="1">
      <c r="E355" s="585"/>
      <c r="F355" s="449"/>
    </row>
    <row r="356" spans="5:6" hidden="1">
      <c r="E356" s="585"/>
      <c r="F356" s="449"/>
    </row>
    <row r="357" spans="5:6" hidden="1">
      <c r="E357" s="585"/>
      <c r="F357" s="449"/>
    </row>
    <row r="358" spans="5:6" hidden="1">
      <c r="E358" s="585"/>
      <c r="F358" s="449"/>
    </row>
    <row r="359" spans="5:6" hidden="1">
      <c r="E359" s="585"/>
      <c r="F359" s="449"/>
    </row>
    <row r="360" spans="5:6" hidden="1">
      <c r="E360" s="585"/>
      <c r="F360" s="449"/>
    </row>
    <row r="361" spans="5:6" hidden="1">
      <c r="E361" s="585"/>
      <c r="F361" s="449"/>
    </row>
    <row r="362" spans="5:6" hidden="1">
      <c r="E362" s="585"/>
      <c r="F362" s="449"/>
    </row>
    <row r="363" spans="5:6" hidden="1">
      <c r="E363" s="585"/>
      <c r="F363" s="449"/>
    </row>
    <row r="364" spans="5:6" hidden="1">
      <c r="E364" s="585"/>
      <c r="F364" s="449"/>
    </row>
    <row r="365" spans="5:6" hidden="1">
      <c r="E365" s="585"/>
      <c r="F365" s="449"/>
    </row>
    <row r="366" spans="5:6" hidden="1">
      <c r="E366" s="585"/>
      <c r="F366" s="449"/>
    </row>
    <row r="367" spans="5:6" hidden="1">
      <c r="E367" s="585"/>
      <c r="F367" s="449"/>
    </row>
    <row r="368" spans="5:6" hidden="1">
      <c r="E368" s="585"/>
      <c r="F368" s="449"/>
    </row>
    <row r="369" spans="5:6" hidden="1">
      <c r="E369" s="585"/>
      <c r="F369" s="449"/>
    </row>
    <row r="370" spans="5:6" hidden="1">
      <c r="E370" s="585"/>
      <c r="F370" s="449"/>
    </row>
    <row r="371" spans="5:6" hidden="1">
      <c r="E371" s="585"/>
      <c r="F371" s="449"/>
    </row>
    <row r="372" spans="5:6" hidden="1">
      <c r="E372" s="585"/>
      <c r="F372" s="449"/>
    </row>
    <row r="373" spans="5:6" hidden="1">
      <c r="E373" s="585"/>
      <c r="F373" s="449"/>
    </row>
    <row r="374" spans="5:6" hidden="1">
      <c r="E374" s="585"/>
      <c r="F374" s="449"/>
    </row>
    <row r="375" spans="5:6" hidden="1">
      <c r="E375" s="585"/>
      <c r="F375" s="449"/>
    </row>
    <row r="376" spans="5:6" hidden="1">
      <c r="E376" s="585"/>
      <c r="F376" s="449"/>
    </row>
    <row r="377" spans="5:6" hidden="1">
      <c r="E377" s="585"/>
      <c r="F377" s="449"/>
    </row>
    <row r="378" spans="5:6" hidden="1">
      <c r="E378" s="585"/>
      <c r="F378" s="449"/>
    </row>
    <row r="379" spans="5:6" hidden="1">
      <c r="E379" s="585"/>
      <c r="F379" s="449"/>
    </row>
    <row r="380" spans="5:6" hidden="1">
      <c r="E380" s="585"/>
      <c r="F380" s="449"/>
    </row>
    <row r="381" spans="5:6" hidden="1">
      <c r="E381" s="585"/>
      <c r="F381" s="449"/>
    </row>
    <row r="382" spans="5:6" hidden="1">
      <c r="E382" s="585"/>
      <c r="F382" s="449"/>
    </row>
    <row r="383" spans="5:6" hidden="1">
      <c r="E383" s="585"/>
      <c r="F383" s="449"/>
    </row>
    <row r="384" spans="5:6" hidden="1">
      <c r="E384" s="585"/>
      <c r="F384" s="449"/>
    </row>
    <row r="385" spans="5:6" hidden="1">
      <c r="E385" s="585"/>
      <c r="F385" s="449"/>
    </row>
    <row r="386" spans="5:6" hidden="1">
      <c r="E386" s="585"/>
      <c r="F386" s="449"/>
    </row>
    <row r="387" spans="5:6" hidden="1">
      <c r="E387" s="585"/>
      <c r="F387" s="449"/>
    </row>
    <row r="388" spans="5:6" hidden="1">
      <c r="E388" s="585"/>
      <c r="F388" s="449"/>
    </row>
    <row r="389" spans="5:6" hidden="1">
      <c r="E389" s="585"/>
      <c r="F389" s="449"/>
    </row>
    <row r="390" spans="5:6" hidden="1">
      <c r="E390" s="585"/>
      <c r="F390" s="449"/>
    </row>
    <row r="391" spans="5:6" hidden="1">
      <c r="E391" s="585"/>
      <c r="F391" s="449"/>
    </row>
    <row r="392" spans="5:6" hidden="1">
      <c r="E392" s="585"/>
      <c r="F392" s="449"/>
    </row>
    <row r="393" spans="5:6" hidden="1">
      <c r="E393" s="585"/>
      <c r="F393" s="449"/>
    </row>
    <row r="394" spans="5:6" hidden="1">
      <c r="E394" s="585"/>
      <c r="F394" s="449"/>
    </row>
    <row r="395" spans="5:6" hidden="1">
      <c r="E395" s="585"/>
      <c r="F395" s="449"/>
    </row>
    <row r="396" spans="5:6" hidden="1">
      <c r="E396" s="585"/>
      <c r="F396" s="449"/>
    </row>
    <row r="397" spans="5:6" hidden="1">
      <c r="E397" s="585"/>
      <c r="F397" s="449"/>
    </row>
    <row r="398" spans="5:6" hidden="1">
      <c r="E398" s="585"/>
      <c r="F398" s="449"/>
    </row>
    <row r="399" spans="5:6" hidden="1">
      <c r="E399" s="585"/>
      <c r="F399" s="449"/>
    </row>
    <row r="400" spans="5:6" hidden="1">
      <c r="E400" s="585"/>
      <c r="F400" s="449"/>
    </row>
    <row r="401" spans="5:6" hidden="1">
      <c r="E401" s="585"/>
      <c r="F401" s="449"/>
    </row>
    <row r="402" spans="5:6" hidden="1">
      <c r="E402" s="585"/>
      <c r="F402" s="449"/>
    </row>
    <row r="403" spans="5:6" hidden="1">
      <c r="E403" s="585"/>
      <c r="F403" s="449"/>
    </row>
    <row r="404" spans="5:6" hidden="1">
      <c r="E404" s="585"/>
      <c r="F404" s="449"/>
    </row>
    <row r="405" spans="5:6" hidden="1">
      <c r="E405" s="585"/>
      <c r="F405" s="449"/>
    </row>
    <row r="406" spans="5:6" hidden="1">
      <c r="E406" s="585"/>
      <c r="F406" s="449"/>
    </row>
    <row r="407" spans="5:6" hidden="1">
      <c r="E407" s="585"/>
      <c r="F407" s="449"/>
    </row>
    <row r="408" spans="5:6" hidden="1">
      <c r="E408" s="585"/>
      <c r="F408" s="449"/>
    </row>
    <row r="409" spans="5:6" hidden="1">
      <c r="E409" s="585"/>
      <c r="F409" s="449"/>
    </row>
    <row r="410" spans="5:6" hidden="1">
      <c r="E410" s="585"/>
      <c r="F410" s="449"/>
    </row>
    <row r="411" spans="5:6" hidden="1">
      <c r="E411" s="585"/>
      <c r="F411" s="449"/>
    </row>
    <row r="412" spans="5:6" hidden="1">
      <c r="E412" s="585"/>
      <c r="F412" s="449"/>
    </row>
    <row r="413" spans="5:6" hidden="1">
      <c r="E413" s="585"/>
      <c r="F413" s="449"/>
    </row>
    <row r="414" spans="5:6" hidden="1">
      <c r="E414" s="585"/>
      <c r="F414" s="449"/>
    </row>
    <row r="415" spans="5:6" hidden="1">
      <c r="E415" s="585"/>
      <c r="F415" s="449"/>
    </row>
    <row r="416" spans="5:6" hidden="1">
      <c r="E416" s="585"/>
      <c r="F416" s="449"/>
    </row>
    <row r="417" spans="5:6" hidden="1">
      <c r="E417" s="585"/>
      <c r="F417" s="449"/>
    </row>
    <row r="418" spans="5:6" hidden="1">
      <c r="E418" s="585"/>
      <c r="F418" s="449"/>
    </row>
    <row r="419" spans="5:6" hidden="1">
      <c r="E419" s="585"/>
      <c r="F419" s="449"/>
    </row>
    <row r="420" spans="5:6" hidden="1">
      <c r="E420" s="585"/>
      <c r="F420" s="449"/>
    </row>
    <row r="421" spans="5:6" hidden="1">
      <c r="E421" s="585"/>
      <c r="F421" s="449"/>
    </row>
    <row r="422" spans="5:6" hidden="1">
      <c r="E422" s="585"/>
      <c r="F422" s="449"/>
    </row>
    <row r="423" spans="5:6" hidden="1">
      <c r="E423" s="585"/>
      <c r="F423" s="449"/>
    </row>
    <row r="424" spans="5:6" hidden="1">
      <c r="E424" s="585"/>
      <c r="F424" s="449"/>
    </row>
    <row r="425" spans="5:6" hidden="1">
      <c r="E425" s="585"/>
      <c r="F425" s="449"/>
    </row>
    <row r="426" spans="5:6" hidden="1">
      <c r="E426" s="585"/>
      <c r="F426" s="449"/>
    </row>
    <row r="427" spans="5:6" hidden="1">
      <c r="E427" s="585"/>
      <c r="F427" s="449"/>
    </row>
    <row r="428" spans="5:6" hidden="1">
      <c r="E428" s="585"/>
      <c r="F428" s="449"/>
    </row>
    <row r="429" spans="5:6" hidden="1">
      <c r="E429" s="585"/>
      <c r="F429" s="449"/>
    </row>
    <row r="430" spans="5:6" hidden="1">
      <c r="E430" s="585"/>
      <c r="F430" s="449"/>
    </row>
    <row r="431" spans="5:6" hidden="1">
      <c r="E431" s="585"/>
      <c r="F431" s="449"/>
    </row>
    <row r="432" spans="5:6" hidden="1">
      <c r="E432" s="585"/>
      <c r="F432" s="449"/>
    </row>
    <row r="433" spans="5:6" hidden="1">
      <c r="E433" s="585"/>
      <c r="F433" s="449"/>
    </row>
    <row r="434" spans="5:6" hidden="1">
      <c r="E434" s="585"/>
      <c r="F434" s="449"/>
    </row>
    <row r="435" spans="5:6" hidden="1">
      <c r="E435" s="585"/>
      <c r="F435" s="449"/>
    </row>
    <row r="436" spans="5:6" hidden="1">
      <c r="E436" s="585"/>
      <c r="F436" s="449"/>
    </row>
    <row r="437" spans="5:6" hidden="1">
      <c r="E437" s="585"/>
      <c r="F437" s="449"/>
    </row>
    <row r="438" spans="5:6" hidden="1">
      <c r="E438" s="585"/>
      <c r="F438" s="449"/>
    </row>
    <row r="439" spans="5:6" hidden="1">
      <c r="E439" s="585"/>
      <c r="F439" s="449"/>
    </row>
    <row r="440" spans="5:6" hidden="1">
      <c r="E440" s="585"/>
      <c r="F440" s="449"/>
    </row>
    <row r="441" spans="5:6" hidden="1">
      <c r="E441" s="585"/>
      <c r="F441" s="449"/>
    </row>
    <row r="442" spans="5:6" hidden="1">
      <c r="E442" s="585"/>
      <c r="F442" s="449"/>
    </row>
    <row r="443" spans="5:6" hidden="1">
      <c r="E443" s="585"/>
      <c r="F443" s="449"/>
    </row>
    <row r="444" spans="5:6" hidden="1">
      <c r="E444" s="585"/>
      <c r="F444" s="449"/>
    </row>
    <row r="445" spans="5:6" hidden="1">
      <c r="E445" s="585"/>
      <c r="F445" s="449"/>
    </row>
    <row r="446" spans="5:6" hidden="1">
      <c r="E446" s="585"/>
      <c r="F446" s="449"/>
    </row>
    <row r="447" spans="5:6" hidden="1">
      <c r="E447" s="585"/>
      <c r="F447" s="449"/>
    </row>
    <row r="448" spans="5:6" hidden="1">
      <c r="E448" s="585"/>
      <c r="F448" s="449"/>
    </row>
    <row r="449" spans="5:6" hidden="1">
      <c r="E449" s="585"/>
      <c r="F449" s="449"/>
    </row>
    <row r="450" spans="5:6" hidden="1">
      <c r="E450" s="585"/>
      <c r="F450" s="449"/>
    </row>
    <row r="451" spans="5:6" hidden="1">
      <c r="E451" s="585"/>
      <c r="F451" s="449"/>
    </row>
    <row r="452" spans="5:6" hidden="1">
      <c r="E452" s="585"/>
      <c r="F452" s="449"/>
    </row>
    <row r="453" spans="5:6" hidden="1">
      <c r="E453" s="585"/>
      <c r="F453" s="449"/>
    </row>
    <row r="454" spans="5:6" hidden="1">
      <c r="E454" s="585"/>
      <c r="F454" s="449"/>
    </row>
    <row r="455" spans="5:6" hidden="1">
      <c r="E455" s="585"/>
      <c r="F455" s="449"/>
    </row>
    <row r="456" spans="5:6" hidden="1">
      <c r="E456" s="585"/>
      <c r="F456" s="449"/>
    </row>
    <row r="457" spans="5:6" hidden="1">
      <c r="E457" s="585"/>
      <c r="F457" s="449"/>
    </row>
    <row r="458" spans="5:6" hidden="1">
      <c r="E458" s="585"/>
      <c r="F458" s="449"/>
    </row>
    <row r="459" spans="5:6" hidden="1">
      <c r="E459" s="585"/>
      <c r="F459" s="449"/>
    </row>
    <row r="460" spans="5:6" hidden="1">
      <c r="E460" s="585"/>
      <c r="F460" s="449"/>
    </row>
    <row r="461" spans="5:6" hidden="1">
      <c r="E461" s="585"/>
      <c r="F461" s="449"/>
    </row>
    <row r="462" spans="5:6" hidden="1">
      <c r="E462" s="585"/>
      <c r="F462" s="449"/>
    </row>
    <row r="463" spans="5:6" hidden="1">
      <c r="E463" s="585"/>
      <c r="F463" s="449"/>
    </row>
    <row r="464" spans="5:6" hidden="1">
      <c r="E464" s="585"/>
      <c r="F464" s="449"/>
    </row>
    <row r="465" spans="5:6">
      <c r="E465" s="585"/>
      <c r="F465" s="449"/>
    </row>
    <row r="466" spans="5:6">
      <c r="E466" s="585"/>
      <c r="F466" s="449"/>
    </row>
    <row r="467" spans="5:6">
      <c r="E467" s="585"/>
      <c r="F467" s="449"/>
    </row>
    <row r="468" spans="5:6">
      <c r="E468" s="585"/>
      <c r="F468" s="449"/>
    </row>
    <row r="469" spans="5:6">
      <c r="E469" s="585"/>
      <c r="F469" s="449"/>
    </row>
    <row r="470" spans="5:6">
      <c r="E470" s="585"/>
      <c r="F470" s="449"/>
    </row>
    <row r="471" spans="5:6">
      <c r="E471" s="585"/>
      <c r="F471" s="449"/>
    </row>
    <row r="472" spans="5:6">
      <c r="E472" s="585"/>
      <c r="F472" s="449"/>
    </row>
    <row r="473" spans="5:6">
      <c r="E473" s="585"/>
      <c r="F473" s="449"/>
    </row>
    <row r="474" spans="5:6">
      <c r="E474" s="585"/>
      <c r="F474" s="449"/>
    </row>
    <row r="475" spans="5:6">
      <c r="E475" s="585"/>
      <c r="F475" s="449"/>
    </row>
    <row r="476" spans="5:6">
      <c r="E476" s="585"/>
      <c r="F476" s="449"/>
    </row>
    <row r="477" spans="5:6">
      <c r="E477" s="585"/>
      <c r="F477" s="449"/>
    </row>
    <row r="478" spans="5:6">
      <c r="E478" s="585"/>
      <c r="F478" s="449"/>
    </row>
    <row r="479" spans="5:6">
      <c r="E479" s="585"/>
      <c r="F479" s="449"/>
    </row>
    <row r="480" spans="5:6">
      <c r="E480" s="585"/>
      <c r="F480" s="449"/>
    </row>
    <row r="481" spans="5:6">
      <c r="E481" s="585"/>
      <c r="F481" s="449"/>
    </row>
    <row r="482" spans="5:6">
      <c r="E482" s="585"/>
      <c r="F482" s="449"/>
    </row>
    <row r="483" spans="5:6">
      <c r="E483" s="585"/>
      <c r="F483" s="449"/>
    </row>
    <row r="484" spans="5:6">
      <c r="E484" s="585"/>
      <c r="F484" s="449"/>
    </row>
    <row r="485" spans="5:6">
      <c r="E485" s="585"/>
      <c r="F485" s="449"/>
    </row>
    <row r="486" spans="5:6">
      <c r="E486" s="585"/>
      <c r="F486" s="449"/>
    </row>
    <row r="487" spans="5:6">
      <c r="E487" s="585"/>
      <c r="F487" s="449"/>
    </row>
    <row r="488" spans="5:6">
      <c r="E488" s="585"/>
      <c r="F488" s="449"/>
    </row>
    <row r="489" spans="5:6">
      <c r="E489" s="585"/>
      <c r="F489" s="449"/>
    </row>
    <row r="490" spans="5:6">
      <c r="E490" s="585"/>
      <c r="F490" s="449"/>
    </row>
    <row r="491" spans="5:6">
      <c r="E491" s="585"/>
      <c r="F491" s="449"/>
    </row>
    <row r="492" spans="5:6">
      <c r="E492" s="585"/>
      <c r="F492" s="449"/>
    </row>
    <row r="493" spans="5:6">
      <c r="E493" s="585"/>
      <c r="F493" s="449"/>
    </row>
    <row r="494" spans="5:6">
      <c r="E494" s="585"/>
      <c r="F494" s="449"/>
    </row>
    <row r="495" spans="5:6">
      <c r="E495" s="585"/>
      <c r="F495" s="449"/>
    </row>
    <row r="496" spans="5:6">
      <c r="E496" s="585"/>
      <c r="F496" s="449"/>
    </row>
    <row r="497" spans="5:6">
      <c r="E497" s="585"/>
      <c r="F497" s="449"/>
    </row>
    <row r="498" spans="5:6">
      <c r="E498" s="585"/>
      <c r="F498" s="449"/>
    </row>
    <row r="499" spans="5:6">
      <c r="E499" s="585"/>
      <c r="F499" s="449"/>
    </row>
    <row r="500" spans="5:6">
      <c r="E500" s="585"/>
      <c r="F500" s="449"/>
    </row>
    <row r="501" spans="5:6">
      <c r="E501" s="585"/>
      <c r="F501" s="449"/>
    </row>
    <row r="502" spans="5:6">
      <c r="E502" s="585"/>
      <c r="F502" s="449"/>
    </row>
    <row r="503" spans="5:6">
      <c r="E503" s="585"/>
      <c r="F503" s="449"/>
    </row>
    <row r="504" spans="5:6">
      <c r="E504" s="585"/>
      <c r="F504" s="449"/>
    </row>
    <row r="505" spans="5:6">
      <c r="E505" s="585"/>
      <c r="F505" s="449"/>
    </row>
    <row r="506" spans="5:6">
      <c r="E506" s="585"/>
      <c r="F506" s="449"/>
    </row>
    <row r="507" spans="5:6">
      <c r="E507" s="585"/>
      <c r="F507" s="449"/>
    </row>
    <row r="508" spans="5:6">
      <c r="E508" s="585"/>
      <c r="F508" s="449"/>
    </row>
    <row r="509" spans="5:6">
      <c r="E509" s="585"/>
      <c r="F509" s="449"/>
    </row>
    <row r="510" spans="5:6">
      <c r="E510" s="585"/>
      <c r="F510" s="449"/>
    </row>
    <row r="511" spans="5:6">
      <c r="E511" s="585"/>
      <c r="F511" s="449"/>
    </row>
    <row r="512" spans="5:6">
      <c r="E512" s="585"/>
      <c r="F512" s="449"/>
    </row>
    <row r="513" spans="5:6">
      <c r="E513" s="585"/>
      <c r="F513" s="449"/>
    </row>
    <row r="514" spans="5:6">
      <c r="E514" s="585"/>
      <c r="F514" s="449"/>
    </row>
    <row r="515" spans="5:6">
      <c r="E515" s="585"/>
      <c r="F515" s="449"/>
    </row>
    <row r="516" spans="5:6">
      <c r="E516" s="585"/>
      <c r="F516" s="449"/>
    </row>
    <row r="517" spans="5:6">
      <c r="E517" s="585"/>
      <c r="F517" s="449"/>
    </row>
    <row r="518" spans="5:6">
      <c r="E518" s="585"/>
      <c r="F518" s="449"/>
    </row>
    <row r="519" spans="5:6">
      <c r="E519" s="585"/>
      <c r="F519" s="449"/>
    </row>
    <row r="520" spans="5:6">
      <c r="E520" s="585"/>
      <c r="F520" s="449"/>
    </row>
    <row r="521" spans="5:6">
      <c r="E521" s="585"/>
      <c r="F521" s="449"/>
    </row>
    <row r="522" spans="5:6">
      <c r="E522" s="585"/>
      <c r="F522" s="449"/>
    </row>
    <row r="523" spans="5:6">
      <c r="E523" s="585"/>
      <c r="F523" s="449"/>
    </row>
    <row r="524" spans="5:6">
      <c r="E524" s="585"/>
      <c r="F524" s="449"/>
    </row>
    <row r="525" spans="5:6">
      <c r="E525" s="585"/>
      <c r="F525" s="449"/>
    </row>
    <row r="526" spans="5:6">
      <c r="E526" s="585"/>
      <c r="F526" s="449"/>
    </row>
    <row r="527" spans="5:6">
      <c r="E527" s="585"/>
      <c r="F527" s="449"/>
    </row>
    <row r="528" spans="5:6" ht="13.5" thickBot="1">
      <c r="E528" s="585"/>
      <c r="F528" s="449"/>
    </row>
    <row r="529" spans="1:25" ht="45">
      <c r="A529" s="589"/>
      <c r="B529" s="590" t="s">
        <v>83</v>
      </c>
      <c r="C529" s="590"/>
      <c r="D529" s="591"/>
      <c r="E529" s="592"/>
      <c r="F529" s="593"/>
      <c r="G529" s="593"/>
      <c r="H529" s="593"/>
      <c r="I529" s="594"/>
      <c r="J529" s="594"/>
      <c r="K529" s="594"/>
      <c r="L529" s="594"/>
      <c r="M529" s="591"/>
      <c r="N529" s="591"/>
      <c r="O529" s="591"/>
      <c r="P529" s="591"/>
      <c r="Q529" s="591"/>
      <c r="R529" s="591"/>
      <c r="S529" s="591"/>
      <c r="T529" s="591"/>
      <c r="U529" s="591"/>
      <c r="V529" s="591"/>
      <c r="W529" s="591"/>
      <c r="X529" s="591"/>
      <c r="Y529" s="595"/>
    </row>
    <row r="530" spans="1:25">
      <c r="A530" s="596"/>
      <c r="E530" s="585"/>
      <c r="F530" s="449"/>
      <c r="Y530" s="597"/>
    </row>
    <row r="531" spans="1:25">
      <c r="A531" s="596"/>
      <c r="E531" s="585"/>
      <c r="F531" s="449"/>
      <c r="Y531" s="597"/>
    </row>
    <row r="532" spans="1:25">
      <c r="A532" s="596"/>
      <c r="E532" s="585"/>
      <c r="F532" s="449"/>
      <c r="Y532" s="597"/>
    </row>
    <row r="533" spans="1:25">
      <c r="A533" s="596"/>
      <c r="E533" s="585"/>
      <c r="F533" s="449"/>
      <c r="Y533" s="597"/>
    </row>
    <row r="534" spans="1:25">
      <c r="A534" s="596"/>
      <c r="E534" s="585"/>
      <c r="F534" s="449"/>
      <c r="Y534" s="597"/>
    </row>
    <row r="535" spans="1:25">
      <c r="A535" s="596"/>
      <c r="E535" s="585"/>
      <c r="F535" s="449"/>
      <c r="Y535" s="597"/>
    </row>
    <row r="536" spans="1:25">
      <c r="A536" s="596"/>
      <c r="E536" s="585"/>
      <c r="F536" s="449"/>
      <c r="Y536" s="597"/>
    </row>
    <row r="537" spans="1:25">
      <c r="A537" s="596"/>
      <c r="E537" s="585"/>
      <c r="F537" s="449"/>
      <c r="Y537" s="597"/>
    </row>
    <row r="538" spans="1:25">
      <c r="A538" s="596"/>
      <c r="E538" s="585"/>
      <c r="F538" s="449"/>
      <c r="Y538" s="597"/>
    </row>
    <row r="539" spans="1:25">
      <c r="A539" s="596"/>
      <c r="E539" s="585"/>
      <c r="F539" s="449"/>
      <c r="Y539" s="597"/>
    </row>
    <row r="540" spans="1:25" ht="13.5" thickBot="1">
      <c r="A540" s="598"/>
      <c r="B540" s="599"/>
      <c r="C540" s="599"/>
      <c r="D540" s="599"/>
      <c r="E540" s="600"/>
      <c r="F540" s="601"/>
      <c r="G540" s="601"/>
      <c r="H540" s="601"/>
      <c r="I540" s="602"/>
      <c r="J540" s="602"/>
      <c r="K540" s="602"/>
      <c r="L540" s="602"/>
      <c r="M540" s="599"/>
      <c r="N540" s="599"/>
      <c r="O540" s="599"/>
      <c r="P540" s="599"/>
      <c r="Q540" s="599"/>
      <c r="R540" s="599"/>
      <c r="S540" s="599"/>
      <c r="T540" s="599"/>
      <c r="U540" s="599"/>
      <c r="V540" s="599"/>
      <c r="W540" s="599"/>
      <c r="X540" s="599"/>
      <c r="Y540" s="603"/>
    </row>
    <row r="541" spans="1:25">
      <c r="E541" s="585"/>
      <c r="F541" s="449"/>
    </row>
    <row r="542" spans="1:25">
      <c r="E542" s="585"/>
      <c r="F542" s="449"/>
    </row>
    <row r="543" spans="1:25">
      <c r="E543" s="585"/>
      <c r="F543" s="449"/>
    </row>
    <row r="544" spans="1:25">
      <c r="E544" s="585"/>
      <c r="F544" s="449"/>
    </row>
    <row r="545" spans="5:6">
      <c r="E545" s="585"/>
      <c r="F545" s="449"/>
    </row>
    <row r="546" spans="5:6">
      <c r="E546" s="585"/>
      <c r="F546" s="449"/>
    </row>
    <row r="547" spans="5:6">
      <c r="E547" s="585"/>
      <c r="F547" s="449"/>
    </row>
    <row r="548" spans="5:6">
      <c r="E548" s="585"/>
      <c r="F548" s="449"/>
    </row>
    <row r="549" spans="5:6">
      <c r="E549" s="585"/>
      <c r="F549" s="449"/>
    </row>
    <row r="550" spans="5:6">
      <c r="E550" s="585"/>
      <c r="F550" s="449"/>
    </row>
    <row r="551" spans="5:6">
      <c r="E551" s="585"/>
      <c r="F551" s="449"/>
    </row>
    <row r="552" spans="5:6">
      <c r="E552" s="585"/>
      <c r="F552" s="449"/>
    </row>
    <row r="553" spans="5:6">
      <c r="E553" s="585"/>
      <c r="F553" s="449"/>
    </row>
    <row r="554" spans="5:6">
      <c r="E554" s="585"/>
      <c r="F554" s="449"/>
    </row>
    <row r="555" spans="5:6">
      <c r="E555" s="585"/>
      <c r="F555" s="449"/>
    </row>
    <row r="556" spans="5:6">
      <c r="E556" s="585"/>
      <c r="F556" s="449"/>
    </row>
    <row r="557" spans="5:6">
      <c r="E557" s="585"/>
      <c r="F557" s="449"/>
    </row>
    <row r="558" spans="5:6">
      <c r="E558" s="585"/>
      <c r="F558" s="449"/>
    </row>
    <row r="559" spans="5:6">
      <c r="E559" s="585"/>
      <c r="F559" s="449"/>
    </row>
    <row r="560" spans="5:6">
      <c r="E560" s="585"/>
      <c r="F560" s="449"/>
    </row>
    <row r="561" spans="5:6">
      <c r="E561" s="585"/>
      <c r="F561" s="449"/>
    </row>
    <row r="562" spans="5:6">
      <c r="E562" s="585"/>
      <c r="F562" s="449"/>
    </row>
    <row r="563" spans="5:6">
      <c r="E563" s="585"/>
      <c r="F563" s="449"/>
    </row>
    <row r="564" spans="5:6">
      <c r="E564" s="585"/>
      <c r="F564" s="449"/>
    </row>
    <row r="565" spans="5:6">
      <c r="E565" s="585"/>
      <c r="F565" s="449"/>
    </row>
    <row r="566" spans="5:6">
      <c r="E566" s="585"/>
      <c r="F566" s="449"/>
    </row>
    <row r="567" spans="5:6">
      <c r="E567" s="585"/>
      <c r="F567" s="449"/>
    </row>
    <row r="568" spans="5:6">
      <c r="E568" s="585"/>
      <c r="F568" s="449"/>
    </row>
    <row r="569" spans="5:6">
      <c r="E569" s="585"/>
      <c r="F569" s="449"/>
    </row>
    <row r="570" spans="5:6">
      <c r="E570" s="585"/>
      <c r="F570" s="449"/>
    </row>
    <row r="571" spans="5:6">
      <c r="E571" s="585"/>
      <c r="F571" s="449"/>
    </row>
    <row r="572" spans="5:6">
      <c r="E572" s="585"/>
      <c r="F572" s="449"/>
    </row>
    <row r="573" spans="5:6">
      <c r="E573" s="585"/>
      <c r="F573" s="449"/>
    </row>
    <row r="574" spans="5:6">
      <c r="E574" s="585"/>
      <c r="F574" s="449"/>
    </row>
    <row r="575" spans="5:6">
      <c r="E575" s="585"/>
      <c r="F575" s="449"/>
    </row>
    <row r="576" spans="5:6">
      <c r="E576" s="585"/>
      <c r="F576" s="449"/>
    </row>
    <row r="577" spans="5:6">
      <c r="E577" s="585"/>
      <c r="F577" s="449"/>
    </row>
    <row r="578" spans="5:6">
      <c r="E578" s="585"/>
      <c r="F578" s="449"/>
    </row>
    <row r="579" spans="5:6">
      <c r="E579" s="585"/>
      <c r="F579" s="449"/>
    </row>
    <row r="580" spans="5:6">
      <c r="E580" s="585"/>
      <c r="F580" s="449"/>
    </row>
    <row r="581" spans="5:6">
      <c r="E581" s="585"/>
      <c r="F581" s="449"/>
    </row>
    <row r="582" spans="5:6">
      <c r="E582" s="585"/>
      <c r="F582" s="449"/>
    </row>
    <row r="583" spans="5:6">
      <c r="E583" s="585"/>
      <c r="F583" s="449"/>
    </row>
    <row r="584" spans="5:6">
      <c r="E584" s="585"/>
      <c r="F584" s="449"/>
    </row>
    <row r="585" spans="5:6">
      <c r="E585" s="585"/>
      <c r="F585" s="449"/>
    </row>
    <row r="586" spans="5:6">
      <c r="E586" s="585"/>
      <c r="F586" s="449"/>
    </row>
    <row r="587" spans="5:6">
      <c r="E587" s="585"/>
      <c r="F587" s="449"/>
    </row>
    <row r="588" spans="5:6">
      <c r="E588" s="585"/>
      <c r="F588" s="449"/>
    </row>
    <row r="589" spans="5:6">
      <c r="E589" s="585"/>
      <c r="F589" s="449"/>
    </row>
    <row r="590" spans="5:6">
      <c r="E590" s="585"/>
      <c r="F590" s="449"/>
    </row>
    <row r="591" spans="5:6">
      <c r="E591" s="585"/>
      <c r="F591" s="449"/>
    </row>
    <row r="592" spans="5:6">
      <c r="E592" s="585"/>
      <c r="F592" s="449"/>
    </row>
    <row r="593" spans="5:6">
      <c r="E593" s="585"/>
      <c r="F593" s="449"/>
    </row>
    <row r="594" spans="5:6">
      <c r="E594" s="585"/>
      <c r="F594" s="449"/>
    </row>
    <row r="595" spans="5:6">
      <c r="E595" s="585"/>
      <c r="F595" s="449"/>
    </row>
    <row r="596" spans="5:6">
      <c r="E596" s="585"/>
      <c r="F596" s="449"/>
    </row>
    <row r="597" spans="5:6">
      <c r="E597" s="585"/>
      <c r="F597" s="449"/>
    </row>
    <row r="598" spans="5:6">
      <c r="E598" s="585"/>
      <c r="F598" s="449"/>
    </row>
    <row r="599" spans="5:6">
      <c r="E599" s="585"/>
      <c r="F599" s="449"/>
    </row>
    <row r="600" spans="5:6">
      <c r="E600" s="585"/>
      <c r="F600" s="449"/>
    </row>
    <row r="601" spans="5:6">
      <c r="E601" s="585"/>
      <c r="F601" s="449"/>
    </row>
    <row r="602" spans="5:6">
      <c r="E602" s="585"/>
      <c r="F602" s="449"/>
    </row>
    <row r="603" spans="5:6">
      <c r="E603" s="585"/>
      <c r="F603" s="449"/>
    </row>
    <row r="604" spans="5:6">
      <c r="E604" s="585"/>
      <c r="F604" s="449"/>
    </row>
    <row r="605" spans="5:6">
      <c r="E605" s="585"/>
      <c r="F605" s="449"/>
    </row>
    <row r="606" spans="5:6">
      <c r="E606" s="585"/>
      <c r="F606" s="449"/>
    </row>
    <row r="607" spans="5:6">
      <c r="E607" s="585"/>
      <c r="F607" s="449"/>
    </row>
    <row r="608" spans="5:6">
      <c r="E608" s="585"/>
      <c r="F608" s="449"/>
    </row>
    <row r="609" spans="5:6">
      <c r="E609" s="585"/>
      <c r="F609" s="449"/>
    </row>
    <row r="610" spans="5:6">
      <c r="E610" s="585"/>
      <c r="F610" s="449"/>
    </row>
    <row r="611" spans="5:6">
      <c r="E611" s="585"/>
      <c r="F611" s="449"/>
    </row>
    <row r="612" spans="5:6">
      <c r="E612" s="585"/>
      <c r="F612" s="449"/>
    </row>
    <row r="613" spans="5:6">
      <c r="E613" s="585"/>
      <c r="F613" s="449"/>
    </row>
    <row r="614" spans="5:6">
      <c r="E614" s="585"/>
      <c r="F614" s="449"/>
    </row>
    <row r="615" spans="5:6">
      <c r="E615" s="585"/>
      <c r="F615" s="449"/>
    </row>
    <row r="616" spans="5:6">
      <c r="E616" s="585"/>
      <c r="F616" s="449"/>
    </row>
    <row r="617" spans="5:6">
      <c r="E617" s="585"/>
      <c r="F617" s="449"/>
    </row>
    <row r="618" spans="5:6">
      <c r="E618" s="585"/>
      <c r="F618" s="449"/>
    </row>
    <row r="619" spans="5:6">
      <c r="E619" s="585"/>
      <c r="F619" s="449"/>
    </row>
    <row r="620" spans="5:6">
      <c r="E620" s="585"/>
      <c r="F620" s="449"/>
    </row>
    <row r="621" spans="5:6">
      <c r="E621" s="585"/>
      <c r="F621" s="449"/>
    </row>
    <row r="622" spans="5:6">
      <c r="E622" s="585"/>
      <c r="F622" s="449"/>
    </row>
    <row r="623" spans="5:6">
      <c r="E623" s="585"/>
      <c r="F623" s="449"/>
    </row>
    <row r="624" spans="5:6">
      <c r="E624" s="585"/>
      <c r="F624" s="449"/>
    </row>
    <row r="625" spans="5:6">
      <c r="E625" s="585"/>
      <c r="F625" s="449"/>
    </row>
    <row r="626" spans="5:6">
      <c r="E626" s="585"/>
      <c r="F626" s="449"/>
    </row>
    <row r="627" spans="5:6">
      <c r="E627" s="585"/>
      <c r="F627" s="449"/>
    </row>
    <row r="628" spans="5:6">
      <c r="E628" s="585"/>
      <c r="F628" s="449"/>
    </row>
    <row r="629" spans="5:6">
      <c r="E629" s="585"/>
      <c r="F629" s="449"/>
    </row>
    <row r="630" spans="5:6">
      <c r="E630" s="585"/>
      <c r="F630" s="449"/>
    </row>
    <row r="631" spans="5:6">
      <c r="E631" s="585"/>
      <c r="F631" s="449"/>
    </row>
    <row r="632" spans="5:6">
      <c r="E632" s="585"/>
      <c r="F632" s="449"/>
    </row>
    <row r="633" spans="5:6">
      <c r="E633" s="585"/>
      <c r="F633" s="449"/>
    </row>
    <row r="634" spans="5:6">
      <c r="E634" s="585"/>
      <c r="F634" s="449"/>
    </row>
    <row r="635" spans="5:6">
      <c r="E635" s="585"/>
      <c r="F635" s="449"/>
    </row>
    <row r="636" spans="5:6">
      <c r="E636" s="585"/>
      <c r="F636" s="449"/>
    </row>
    <row r="637" spans="5:6">
      <c r="E637" s="585"/>
      <c r="F637" s="449"/>
    </row>
    <row r="638" spans="5:6">
      <c r="E638" s="585"/>
      <c r="F638" s="449"/>
    </row>
    <row r="639" spans="5:6">
      <c r="E639" s="585"/>
      <c r="F639" s="449"/>
    </row>
    <row r="640" spans="5:6">
      <c r="E640" s="585"/>
      <c r="F640" s="449"/>
    </row>
    <row r="641" spans="5:6">
      <c r="E641" s="585"/>
      <c r="F641" s="449"/>
    </row>
    <row r="642" spans="5:6">
      <c r="E642" s="585"/>
      <c r="F642" s="449"/>
    </row>
    <row r="643" spans="5:6">
      <c r="E643" s="585"/>
      <c r="F643" s="449"/>
    </row>
    <row r="644" spans="5:6">
      <c r="E644" s="585"/>
      <c r="F644" s="449"/>
    </row>
    <row r="645" spans="5:6">
      <c r="E645" s="585"/>
      <c r="F645" s="449"/>
    </row>
    <row r="646" spans="5:6">
      <c r="E646" s="585"/>
      <c r="F646" s="449"/>
    </row>
    <row r="647" spans="5:6">
      <c r="E647" s="585"/>
      <c r="F647" s="449"/>
    </row>
    <row r="648" spans="5:6">
      <c r="E648" s="585"/>
      <c r="F648" s="449"/>
    </row>
    <row r="649" spans="5:6">
      <c r="E649" s="585"/>
      <c r="F649" s="449"/>
    </row>
    <row r="650" spans="5:6">
      <c r="E650" s="585"/>
      <c r="F650" s="449"/>
    </row>
    <row r="651" spans="5:6">
      <c r="E651" s="585"/>
      <c r="F651" s="449"/>
    </row>
    <row r="652" spans="5:6">
      <c r="E652" s="585"/>
      <c r="F652" s="449"/>
    </row>
    <row r="653" spans="5:6">
      <c r="E653" s="585"/>
      <c r="F653" s="449"/>
    </row>
    <row r="654" spans="5:6">
      <c r="E654" s="585"/>
      <c r="F654" s="449"/>
    </row>
    <row r="655" spans="5:6">
      <c r="E655" s="585"/>
      <c r="F655" s="449"/>
    </row>
    <row r="656" spans="5:6">
      <c r="E656" s="585"/>
      <c r="F656" s="449"/>
    </row>
    <row r="657" spans="5:6">
      <c r="E657" s="585"/>
      <c r="F657" s="449"/>
    </row>
    <row r="658" spans="5:6">
      <c r="E658" s="585"/>
      <c r="F658" s="449"/>
    </row>
    <row r="659" spans="5:6">
      <c r="E659" s="585"/>
      <c r="F659" s="449"/>
    </row>
    <row r="660" spans="5:6">
      <c r="E660" s="585"/>
      <c r="F660" s="449"/>
    </row>
    <row r="661" spans="5:6">
      <c r="E661" s="585"/>
      <c r="F661" s="449"/>
    </row>
    <row r="662" spans="5:6">
      <c r="E662" s="585"/>
      <c r="F662" s="449"/>
    </row>
    <row r="663" spans="5:6">
      <c r="E663" s="585"/>
      <c r="F663" s="449"/>
    </row>
    <row r="664" spans="5:6">
      <c r="E664" s="585"/>
      <c r="F664" s="449"/>
    </row>
    <row r="665" spans="5:6">
      <c r="E665" s="585"/>
      <c r="F665" s="449"/>
    </row>
    <row r="666" spans="5:6">
      <c r="E666" s="585"/>
      <c r="F666" s="449"/>
    </row>
    <row r="667" spans="5:6">
      <c r="E667" s="585"/>
      <c r="F667" s="449"/>
    </row>
    <row r="668" spans="5:6">
      <c r="E668" s="585"/>
      <c r="F668" s="449"/>
    </row>
    <row r="669" spans="5:6">
      <c r="E669" s="585"/>
      <c r="F669" s="449"/>
    </row>
    <row r="670" spans="5:6">
      <c r="E670" s="585"/>
      <c r="F670" s="449"/>
    </row>
    <row r="671" spans="5:6">
      <c r="E671" s="585"/>
      <c r="F671" s="449"/>
    </row>
    <row r="672" spans="5:6">
      <c r="E672" s="585"/>
      <c r="F672" s="449"/>
    </row>
    <row r="673" spans="5:6">
      <c r="E673" s="585"/>
      <c r="F673" s="449"/>
    </row>
    <row r="674" spans="5:6">
      <c r="E674" s="585"/>
      <c r="F674" s="449"/>
    </row>
    <row r="675" spans="5:6">
      <c r="E675" s="585"/>
      <c r="F675" s="449"/>
    </row>
    <row r="676" spans="5:6">
      <c r="E676" s="585"/>
      <c r="F676" s="449"/>
    </row>
    <row r="677" spans="5:6">
      <c r="E677" s="585"/>
      <c r="F677" s="449"/>
    </row>
    <row r="678" spans="5:6">
      <c r="E678" s="585"/>
      <c r="F678" s="449"/>
    </row>
    <row r="679" spans="5:6">
      <c r="E679" s="585"/>
      <c r="F679" s="449"/>
    </row>
    <row r="680" spans="5:6">
      <c r="E680" s="585"/>
      <c r="F680" s="449"/>
    </row>
    <row r="681" spans="5:6">
      <c r="E681" s="585"/>
      <c r="F681" s="449"/>
    </row>
    <row r="682" spans="5:6">
      <c r="E682" s="585"/>
      <c r="F682" s="449"/>
    </row>
    <row r="683" spans="5:6">
      <c r="E683" s="585"/>
      <c r="F683" s="449"/>
    </row>
    <row r="684" spans="5:6">
      <c r="E684" s="585"/>
      <c r="F684" s="449"/>
    </row>
    <row r="685" spans="5:6">
      <c r="E685" s="585"/>
      <c r="F685" s="449"/>
    </row>
    <row r="686" spans="5:6">
      <c r="E686" s="585"/>
      <c r="F686" s="449"/>
    </row>
    <row r="687" spans="5:6">
      <c r="E687" s="585"/>
      <c r="F687" s="449"/>
    </row>
    <row r="688" spans="5:6">
      <c r="E688" s="585"/>
      <c r="F688" s="449"/>
    </row>
    <row r="689" spans="5:6">
      <c r="E689" s="585"/>
      <c r="F689" s="449"/>
    </row>
    <row r="690" spans="5:6">
      <c r="E690" s="585"/>
      <c r="F690" s="449"/>
    </row>
    <row r="691" spans="5:6">
      <c r="E691" s="585"/>
      <c r="F691" s="449"/>
    </row>
    <row r="692" spans="5:6">
      <c r="E692" s="585"/>
      <c r="F692" s="449"/>
    </row>
    <row r="693" spans="5:6">
      <c r="E693" s="585"/>
      <c r="F693" s="449"/>
    </row>
    <row r="694" spans="5:6">
      <c r="E694" s="585"/>
      <c r="F694" s="449"/>
    </row>
    <row r="695" spans="5:6">
      <c r="E695" s="585"/>
      <c r="F695" s="449"/>
    </row>
    <row r="696" spans="5:6">
      <c r="E696" s="585"/>
      <c r="F696" s="449"/>
    </row>
    <row r="697" spans="5:6">
      <c r="E697" s="585"/>
      <c r="F697" s="449"/>
    </row>
    <row r="698" spans="5:6">
      <c r="E698" s="585"/>
      <c r="F698" s="449"/>
    </row>
    <row r="699" spans="5:6">
      <c r="E699" s="585"/>
      <c r="F699" s="449"/>
    </row>
    <row r="700" spans="5:6">
      <c r="E700" s="585"/>
      <c r="F700" s="449"/>
    </row>
    <row r="701" spans="5:6">
      <c r="E701" s="585"/>
      <c r="F701" s="449"/>
    </row>
    <row r="702" spans="5:6">
      <c r="E702" s="585"/>
      <c r="F702" s="449"/>
    </row>
    <row r="703" spans="5:6">
      <c r="E703" s="585"/>
      <c r="F703" s="449"/>
    </row>
    <row r="704" spans="5:6">
      <c r="E704" s="585"/>
      <c r="F704" s="449"/>
    </row>
    <row r="705" spans="5:6">
      <c r="E705" s="585"/>
      <c r="F705" s="449"/>
    </row>
    <row r="706" spans="5:6">
      <c r="E706" s="585"/>
      <c r="F706" s="449"/>
    </row>
    <row r="707" spans="5:6">
      <c r="E707" s="585"/>
      <c r="F707" s="449"/>
    </row>
    <row r="708" spans="5:6">
      <c r="E708" s="585"/>
      <c r="F708" s="449"/>
    </row>
    <row r="709" spans="5:6">
      <c r="E709" s="585"/>
      <c r="F709" s="449"/>
    </row>
    <row r="710" spans="5:6">
      <c r="E710" s="585"/>
      <c r="F710" s="449"/>
    </row>
    <row r="711" spans="5:6">
      <c r="E711" s="585"/>
      <c r="F711" s="449"/>
    </row>
    <row r="712" spans="5:6">
      <c r="E712" s="585"/>
      <c r="F712" s="449"/>
    </row>
    <row r="713" spans="5:6">
      <c r="E713" s="585"/>
      <c r="F713" s="449"/>
    </row>
    <row r="714" spans="5:6">
      <c r="E714" s="585"/>
      <c r="F714" s="449"/>
    </row>
    <row r="715" spans="5:6">
      <c r="E715" s="585"/>
      <c r="F715" s="449"/>
    </row>
    <row r="716" spans="5:6">
      <c r="E716" s="585"/>
      <c r="F716" s="449"/>
    </row>
    <row r="717" spans="5:6">
      <c r="E717" s="585"/>
      <c r="F717" s="449"/>
    </row>
    <row r="718" spans="5:6">
      <c r="E718" s="585"/>
      <c r="F718" s="449"/>
    </row>
    <row r="719" spans="5:6">
      <c r="E719" s="585"/>
      <c r="F719" s="449"/>
    </row>
    <row r="720" spans="5:6">
      <c r="E720" s="585"/>
      <c r="F720" s="449"/>
    </row>
    <row r="721" spans="5:6">
      <c r="E721" s="585"/>
      <c r="F721" s="449"/>
    </row>
    <row r="722" spans="5:6">
      <c r="E722" s="585"/>
      <c r="F722" s="449"/>
    </row>
    <row r="723" spans="5:6">
      <c r="E723" s="585"/>
      <c r="F723" s="449"/>
    </row>
    <row r="724" spans="5:6">
      <c r="E724" s="585"/>
      <c r="F724" s="449"/>
    </row>
    <row r="725" spans="5:6">
      <c r="E725" s="585"/>
      <c r="F725" s="449"/>
    </row>
    <row r="726" spans="5:6">
      <c r="E726" s="585"/>
      <c r="F726" s="449"/>
    </row>
    <row r="727" spans="5:6">
      <c r="E727" s="585"/>
      <c r="F727" s="449"/>
    </row>
    <row r="728" spans="5:6">
      <c r="E728" s="585"/>
      <c r="F728" s="449"/>
    </row>
    <row r="729" spans="5:6">
      <c r="E729" s="585"/>
      <c r="F729" s="449"/>
    </row>
    <row r="730" spans="5:6">
      <c r="E730" s="585"/>
      <c r="F730" s="449"/>
    </row>
    <row r="731" spans="5:6">
      <c r="E731" s="585"/>
      <c r="F731" s="449"/>
    </row>
    <row r="732" spans="5:6">
      <c r="E732" s="585"/>
      <c r="F732" s="449"/>
    </row>
    <row r="733" spans="5:6">
      <c r="E733" s="585"/>
      <c r="F733" s="449"/>
    </row>
    <row r="734" spans="5:6">
      <c r="E734" s="585"/>
      <c r="F734" s="449"/>
    </row>
    <row r="735" spans="5:6">
      <c r="E735" s="585"/>
      <c r="F735" s="449"/>
    </row>
    <row r="736" spans="5:6">
      <c r="E736" s="585"/>
      <c r="F736" s="449"/>
    </row>
    <row r="737" spans="5:6">
      <c r="E737" s="585"/>
      <c r="F737" s="449"/>
    </row>
    <row r="738" spans="5:6">
      <c r="E738" s="585"/>
      <c r="F738" s="449"/>
    </row>
    <row r="739" spans="5:6">
      <c r="E739" s="585"/>
      <c r="F739" s="449"/>
    </row>
    <row r="740" spans="5:6">
      <c r="E740" s="585"/>
      <c r="F740" s="449"/>
    </row>
    <row r="741" spans="5:6">
      <c r="E741" s="585"/>
      <c r="F741" s="449"/>
    </row>
    <row r="742" spans="5:6">
      <c r="E742" s="585"/>
      <c r="F742" s="449"/>
    </row>
    <row r="743" spans="5:6">
      <c r="E743" s="585"/>
      <c r="F743" s="449"/>
    </row>
    <row r="744" spans="5:6">
      <c r="E744" s="585"/>
      <c r="F744" s="449"/>
    </row>
    <row r="745" spans="5:6">
      <c r="E745" s="585"/>
      <c r="F745" s="449"/>
    </row>
    <row r="746" spans="5:6">
      <c r="E746" s="585"/>
      <c r="F746" s="449"/>
    </row>
    <row r="747" spans="5:6">
      <c r="E747" s="585"/>
      <c r="F747" s="449"/>
    </row>
    <row r="748" spans="5:6">
      <c r="E748" s="585"/>
      <c r="F748" s="449"/>
    </row>
    <row r="749" spans="5:6">
      <c r="E749" s="585"/>
      <c r="F749" s="449"/>
    </row>
    <row r="750" spans="5:6">
      <c r="E750" s="585"/>
      <c r="F750" s="449"/>
    </row>
    <row r="751" spans="5:6">
      <c r="E751" s="585"/>
      <c r="F751" s="449"/>
    </row>
    <row r="752" spans="5:6">
      <c r="E752" s="585"/>
      <c r="F752" s="449"/>
    </row>
    <row r="753" spans="5:6">
      <c r="E753" s="585"/>
      <c r="F753" s="449"/>
    </row>
    <row r="754" spans="5:6">
      <c r="E754" s="585"/>
      <c r="F754" s="449"/>
    </row>
    <row r="755" spans="5:6">
      <c r="E755" s="585"/>
      <c r="F755" s="449"/>
    </row>
    <row r="756" spans="5:6">
      <c r="E756" s="585"/>
      <c r="F756" s="449"/>
    </row>
    <row r="757" spans="5:6">
      <c r="E757" s="585"/>
      <c r="F757" s="449"/>
    </row>
    <row r="758" spans="5:6">
      <c r="E758" s="585"/>
      <c r="F758" s="449"/>
    </row>
    <row r="759" spans="5:6">
      <c r="E759" s="585"/>
      <c r="F759" s="449"/>
    </row>
    <row r="760" spans="5:6">
      <c r="E760" s="585"/>
      <c r="F760" s="449"/>
    </row>
    <row r="761" spans="5:6">
      <c r="E761" s="585"/>
      <c r="F761" s="449"/>
    </row>
    <row r="762" spans="5:6">
      <c r="E762" s="585"/>
      <c r="F762" s="449"/>
    </row>
    <row r="763" spans="5:6">
      <c r="E763" s="585"/>
      <c r="F763" s="449"/>
    </row>
    <row r="764" spans="5:6">
      <c r="E764" s="585"/>
      <c r="F764" s="449"/>
    </row>
    <row r="765" spans="5:6">
      <c r="E765" s="585"/>
      <c r="F765" s="449"/>
    </row>
    <row r="766" spans="5:6">
      <c r="E766" s="585"/>
      <c r="F766" s="449"/>
    </row>
    <row r="767" spans="5:6">
      <c r="E767" s="585"/>
      <c r="F767" s="449"/>
    </row>
    <row r="768" spans="5:6">
      <c r="E768" s="585"/>
      <c r="F768" s="449"/>
    </row>
    <row r="769" spans="5:6">
      <c r="E769" s="585"/>
      <c r="F769" s="449"/>
    </row>
    <row r="770" spans="5:6">
      <c r="E770" s="585"/>
      <c r="F770" s="449"/>
    </row>
    <row r="771" spans="5:6">
      <c r="E771" s="585"/>
      <c r="F771" s="449"/>
    </row>
    <row r="772" spans="5:6">
      <c r="E772" s="585"/>
      <c r="F772" s="449"/>
    </row>
    <row r="773" spans="5:6">
      <c r="E773" s="585"/>
      <c r="F773" s="449"/>
    </row>
    <row r="774" spans="5:6">
      <c r="E774" s="585"/>
      <c r="F774" s="449"/>
    </row>
    <row r="775" spans="5:6">
      <c r="E775" s="585"/>
      <c r="F775" s="449"/>
    </row>
    <row r="776" spans="5:6">
      <c r="E776" s="585"/>
      <c r="F776" s="449"/>
    </row>
    <row r="777" spans="5:6">
      <c r="E777" s="585"/>
      <c r="F777" s="449"/>
    </row>
    <row r="778" spans="5:6">
      <c r="E778" s="585"/>
      <c r="F778" s="449"/>
    </row>
    <row r="779" spans="5:6">
      <c r="E779" s="585"/>
      <c r="F779" s="449"/>
    </row>
    <row r="780" spans="5:6">
      <c r="E780" s="585"/>
      <c r="F780" s="449"/>
    </row>
    <row r="781" spans="5:6">
      <c r="E781" s="585"/>
      <c r="F781" s="449"/>
    </row>
    <row r="782" spans="5:6">
      <c r="E782" s="585"/>
      <c r="F782" s="449"/>
    </row>
    <row r="783" spans="5:6">
      <c r="E783" s="585"/>
      <c r="F783" s="449"/>
    </row>
    <row r="784" spans="5:6">
      <c r="E784" s="585"/>
      <c r="F784" s="449"/>
    </row>
    <row r="785" spans="5:6">
      <c r="E785" s="585"/>
      <c r="F785" s="449"/>
    </row>
    <row r="786" spans="5:6">
      <c r="E786" s="585"/>
      <c r="F786" s="449"/>
    </row>
    <row r="787" spans="5:6">
      <c r="E787" s="585"/>
      <c r="F787" s="449"/>
    </row>
    <row r="788" spans="5:6">
      <c r="E788" s="585"/>
      <c r="F788" s="449"/>
    </row>
    <row r="789" spans="5:6">
      <c r="E789" s="585"/>
      <c r="F789" s="449"/>
    </row>
    <row r="790" spans="5:6">
      <c r="E790" s="585"/>
      <c r="F790" s="449"/>
    </row>
    <row r="791" spans="5:6">
      <c r="E791" s="585"/>
      <c r="F791" s="449"/>
    </row>
    <row r="792" spans="5:6">
      <c r="E792" s="585"/>
      <c r="F792" s="449"/>
    </row>
    <row r="793" spans="5:6">
      <c r="E793" s="585"/>
      <c r="F793" s="449"/>
    </row>
    <row r="794" spans="5:6">
      <c r="E794" s="585"/>
      <c r="F794" s="449"/>
    </row>
    <row r="795" spans="5:6">
      <c r="E795" s="585"/>
      <c r="F795" s="449"/>
    </row>
    <row r="796" spans="5:6">
      <c r="E796" s="585"/>
      <c r="F796" s="449"/>
    </row>
    <row r="797" spans="5:6">
      <c r="E797" s="585"/>
      <c r="F797" s="449"/>
    </row>
    <row r="798" spans="5:6">
      <c r="E798" s="585"/>
      <c r="F798" s="449"/>
    </row>
    <row r="799" spans="5:6">
      <c r="E799" s="585"/>
      <c r="F799" s="449"/>
    </row>
    <row r="800" spans="5:6">
      <c r="E800" s="585"/>
      <c r="F800" s="449"/>
    </row>
    <row r="801" spans="5:6">
      <c r="E801" s="585"/>
      <c r="F801" s="449"/>
    </row>
    <row r="802" spans="5:6">
      <c r="E802" s="585"/>
      <c r="F802" s="449"/>
    </row>
    <row r="803" spans="5:6">
      <c r="E803" s="585"/>
      <c r="F803" s="449"/>
    </row>
    <row r="804" spans="5:6">
      <c r="E804" s="585"/>
      <c r="F804" s="449"/>
    </row>
    <row r="805" spans="5:6">
      <c r="E805" s="585"/>
      <c r="F805" s="449"/>
    </row>
    <row r="806" spans="5:6">
      <c r="E806" s="585"/>
      <c r="F806" s="449"/>
    </row>
    <row r="807" spans="5:6">
      <c r="E807" s="585"/>
      <c r="F807" s="449"/>
    </row>
    <row r="808" spans="5:6">
      <c r="E808" s="585"/>
      <c r="F808" s="449"/>
    </row>
    <row r="809" spans="5:6">
      <c r="E809" s="585"/>
      <c r="F809" s="449"/>
    </row>
    <row r="810" spans="5:6">
      <c r="E810" s="585"/>
      <c r="F810" s="449"/>
    </row>
    <row r="811" spans="5:6">
      <c r="E811" s="585"/>
      <c r="F811" s="449"/>
    </row>
    <row r="812" spans="5:6">
      <c r="E812" s="585"/>
      <c r="F812" s="449"/>
    </row>
    <row r="813" spans="5:6">
      <c r="E813" s="585"/>
      <c r="F813" s="449"/>
    </row>
    <row r="814" spans="5:6">
      <c r="E814" s="585"/>
      <c r="F814" s="449"/>
    </row>
    <row r="815" spans="5:6">
      <c r="E815" s="585"/>
      <c r="F815" s="449"/>
    </row>
    <row r="816" spans="5:6">
      <c r="E816" s="585"/>
      <c r="F816" s="449"/>
    </row>
    <row r="817" spans="5:6">
      <c r="E817" s="585"/>
      <c r="F817" s="449"/>
    </row>
    <row r="818" spans="5:6">
      <c r="E818" s="585"/>
      <c r="F818" s="449"/>
    </row>
    <row r="819" spans="5:6">
      <c r="E819" s="585"/>
      <c r="F819" s="449"/>
    </row>
    <row r="820" spans="5:6">
      <c r="E820" s="585"/>
      <c r="F820" s="449"/>
    </row>
    <row r="821" spans="5:6">
      <c r="E821" s="585"/>
      <c r="F821" s="449"/>
    </row>
    <row r="822" spans="5:6">
      <c r="E822" s="585"/>
      <c r="F822" s="449"/>
    </row>
    <row r="823" spans="5:6">
      <c r="E823" s="585"/>
      <c r="F823" s="449"/>
    </row>
    <row r="824" spans="5:6">
      <c r="E824" s="585"/>
      <c r="F824" s="449"/>
    </row>
    <row r="825" spans="5:6">
      <c r="E825" s="585"/>
      <c r="F825" s="449"/>
    </row>
    <row r="826" spans="5:6">
      <c r="E826" s="585"/>
      <c r="F826" s="449"/>
    </row>
    <row r="827" spans="5:6">
      <c r="E827" s="585"/>
      <c r="F827" s="449"/>
    </row>
    <row r="828" spans="5:6">
      <c r="E828" s="585"/>
      <c r="F828" s="449"/>
    </row>
    <row r="829" spans="5:6">
      <c r="E829" s="585"/>
      <c r="F829" s="449"/>
    </row>
    <row r="830" spans="5:6">
      <c r="E830" s="585"/>
      <c r="F830" s="449"/>
    </row>
    <row r="831" spans="5:6">
      <c r="E831" s="585"/>
      <c r="F831" s="449"/>
    </row>
    <row r="832" spans="5:6">
      <c r="E832" s="585"/>
      <c r="F832" s="449"/>
    </row>
    <row r="833" spans="5:6">
      <c r="E833" s="585"/>
      <c r="F833" s="449"/>
    </row>
    <row r="834" spans="5:6">
      <c r="E834" s="585"/>
      <c r="F834" s="449"/>
    </row>
  </sheetData>
  <mergeCells count="105">
    <mergeCell ref="Y133:Y147"/>
    <mergeCell ref="Y89:Y113"/>
    <mergeCell ref="X111:X113"/>
    <mergeCell ref="A69:A79"/>
    <mergeCell ref="X75:X79"/>
    <mergeCell ref="X86:X88"/>
    <mergeCell ref="Y69:Y79"/>
    <mergeCell ref="C71:C74"/>
    <mergeCell ref="C76:C79"/>
    <mergeCell ref="A80:A88"/>
    <mergeCell ref="A89:A113"/>
    <mergeCell ref="A114:A132"/>
    <mergeCell ref="C131:C132"/>
    <mergeCell ref="C116:C121"/>
    <mergeCell ref="C112:C113"/>
    <mergeCell ref="C91:C102"/>
    <mergeCell ref="Y80:Y88"/>
    <mergeCell ref="C82:C85"/>
    <mergeCell ref="C87:C88"/>
    <mergeCell ref="Y114:Y132"/>
    <mergeCell ref="X130:X132"/>
    <mergeCell ref="C144:C147"/>
    <mergeCell ref="X143:X147"/>
    <mergeCell ref="A192:A204"/>
    <mergeCell ref="A208:A220"/>
    <mergeCell ref="A221:A231"/>
    <mergeCell ref="X241:X243"/>
    <mergeCell ref="C135:C142"/>
    <mergeCell ref="C160:C161"/>
    <mergeCell ref="X174:X180"/>
    <mergeCell ref="X159:X164"/>
    <mergeCell ref="A133:A147"/>
    <mergeCell ref="A151:A163"/>
    <mergeCell ref="C228:C231"/>
    <mergeCell ref="A165:A178"/>
    <mergeCell ref="A181:A190"/>
    <mergeCell ref="X21:X26"/>
    <mergeCell ref="X33:X35"/>
    <mergeCell ref="A58:A68"/>
    <mergeCell ref="Y58:Y68"/>
    <mergeCell ref="C60:C63"/>
    <mergeCell ref="C65:C68"/>
    <mergeCell ref="X64:X68"/>
    <mergeCell ref="Y47:Y57"/>
    <mergeCell ref="C49:C52"/>
    <mergeCell ref="C54:C57"/>
    <mergeCell ref="A47:A57"/>
    <mergeCell ref="X42:X46"/>
    <mergeCell ref="X53:X57"/>
    <mergeCell ref="A27:A35"/>
    <mergeCell ref="Y27:Y35"/>
    <mergeCell ref="C29:C32"/>
    <mergeCell ref="C34:C35"/>
    <mergeCell ref="A36:A46"/>
    <mergeCell ref="Y36:Y46"/>
    <mergeCell ref="C38:C41"/>
    <mergeCell ref="C43:C46"/>
    <mergeCell ref="A5:Y5"/>
    <mergeCell ref="B6:B8"/>
    <mergeCell ref="C6:C8"/>
    <mergeCell ref="D6:D8"/>
    <mergeCell ref="Y6:Y8"/>
    <mergeCell ref="X6:X8"/>
    <mergeCell ref="M6:M7"/>
    <mergeCell ref="O6:O7"/>
    <mergeCell ref="P6:P7"/>
    <mergeCell ref="Q6:W7"/>
    <mergeCell ref="B263:B265"/>
    <mergeCell ref="A260:Y260"/>
    <mergeCell ref="A244:A247"/>
    <mergeCell ref="Y244:Y247"/>
    <mergeCell ref="Y234:Y243"/>
    <mergeCell ref="C238:C240"/>
    <mergeCell ref="C242:C243"/>
    <mergeCell ref="C258:C259"/>
    <mergeCell ref="X257:X259"/>
    <mergeCell ref="D252:W252"/>
    <mergeCell ref="Y248:Y251"/>
    <mergeCell ref="C250:C251"/>
    <mergeCell ref="D248:W248"/>
    <mergeCell ref="D244:W244"/>
    <mergeCell ref="A248:A251"/>
    <mergeCell ref="C246:C247"/>
    <mergeCell ref="A252:A255"/>
    <mergeCell ref="C254:C255"/>
    <mergeCell ref="Y252:Y255"/>
    <mergeCell ref="Y221:Y231"/>
    <mergeCell ref="C223:C226"/>
    <mergeCell ref="X227:X231"/>
    <mergeCell ref="Y208:Y220"/>
    <mergeCell ref="C210:C215"/>
    <mergeCell ref="X216:X220"/>
    <mergeCell ref="C217:C220"/>
    <mergeCell ref="C153:C158"/>
    <mergeCell ref="C162:C164"/>
    <mergeCell ref="C167:C173"/>
    <mergeCell ref="C185:C187"/>
    <mergeCell ref="C194:C200"/>
    <mergeCell ref="C177:C178"/>
    <mergeCell ref="X201:X207"/>
    <mergeCell ref="C175:C176"/>
    <mergeCell ref="C183:C184"/>
    <mergeCell ref="C202:C205"/>
    <mergeCell ref="C189:C190"/>
    <mergeCell ref="X188:X190"/>
  </mergeCells>
  <printOptions horizontalCentered="1"/>
  <pageMargins left="0.15748031496062992" right="0.15748031496062992" top="0.47244094488188981" bottom="0.31496062992125984" header="0.15748031496062992" footer="0.15748031496062992"/>
  <pageSetup paperSize="9" scale="71" firstPageNumber="36" orientation="landscape" useFirstPageNumber="1" r:id="rId1"/>
  <headerFooter alignWithMargins="0">
    <oddHeader>&amp;C&amp;"Arial,Kursywa"Wieloletnia prognoza finansowa Województwa Zachodniopomorskiego na lata 2017 - 2038&amp;"Arial,Normalny"
______________________________________________________________________________________________________________________</oddHeader>
    <oddFooter>&amp;C&amp;8&amp;P</oddFooter>
  </headerFooter>
  <rowBreaks count="2" manualBreakCount="2">
    <brk id="57" max="24" man="1"/>
    <brk id="147" max="24" man="1"/>
  </rowBreak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CI451"/>
  <sheetViews>
    <sheetView showGridLines="0" zoomScaleNormal="100" zoomScaleSheetLayoutView="100" workbookViewId="0">
      <pane xSplit="3" ySplit="7" topLeftCell="D8" activePane="bottomRight" state="frozen"/>
      <selection activeCell="U30" sqref="U30"/>
      <selection pane="topRight" activeCell="U30" sqref="U30"/>
      <selection pane="bottomLeft" activeCell="U30" sqref="U30"/>
      <selection pane="bottomRight" activeCell="D8" sqref="D8"/>
    </sheetView>
  </sheetViews>
  <sheetFormatPr defaultColWidth="9.140625" defaultRowHeight="11.25"/>
  <cols>
    <col min="1" max="1" width="4.140625" style="649" customWidth="1"/>
    <col min="2" max="2" width="56.140625" style="462" customWidth="1"/>
    <col min="3" max="3" width="10.5703125" style="462" customWidth="1"/>
    <col min="4" max="4" width="13.140625" style="462" customWidth="1"/>
    <col min="5" max="5" width="11.28515625" style="462" hidden="1" customWidth="1"/>
    <col min="6" max="6" width="11.42578125" style="462" hidden="1" customWidth="1"/>
    <col min="7" max="7" width="9.85546875" style="462" hidden="1" customWidth="1"/>
    <col min="8" max="8" width="9.7109375" style="462" hidden="1" customWidth="1"/>
    <col min="9" max="9" width="11.5703125" style="462" hidden="1" customWidth="1"/>
    <col min="10" max="10" width="9.28515625" style="462" hidden="1" customWidth="1"/>
    <col min="11" max="11" width="10.42578125" style="462" hidden="1" customWidth="1"/>
    <col min="12" max="12" width="10.140625" style="1091" hidden="1" customWidth="1"/>
    <col min="13" max="13" width="12.42578125" style="462" customWidth="1"/>
    <col min="14" max="14" width="11.140625" style="462" hidden="1" customWidth="1"/>
    <col min="15" max="15" width="11.28515625" style="462" hidden="1" customWidth="1"/>
    <col min="16" max="16" width="12.28515625" style="462" customWidth="1"/>
    <col min="17" max="17" width="8.85546875" style="462" customWidth="1"/>
    <col min="18" max="18" width="10" style="462" customWidth="1"/>
    <col min="19" max="19" width="10.28515625" style="462" customWidth="1"/>
    <col min="20" max="20" width="9.85546875" style="462" customWidth="1"/>
    <col min="21" max="21" width="9.5703125" style="462" customWidth="1"/>
    <col min="22" max="22" width="10" style="462" customWidth="1"/>
    <col min="23" max="23" width="8.28515625" style="462" customWidth="1"/>
    <col min="24" max="24" width="12.42578125" style="462" customWidth="1"/>
    <col min="25" max="25" width="15.28515625" style="1085" customWidth="1"/>
    <col min="26" max="26" width="3.28515625" style="462" hidden="1" customWidth="1"/>
    <col min="27" max="27" width="13.42578125" style="462" hidden="1" customWidth="1"/>
    <col min="28" max="40" width="18.28515625" style="462" hidden="1" customWidth="1"/>
    <col min="41" max="44" width="18.28515625" style="462" customWidth="1"/>
    <col min="45" max="86" width="3.28515625" style="462" customWidth="1"/>
    <col min="87" max="16384" width="9.140625" style="462"/>
  </cols>
  <sheetData>
    <row r="1" spans="1:87" s="1084" customFormat="1" ht="18" customHeight="1">
      <c r="A1" s="1101"/>
      <c r="B1" s="1102"/>
      <c r="C1" s="1101"/>
      <c r="D1" s="1101"/>
      <c r="E1" s="1103"/>
      <c r="F1" s="1101"/>
      <c r="G1" s="1101"/>
      <c r="H1" s="1101"/>
      <c r="I1" s="1101"/>
      <c r="J1" s="1101"/>
      <c r="K1" s="1101"/>
      <c r="L1" s="1101"/>
      <c r="M1" s="1101"/>
      <c r="N1" s="3214"/>
      <c r="O1" s="451"/>
      <c r="P1" s="1101"/>
      <c r="Q1" s="1101"/>
      <c r="R1" s="457" t="s">
        <v>255</v>
      </c>
      <c r="S1" s="457"/>
      <c r="T1" s="457"/>
      <c r="U1" s="457"/>
      <c r="V1" s="457"/>
      <c r="W1" s="457"/>
      <c r="X1" s="6"/>
      <c r="Y1" s="7"/>
      <c r="Z1" s="1083"/>
      <c r="AA1" s="1083"/>
      <c r="AB1" s="1083"/>
      <c r="AC1" s="1083"/>
      <c r="AD1" s="1083"/>
      <c r="AE1" s="1083"/>
      <c r="AF1" s="1083"/>
      <c r="AG1" s="1083"/>
      <c r="AH1" s="1083"/>
      <c r="AI1" s="1083"/>
      <c r="AJ1" s="1083"/>
      <c r="AK1" s="1083"/>
      <c r="AL1" s="1083"/>
      <c r="AM1" s="1083"/>
      <c r="AN1" s="1083"/>
      <c r="AO1" s="1083"/>
      <c r="AP1" s="1083"/>
      <c r="AQ1" s="1083"/>
      <c r="AR1" s="1083"/>
      <c r="AS1" s="1083"/>
      <c r="AT1" s="1083"/>
      <c r="AU1" s="1083"/>
      <c r="AV1" s="1083"/>
      <c r="AW1" s="1083"/>
      <c r="AX1" s="1083"/>
      <c r="AY1" s="1083"/>
      <c r="AZ1" s="1083"/>
      <c r="BA1" s="1083"/>
      <c r="BB1" s="1083"/>
      <c r="BC1" s="1083"/>
      <c r="BD1" s="1083"/>
      <c r="BE1" s="1083"/>
      <c r="BF1" s="1083"/>
      <c r="BG1" s="1083"/>
      <c r="BH1" s="1083"/>
      <c r="BI1" s="1083"/>
      <c r="BJ1" s="1083"/>
      <c r="BK1" s="1083"/>
      <c r="BL1" s="1083"/>
      <c r="BM1" s="1083"/>
      <c r="BN1" s="1083"/>
      <c r="BO1" s="1083"/>
      <c r="BP1" s="1083"/>
      <c r="BQ1" s="1083"/>
      <c r="BR1" s="1083"/>
      <c r="BS1" s="1083"/>
      <c r="BT1" s="1083"/>
      <c r="BU1" s="1083"/>
      <c r="BV1" s="1083"/>
      <c r="BW1" s="1083"/>
      <c r="BX1" s="1083"/>
      <c r="BY1" s="1083"/>
      <c r="BZ1" s="1083"/>
      <c r="CA1" s="1083"/>
      <c r="CB1" s="1083"/>
      <c r="CC1" s="1083"/>
      <c r="CD1" s="1083"/>
      <c r="CE1" s="1083"/>
      <c r="CF1" s="1083"/>
      <c r="CG1" s="1083"/>
      <c r="CH1" s="1083"/>
      <c r="CI1" s="461"/>
    </row>
    <row r="2" spans="1:87" s="1084" customFormat="1" ht="4.5" customHeight="1">
      <c r="A2" s="1104"/>
      <c r="B2" s="1102"/>
      <c r="C2" s="1101"/>
      <c r="D2" s="1105"/>
      <c r="E2" s="1103"/>
      <c r="F2" s="1101"/>
      <c r="G2" s="1101"/>
      <c r="H2" s="1101"/>
      <c r="I2" s="1101"/>
      <c r="J2" s="1101"/>
      <c r="K2" s="1101"/>
      <c r="L2" s="1101"/>
      <c r="M2" s="1101"/>
      <c r="N2" s="458"/>
      <c r="O2" s="458"/>
      <c r="P2" s="458"/>
      <c r="Q2" s="458"/>
      <c r="R2" s="458"/>
      <c r="S2" s="458"/>
      <c r="T2" s="458"/>
      <c r="U2" s="458"/>
      <c r="V2" s="458"/>
      <c r="W2" s="458"/>
      <c r="X2" s="6"/>
      <c r="Y2" s="7"/>
      <c r="Z2" s="1083"/>
      <c r="AA2" s="1083"/>
      <c r="AB2" s="1083"/>
      <c r="AC2" s="1083"/>
      <c r="AD2" s="1083"/>
      <c r="AE2" s="1083"/>
      <c r="AF2" s="1083"/>
      <c r="AG2" s="1083"/>
      <c r="AH2" s="1083"/>
      <c r="AI2" s="1083"/>
      <c r="AJ2" s="1083"/>
      <c r="AK2" s="1083"/>
      <c r="AL2" s="1083"/>
      <c r="AM2" s="1083"/>
      <c r="AN2" s="1083"/>
      <c r="AO2" s="1083"/>
      <c r="AP2" s="1083"/>
      <c r="AQ2" s="1083"/>
      <c r="AR2" s="1083"/>
      <c r="AS2" s="1083"/>
      <c r="AT2" s="1083"/>
      <c r="AU2" s="1083"/>
      <c r="AV2" s="1083"/>
      <c r="AW2" s="1083"/>
      <c r="AX2" s="1083"/>
      <c r="AY2" s="1083"/>
      <c r="AZ2" s="1083"/>
      <c r="BA2" s="1083"/>
      <c r="BB2" s="1083"/>
      <c r="BC2" s="1083"/>
      <c r="BD2" s="1083"/>
      <c r="BE2" s="1083"/>
      <c r="BF2" s="1083"/>
      <c r="BG2" s="1083"/>
      <c r="BH2" s="1083"/>
      <c r="BI2" s="1083"/>
      <c r="BJ2" s="1083"/>
      <c r="BK2" s="1083"/>
      <c r="BL2" s="1083"/>
      <c r="BM2" s="1083"/>
      <c r="BN2" s="1083"/>
      <c r="BO2" s="1083"/>
      <c r="BP2" s="1083"/>
      <c r="BQ2" s="1083"/>
      <c r="BR2" s="1083"/>
      <c r="BS2" s="1083"/>
      <c r="BT2" s="1083"/>
      <c r="BU2" s="1083"/>
      <c r="BV2" s="1083"/>
      <c r="BW2" s="1083"/>
      <c r="BX2" s="1083"/>
      <c r="BY2" s="1083"/>
      <c r="BZ2" s="1083"/>
      <c r="CA2" s="1083"/>
      <c r="CB2" s="1083"/>
      <c r="CC2" s="1083"/>
      <c r="CD2" s="1083"/>
      <c r="CE2" s="1083"/>
      <c r="CF2" s="1083"/>
      <c r="CG2" s="1083"/>
      <c r="CH2" s="1083"/>
      <c r="CI2" s="461"/>
    </row>
    <row r="3" spans="1:87" s="1084" customFormat="1" ht="25.5" customHeight="1" thickBot="1">
      <c r="A3" s="2216" t="s">
        <v>191</v>
      </c>
      <c r="B3" s="2217"/>
      <c r="C3" s="1101"/>
      <c r="D3" s="1101"/>
      <c r="E3" s="1103"/>
      <c r="F3" s="1101"/>
      <c r="G3" s="1101"/>
      <c r="H3" s="1101"/>
      <c r="I3" s="1101"/>
      <c r="J3" s="1101"/>
      <c r="K3" s="1105"/>
      <c r="L3" s="1101"/>
      <c r="M3" s="1101"/>
      <c r="N3" s="1101"/>
      <c r="O3" s="1105"/>
      <c r="P3" s="1101"/>
      <c r="Q3" s="1101"/>
      <c r="R3" s="1101"/>
      <c r="S3" s="1101"/>
      <c r="T3" s="1101"/>
      <c r="U3" s="1101"/>
      <c r="V3" s="1101"/>
      <c r="W3" s="1101"/>
      <c r="X3" s="6"/>
      <c r="Y3" s="7"/>
      <c r="Z3" s="1083"/>
      <c r="AA3" s="1083"/>
      <c r="AB3" s="1083"/>
      <c r="AC3" s="1083"/>
      <c r="AD3" s="1083"/>
      <c r="AE3" s="1083"/>
      <c r="AF3" s="1083"/>
      <c r="AG3" s="1083"/>
      <c r="AH3" s="1083"/>
      <c r="AI3" s="1083"/>
      <c r="AJ3" s="1083"/>
      <c r="AK3" s="1083"/>
      <c r="AL3" s="1083"/>
      <c r="AM3" s="1083"/>
      <c r="AN3" s="1083"/>
      <c r="AO3" s="1083"/>
      <c r="AP3" s="1083"/>
      <c r="AQ3" s="1083"/>
      <c r="AR3" s="1083"/>
      <c r="AS3" s="1083"/>
      <c r="AT3" s="1083"/>
      <c r="AU3" s="1083"/>
      <c r="AV3" s="1083"/>
      <c r="AW3" s="1083"/>
      <c r="AX3" s="1083"/>
      <c r="AY3" s="1083"/>
      <c r="AZ3" s="1083"/>
      <c r="BA3" s="1083"/>
      <c r="BB3" s="1083"/>
      <c r="BC3" s="1083"/>
      <c r="BD3" s="1083"/>
      <c r="BE3" s="1083"/>
      <c r="BF3" s="1083"/>
      <c r="BG3" s="1083"/>
      <c r="BH3" s="1083"/>
      <c r="BI3" s="1083"/>
      <c r="BJ3" s="1083"/>
      <c r="BK3" s="1083"/>
      <c r="BL3" s="1083"/>
      <c r="BM3" s="1083"/>
      <c r="BN3" s="1083"/>
      <c r="BO3" s="1083"/>
      <c r="BP3" s="1083"/>
      <c r="BQ3" s="1083"/>
      <c r="BR3" s="1083"/>
      <c r="BS3" s="1083"/>
      <c r="BT3" s="1083"/>
      <c r="BU3" s="1083"/>
      <c r="BV3" s="1083"/>
      <c r="BW3" s="1083"/>
      <c r="BX3" s="1083"/>
      <c r="BY3" s="1083"/>
      <c r="BZ3" s="1083"/>
      <c r="CA3" s="1083"/>
      <c r="CB3" s="1083"/>
      <c r="CC3" s="1083"/>
      <c r="CD3" s="1083"/>
      <c r="CE3" s="1083"/>
      <c r="CF3" s="1083"/>
      <c r="CG3" s="1083"/>
      <c r="CH3" s="1083"/>
      <c r="CI3" s="461"/>
    </row>
    <row r="4" spans="1:87" ht="40.5" customHeight="1" thickBot="1">
      <c r="A4" s="1106"/>
      <c r="B4" s="4022" t="s">
        <v>89</v>
      </c>
      <c r="C4" s="4023" t="s">
        <v>85</v>
      </c>
      <c r="D4" s="3677" t="s">
        <v>86</v>
      </c>
      <c r="E4" s="424" t="s">
        <v>2</v>
      </c>
      <c r="F4" s="425"/>
      <c r="G4" s="425"/>
      <c r="H4" s="425"/>
      <c r="I4" s="425"/>
      <c r="J4" s="425"/>
      <c r="K4" s="425"/>
      <c r="L4" s="425"/>
      <c r="M4" s="3698" t="s">
        <v>339</v>
      </c>
      <c r="N4" s="425"/>
      <c r="O4" s="3877" t="s">
        <v>347</v>
      </c>
      <c r="P4" s="3692" t="s">
        <v>494</v>
      </c>
      <c r="Q4" s="3694" t="s">
        <v>495</v>
      </c>
      <c r="R4" s="3694"/>
      <c r="S4" s="3694"/>
      <c r="T4" s="3694"/>
      <c r="U4" s="3694"/>
      <c r="V4" s="3694"/>
      <c r="W4" s="3695"/>
      <c r="X4" s="4032" t="s">
        <v>489</v>
      </c>
      <c r="Y4" s="3869" t="s">
        <v>87</v>
      </c>
      <c r="Z4" s="461"/>
      <c r="AA4" s="461"/>
      <c r="AB4" s="461"/>
      <c r="AC4" s="461"/>
      <c r="AD4" s="461"/>
      <c r="AE4" s="461"/>
      <c r="AF4" s="461"/>
      <c r="AG4" s="461"/>
      <c r="AH4" s="461"/>
      <c r="AI4" s="461"/>
      <c r="AJ4" s="461"/>
      <c r="AK4" s="461"/>
      <c r="AL4" s="461"/>
      <c r="AM4" s="461"/>
      <c r="AN4" s="461"/>
      <c r="AO4" s="461"/>
      <c r="AP4" s="461"/>
      <c r="AQ4" s="461"/>
      <c r="AR4" s="461"/>
      <c r="AS4" s="461"/>
      <c r="AT4" s="461"/>
      <c r="AU4" s="461"/>
      <c r="AV4" s="461"/>
      <c r="AW4" s="461"/>
      <c r="AX4" s="461"/>
      <c r="AY4" s="461"/>
      <c r="AZ4" s="461"/>
      <c r="BA4" s="461"/>
      <c r="BB4" s="461"/>
      <c r="BC4" s="461"/>
      <c r="BD4" s="461"/>
      <c r="BE4" s="461"/>
      <c r="BF4" s="461"/>
      <c r="BG4" s="461"/>
      <c r="BH4" s="461"/>
      <c r="BI4" s="461"/>
      <c r="BJ4" s="461"/>
      <c r="BK4" s="461"/>
      <c r="BL4" s="461"/>
      <c r="BM4" s="461"/>
      <c r="BN4" s="461"/>
      <c r="BO4" s="461"/>
      <c r="BP4" s="461"/>
      <c r="BQ4" s="461"/>
      <c r="BR4" s="461"/>
      <c r="BS4" s="461"/>
      <c r="BT4" s="461"/>
      <c r="BU4" s="461"/>
      <c r="BV4" s="461"/>
      <c r="BW4" s="461"/>
      <c r="BX4" s="461"/>
      <c r="BY4" s="461"/>
      <c r="BZ4" s="461"/>
      <c r="CA4" s="461"/>
      <c r="CB4" s="461"/>
      <c r="CC4" s="461"/>
      <c r="CD4" s="461"/>
      <c r="CE4" s="461"/>
      <c r="CF4" s="461"/>
      <c r="CG4" s="461"/>
      <c r="CH4" s="461"/>
      <c r="CI4" s="461"/>
    </row>
    <row r="5" spans="1:87" ht="21.75" customHeight="1" thickBot="1">
      <c r="A5" s="1107" t="s">
        <v>88</v>
      </c>
      <c r="B5" s="4022"/>
      <c r="C5" s="4024"/>
      <c r="D5" s="3678"/>
      <c r="E5" s="331"/>
      <c r="F5" s="332"/>
      <c r="G5" s="332"/>
      <c r="H5" s="332"/>
      <c r="I5" s="332"/>
      <c r="J5" s="332"/>
      <c r="K5" s="332"/>
      <c r="L5" s="332"/>
      <c r="M5" s="3700"/>
      <c r="N5" s="332"/>
      <c r="O5" s="3878"/>
      <c r="P5" s="3693"/>
      <c r="Q5" s="3696"/>
      <c r="R5" s="3696"/>
      <c r="S5" s="3696"/>
      <c r="T5" s="3696"/>
      <c r="U5" s="3696"/>
      <c r="V5" s="3696"/>
      <c r="W5" s="3697"/>
      <c r="X5" s="4033"/>
      <c r="Y5" s="3870"/>
      <c r="Z5" s="461"/>
      <c r="AA5" s="461"/>
      <c r="AB5" s="461"/>
      <c r="AC5" s="461"/>
      <c r="AD5" s="461"/>
      <c r="AE5" s="461"/>
      <c r="AF5" s="461"/>
      <c r="AG5" s="461"/>
      <c r="AH5" s="461"/>
      <c r="AI5" s="461"/>
      <c r="AJ5" s="461"/>
      <c r="AK5" s="461"/>
      <c r="AL5" s="461"/>
      <c r="AM5" s="461"/>
      <c r="AN5" s="461"/>
      <c r="AO5" s="461"/>
      <c r="AP5" s="461"/>
      <c r="AQ5" s="461"/>
      <c r="AR5" s="461"/>
      <c r="AS5" s="461"/>
      <c r="AT5" s="461"/>
      <c r="AU5" s="461"/>
      <c r="AV5" s="461"/>
      <c r="AW5" s="461"/>
      <c r="AX5" s="461"/>
      <c r="AY5" s="461"/>
      <c r="AZ5" s="461"/>
      <c r="BA5" s="461"/>
      <c r="BB5" s="461"/>
      <c r="BC5" s="461"/>
      <c r="BD5" s="461"/>
      <c r="BE5" s="461"/>
      <c r="BF5" s="461"/>
      <c r="BG5" s="461"/>
      <c r="BH5" s="461"/>
      <c r="BI5" s="461"/>
      <c r="BJ5" s="461"/>
      <c r="BK5" s="461"/>
      <c r="BL5" s="461"/>
      <c r="BM5" s="461"/>
      <c r="BN5" s="461"/>
      <c r="BO5" s="461"/>
      <c r="BP5" s="461"/>
      <c r="BQ5" s="461"/>
      <c r="BR5" s="461"/>
      <c r="BS5" s="461"/>
      <c r="BT5" s="461"/>
      <c r="BU5" s="461"/>
      <c r="BV5" s="461"/>
      <c r="BW5" s="461"/>
      <c r="BX5" s="461"/>
      <c r="BY5" s="461"/>
      <c r="BZ5" s="461"/>
      <c r="CA5" s="461"/>
      <c r="CB5" s="461"/>
      <c r="CC5" s="461"/>
      <c r="CD5" s="461"/>
      <c r="CE5" s="461"/>
      <c r="CF5" s="461"/>
      <c r="CG5" s="461"/>
      <c r="CH5" s="461"/>
      <c r="CI5" s="461"/>
    </row>
    <row r="6" spans="1:87" ht="30" customHeight="1" thickBot="1">
      <c r="A6" s="1107"/>
      <c r="B6" s="4022"/>
      <c r="C6" s="4025"/>
      <c r="D6" s="3679"/>
      <c r="E6" s="3213" t="s">
        <v>5</v>
      </c>
      <c r="F6" s="8" t="s">
        <v>6</v>
      </c>
      <c r="G6" s="8" t="s">
        <v>7</v>
      </c>
      <c r="H6" s="8" t="s">
        <v>8</v>
      </c>
      <c r="I6" s="3233" t="s">
        <v>9</v>
      </c>
      <c r="J6" s="3233" t="s">
        <v>10</v>
      </c>
      <c r="K6" s="3233" t="s">
        <v>11</v>
      </c>
      <c r="L6" s="3233" t="s">
        <v>12</v>
      </c>
      <c r="M6" s="415" t="s">
        <v>493</v>
      </c>
      <c r="N6" s="3233" t="s">
        <v>13</v>
      </c>
      <c r="O6" s="3233" t="s">
        <v>14</v>
      </c>
      <c r="P6" s="3233" t="s">
        <v>15</v>
      </c>
      <c r="Q6" s="3233" t="s">
        <v>16</v>
      </c>
      <c r="R6" s="3233" t="s">
        <v>17</v>
      </c>
      <c r="S6" s="464" t="s">
        <v>259</v>
      </c>
      <c r="T6" s="464" t="s">
        <v>263</v>
      </c>
      <c r="U6" s="464" t="s">
        <v>324</v>
      </c>
      <c r="V6" s="464" t="s">
        <v>325</v>
      </c>
      <c r="W6" s="464" t="s">
        <v>323</v>
      </c>
      <c r="X6" s="4034"/>
      <c r="Y6" s="3871"/>
      <c r="Z6" s="461"/>
      <c r="AA6" s="461"/>
      <c r="AB6" s="461"/>
      <c r="AC6" s="461"/>
      <c r="AD6" s="461"/>
      <c r="AE6" s="461"/>
      <c r="AF6" s="461"/>
      <c r="AG6" s="461"/>
      <c r="AH6" s="461"/>
      <c r="AI6" s="461"/>
      <c r="AJ6" s="461"/>
      <c r="AK6" s="461"/>
      <c r="AL6" s="461"/>
      <c r="AM6" s="461"/>
      <c r="AN6" s="461"/>
      <c r="AO6" s="461"/>
      <c r="AP6" s="461"/>
      <c r="AQ6" s="461"/>
      <c r="AR6" s="461"/>
      <c r="AS6" s="461"/>
      <c r="AT6" s="461"/>
      <c r="AU6" s="461"/>
      <c r="AV6" s="461"/>
      <c r="AW6" s="461"/>
      <c r="AX6" s="461"/>
      <c r="AY6" s="461"/>
      <c r="AZ6" s="461"/>
      <c r="BA6" s="461"/>
      <c r="BB6" s="461"/>
      <c r="BC6" s="461"/>
      <c r="BD6" s="461"/>
      <c r="BE6" s="461"/>
      <c r="BF6" s="461"/>
      <c r="BG6" s="461"/>
      <c r="BH6" s="461"/>
      <c r="BI6" s="461"/>
      <c r="BJ6" s="461"/>
      <c r="BK6" s="461"/>
      <c r="BL6" s="461"/>
      <c r="BM6" s="461"/>
      <c r="BN6" s="461"/>
      <c r="BO6" s="461"/>
      <c r="BP6" s="461"/>
      <c r="BQ6" s="461"/>
      <c r="BR6" s="461"/>
      <c r="BS6" s="461"/>
      <c r="BT6" s="461"/>
      <c r="BU6" s="461"/>
      <c r="BV6" s="461"/>
      <c r="BW6" s="461"/>
      <c r="BX6" s="461"/>
      <c r="BY6" s="461"/>
      <c r="BZ6" s="461"/>
      <c r="CA6" s="461"/>
      <c r="CB6" s="461"/>
      <c r="CC6" s="461"/>
      <c r="CD6" s="461"/>
      <c r="CE6" s="461"/>
      <c r="CF6" s="461"/>
      <c r="CG6" s="461"/>
      <c r="CH6" s="461"/>
      <c r="CI6" s="461"/>
    </row>
    <row r="7" spans="1:87" ht="14.25" customHeight="1">
      <c r="A7" s="1108">
        <v>1</v>
      </c>
      <c r="B7" s="1109">
        <v>2</v>
      </c>
      <c r="C7" s="1110" t="s">
        <v>137</v>
      </c>
      <c r="D7" s="1111" t="s">
        <v>138</v>
      </c>
      <c r="E7" s="1111"/>
      <c r="F7" s="1112"/>
      <c r="G7" s="1112"/>
      <c r="H7" s="1112"/>
      <c r="I7" s="1113"/>
      <c r="J7" s="1113"/>
      <c r="K7" s="1113"/>
      <c r="L7" s="1113"/>
      <c r="M7" s="1114">
        <v>5</v>
      </c>
      <c r="N7" s="1114" t="s">
        <v>326</v>
      </c>
      <c r="O7" s="1114" t="s">
        <v>326</v>
      </c>
      <c r="P7" s="1114">
        <v>6</v>
      </c>
      <c r="Q7" s="1114">
        <v>7</v>
      </c>
      <c r="R7" s="1114">
        <v>8</v>
      </c>
      <c r="S7" s="1114">
        <v>9</v>
      </c>
      <c r="T7" s="1114">
        <v>10</v>
      </c>
      <c r="U7" s="1114">
        <v>11</v>
      </c>
      <c r="V7" s="1114">
        <v>12</v>
      </c>
      <c r="W7" s="1114">
        <v>13</v>
      </c>
      <c r="X7" s="1115">
        <v>14</v>
      </c>
      <c r="Y7" s="1116">
        <v>15</v>
      </c>
      <c r="Z7" s="461"/>
      <c r="AA7" s="461"/>
      <c r="AB7" s="461"/>
      <c r="AC7" s="461"/>
      <c r="AD7" s="461"/>
      <c r="AE7" s="461"/>
      <c r="AF7" s="461"/>
      <c r="AG7" s="461"/>
      <c r="AH7" s="461"/>
      <c r="AI7" s="461"/>
      <c r="AJ7" s="461"/>
      <c r="AK7" s="461"/>
      <c r="AL7" s="461"/>
      <c r="AM7" s="461"/>
      <c r="AN7" s="461"/>
      <c r="AO7" s="461"/>
      <c r="AP7" s="461"/>
      <c r="AQ7" s="461"/>
      <c r="AR7" s="461"/>
      <c r="AS7" s="461"/>
      <c r="AT7" s="461"/>
      <c r="AU7" s="461"/>
      <c r="AV7" s="461"/>
      <c r="AW7" s="461"/>
      <c r="AX7" s="461"/>
      <c r="AY7" s="461"/>
      <c r="AZ7" s="461"/>
      <c r="BA7" s="461"/>
      <c r="BB7" s="461"/>
      <c r="BC7" s="461"/>
      <c r="BD7" s="461"/>
      <c r="BE7" s="461"/>
      <c r="BF7" s="461"/>
      <c r="BG7" s="461"/>
      <c r="BH7" s="461"/>
      <c r="BI7" s="461"/>
      <c r="BJ7" s="461"/>
      <c r="BK7" s="461"/>
      <c r="BL7" s="461"/>
      <c r="BM7" s="461"/>
      <c r="BN7" s="461"/>
      <c r="BO7" s="461"/>
      <c r="BP7" s="461"/>
      <c r="BQ7" s="461"/>
      <c r="BR7" s="461"/>
      <c r="BS7" s="461"/>
      <c r="BT7" s="461"/>
      <c r="BU7" s="461"/>
      <c r="BV7" s="461"/>
      <c r="BW7" s="461"/>
      <c r="BX7" s="461"/>
      <c r="BY7" s="461"/>
      <c r="BZ7" s="461"/>
      <c r="CA7" s="461"/>
      <c r="CB7" s="461"/>
      <c r="CC7" s="461"/>
      <c r="CD7" s="461"/>
      <c r="CE7" s="461"/>
      <c r="CF7" s="461"/>
      <c r="CG7" s="461"/>
      <c r="CH7" s="461"/>
      <c r="CI7" s="461"/>
    </row>
    <row r="8" spans="1:87" ht="14.25" customHeight="1">
      <c r="A8" s="1608"/>
      <c r="B8" s="1609" t="s">
        <v>90</v>
      </c>
      <c r="C8" s="1067"/>
      <c r="D8" s="1610">
        <f>+D10</f>
        <v>30017683</v>
      </c>
      <c r="E8" s="1610">
        <f t="shared" ref="E8:O8" si="0">+E10</f>
        <v>625947</v>
      </c>
      <c r="F8" s="1610">
        <f t="shared" si="0"/>
        <v>0</v>
      </c>
      <c r="G8" s="1610">
        <f t="shared" si="0"/>
        <v>0</v>
      </c>
      <c r="H8" s="1610">
        <f t="shared" si="0"/>
        <v>0</v>
      </c>
      <c r="I8" s="1610">
        <f t="shared" si="0"/>
        <v>1250000</v>
      </c>
      <c r="J8" s="1610">
        <f t="shared" si="0"/>
        <v>2319154</v>
      </c>
      <c r="K8" s="1610">
        <f t="shared" si="0"/>
        <v>2562376</v>
      </c>
      <c r="L8" s="1610">
        <f t="shared" si="0"/>
        <v>1181219</v>
      </c>
      <c r="M8" s="1610">
        <f>+M10</f>
        <v>256207</v>
      </c>
      <c r="N8" s="1610">
        <f>+N10</f>
        <v>0</v>
      </c>
      <c r="O8" s="1610">
        <f t="shared" si="0"/>
        <v>0</v>
      </c>
      <c r="P8" s="1610">
        <f t="shared" ref="P8:X8" si="1">+P10</f>
        <v>97634</v>
      </c>
      <c r="Q8" s="1610">
        <f t="shared" si="1"/>
        <v>3417454</v>
      </c>
      <c r="R8" s="1610">
        <f t="shared" si="1"/>
        <v>5949763</v>
      </c>
      <c r="S8" s="1610">
        <f t="shared" si="1"/>
        <v>9600000</v>
      </c>
      <c r="T8" s="1610">
        <f t="shared" si="1"/>
        <v>5657500</v>
      </c>
      <c r="U8" s="1610">
        <f t="shared" si="1"/>
        <v>3566880</v>
      </c>
      <c r="V8" s="1610">
        <f t="shared" si="1"/>
        <v>1472245</v>
      </c>
      <c r="W8" s="1610">
        <f t="shared" si="1"/>
        <v>0</v>
      </c>
      <c r="X8" s="195">
        <f t="shared" si="1"/>
        <v>28131625</v>
      </c>
      <c r="Y8" s="1117"/>
      <c r="Z8" s="461"/>
      <c r="AA8" s="228">
        <f>+O8+P8+Q8+R8</f>
        <v>9464851</v>
      </c>
      <c r="AB8" s="461"/>
      <c r="AC8" s="461"/>
      <c r="AD8" s="461"/>
      <c r="AE8" s="461"/>
      <c r="AF8" s="461"/>
      <c r="AG8" s="461"/>
      <c r="AH8" s="461"/>
      <c r="AI8" s="461"/>
      <c r="AJ8" s="461"/>
      <c r="AK8" s="461"/>
      <c r="AL8" s="461"/>
      <c r="AM8" s="461"/>
      <c r="AN8" s="461"/>
      <c r="AO8" s="461"/>
      <c r="AP8" s="461"/>
      <c r="AQ8" s="461"/>
      <c r="AR8" s="461"/>
      <c r="AS8" s="461"/>
      <c r="AT8" s="461"/>
      <c r="AU8" s="461"/>
      <c r="AV8" s="461"/>
      <c r="AW8" s="461"/>
      <c r="AX8" s="461"/>
      <c r="AY8" s="461"/>
      <c r="AZ8" s="461"/>
      <c r="BA8" s="461"/>
      <c r="BB8" s="461"/>
      <c r="BC8" s="461"/>
      <c r="BD8" s="461"/>
      <c r="BE8" s="461"/>
      <c r="BF8" s="461"/>
      <c r="BG8" s="461"/>
      <c r="BH8" s="461"/>
      <c r="BI8" s="461"/>
      <c r="BJ8" s="461"/>
      <c r="BK8" s="461"/>
      <c r="BL8" s="461"/>
      <c r="BM8" s="461"/>
      <c r="BN8" s="461"/>
      <c r="BO8" s="461"/>
      <c r="BP8" s="461"/>
      <c r="BQ8" s="461"/>
      <c r="BR8" s="461"/>
      <c r="BS8" s="461"/>
      <c r="BT8" s="461"/>
      <c r="BU8" s="461"/>
      <c r="BV8" s="461"/>
      <c r="BW8" s="461"/>
      <c r="BX8" s="461"/>
      <c r="BY8" s="461"/>
      <c r="BZ8" s="461"/>
      <c r="CA8" s="461"/>
      <c r="CB8" s="461"/>
      <c r="CC8" s="461"/>
      <c r="CD8" s="461"/>
      <c r="CE8" s="461"/>
      <c r="CF8" s="461"/>
      <c r="CG8" s="461"/>
      <c r="CH8" s="461"/>
      <c r="CI8" s="461"/>
    </row>
    <row r="9" spans="1:87" ht="14.25" customHeight="1">
      <c r="A9" s="1608"/>
      <c r="B9" s="1611" t="s">
        <v>91</v>
      </c>
      <c r="C9" s="1612"/>
      <c r="D9" s="281">
        <v>0</v>
      </c>
      <c r="E9" s="281">
        <v>0</v>
      </c>
      <c r="F9" s="281">
        <v>0</v>
      </c>
      <c r="G9" s="281">
        <v>0</v>
      </c>
      <c r="H9" s="281">
        <v>0</v>
      </c>
      <c r="I9" s="281">
        <v>0</v>
      </c>
      <c r="J9" s="281">
        <v>0</v>
      </c>
      <c r="K9" s="281">
        <v>0</v>
      </c>
      <c r="L9" s="281">
        <v>0</v>
      </c>
      <c r="M9" s="281">
        <v>0</v>
      </c>
      <c r="N9" s="281">
        <v>0</v>
      </c>
      <c r="O9" s="281">
        <v>0</v>
      </c>
      <c r="P9" s="281">
        <v>0</v>
      </c>
      <c r="Q9" s="281">
        <v>0</v>
      </c>
      <c r="R9" s="281">
        <v>0</v>
      </c>
      <c r="S9" s="281">
        <v>0</v>
      </c>
      <c r="T9" s="281">
        <v>0</v>
      </c>
      <c r="U9" s="281">
        <v>0</v>
      </c>
      <c r="V9" s="281">
        <v>0</v>
      </c>
      <c r="W9" s="281">
        <v>0</v>
      </c>
      <c r="X9" s="22">
        <v>0</v>
      </c>
      <c r="Y9" s="1117"/>
      <c r="Z9" s="461"/>
      <c r="AA9" s="461"/>
      <c r="AB9" s="461"/>
      <c r="AC9" s="461"/>
      <c r="AD9" s="461"/>
      <c r="AE9" s="461"/>
      <c r="AF9" s="461"/>
      <c r="AG9" s="461"/>
      <c r="AH9" s="461"/>
      <c r="AI9" s="461"/>
      <c r="AJ9" s="461"/>
      <c r="AK9" s="461"/>
      <c r="AL9" s="461"/>
      <c r="AM9" s="461"/>
      <c r="AN9" s="461"/>
      <c r="AO9" s="461"/>
      <c r="AP9" s="461"/>
      <c r="AQ9" s="461"/>
      <c r="AR9" s="461"/>
      <c r="AS9" s="461"/>
      <c r="AT9" s="461"/>
      <c r="AU9" s="461"/>
      <c r="AV9" s="461"/>
      <c r="AW9" s="461"/>
      <c r="AX9" s="461"/>
      <c r="AY9" s="461"/>
      <c r="AZ9" s="461"/>
      <c r="BA9" s="461"/>
      <c r="BB9" s="461"/>
      <c r="BC9" s="461"/>
      <c r="BD9" s="461"/>
      <c r="BE9" s="461"/>
      <c r="BF9" s="461"/>
      <c r="BG9" s="461"/>
      <c r="BH9" s="461"/>
      <c r="BI9" s="461"/>
      <c r="BJ9" s="461"/>
      <c r="BK9" s="461"/>
      <c r="BL9" s="461"/>
      <c r="BM9" s="461"/>
      <c r="BN9" s="461"/>
      <c r="BO9" s="461"/>
      <c r="BP9" s="461"/>
      <c r="BQ9" s="461"/>
      <c r="BR9" s="461"/>
      <c r="BS9" s="461"/>
      <c r="BT9" s="461"/>
      <c r="BU9" s="461"/>
      <c r="BV9" s="461"/>
      <c r="BW9" s="461"/>
      <c r="BX9" s="461"/>
      <c r="BY9" s="461"/>
      <c r="BZ9" s="461"/>
      <c r="CA9" s="461"/>
      <c r="CB9" s="461"/>
      <c r="CC9" s="461"/>
      <c r="CD9" s="461"/>
      <c r="CE9" s="461"/>
      <c r="CF9" s="461"/>
      <c r="CG9" s="461"/>
      <c r="CH9" s="461"/>
      <c r="CI9" s="461"/>
    </row>
    <row r="10" spans="1:87" ht="14.25" customHeight="1" thickBot="1">
      <c r="A10" s="1608"/>
      <c r="B10" s="1613" t="s">
        <v>20</v>
      </c>
      <c r="C10" s="1614"/>
      <c r="D10" s="291">
        <f>+D25+D35+D46+D58+D71+D83+D95</f>
        <v>30017683</v>
      </c>
      <c r="E10" s="291">
        <f t="shared" ref="E10:W10" si="2">+E25+E35+E46+E58+E71+E83+E95</f>
        <v>625947</v>
      </c>
      <c r="F10" s="291">
        <f t="shared" si="2"/>
        <v>0</v>
      </c>
      <c r="G10" s="291">
        <f t="shared" si="2"/>
        <v>0</v>
      </c>
      <c r="H10" s="291">
        <f t="shared" si="2"/>
        <v>0</v>
      </c>
      <c r="I10" s="291">
        <f t="shared" si="2"/>
        <v>1250000</v>
      </c>
      <c r="J10" s="291">
        <f t="shared" si="2"/>
        <v>2319154</v>
      </c>
      <c r="K10" s="291">
        <f t="shared" si="2"/>
        <v>2562376</v>
      </c>
      <c r="L10" s="291">
        <f t="shared" si="2"/>
        <v>1181219</v>
      </c>
      <c r="M10" s="291">
        <f t="shared" si="2"/>
        <v>256207</v>
      </c>
      <c r="N10" s="291">
        <f t="shared" si="2"/>
        <v>0</v>
      </c>
      <c r="O10" s="291">
        <f t="shared" si="2"/>
        <v>0</v>
      </c>
      <c r="P10" s="291">
        <f t="shared" si="2"/>
        <v>97634</v>
      </c>
      <c r="Q10" s="291">
        <f t="shared" si="2"/>
        <v>3417454</v>
      </c>
      <c r="R10" s="291">
        <f t="shared" si="2"/>
        <v>5949763</v>
      </c>
      <c r="S10" s="291">
        <f t="shared" si="2"/>
        <v>9600000</v>
      </c>
      <c r="T10" s="291">
        <f t="shared" si="2"/>
        <v>5657500</v>
      </c>
      <c r="U10" s="291">
        <f t="shared" si="2"/>
        <v>3566880</v>
      </c>
      <c r="V10" s="291">
        <f t="shared" si="2"/>
        <v>1472245</v>
      </c>
      <c r="W10" s="291">
        <f t="shared" si="2"/>
        <v>0</v>
      </c>
      <c r="X10" s="197">
        <f>+X25+X35+X46+X58+X71+X83</f>
        <v>28131625</v>
      </c>
      <c r="Y10" s="1117"/>
      <c r="Z10" s="461"/>
      <c r="AA10" s="461"/>
      <c r="AB10" s="461"/>
      <c r="AC10" s="461"/>
      <c r="AD10" s="461"/>
      <c r="AE10" s="461"/>
      <c r="AF10" s="461"/>
      <c r="AG10" s="461"/>
      <c r="AH10" s="461"/>
      <c r="AI10" s="461"/>
      <c r="AJ10" s="461"/>
      <c r="AK10" s="461"/>
      <c r="AL10" s="461"/>
      <c r="AM10" s="461"/>
      <c r="AN10" s="461"/>
      <c r="AO10" s="461"/>
      <c r="AP10" s="461"/>
      <c r="AQ10" s="461"/>
      <c r="AR10" s="461"/>
      <c r="AS10" s="461"/>
      <c r="AT10" s="461"/>
      <c r="AU10" s="461"/>
      <c r="AV10" s="461"/>
      <c r="AW10" s="461"/>
      <c r="AX10" s="461"/>
      <c r="AY10" s="461"/>
      <c r="AZ10" s="461"/>
      <c r="BA10" s="461"/>
      <c r="BB10" s="461"/>
      <c r="BC10" s="461"/>
      <c r="BD10" s="461"/>
      <c r="BE10" s="461"/>
      <c r="BF10" s="461"/>
      <c r="BG10" s="461"/>
      <c r="BH10" s="461"/>
      <c r="BI10" s="461"/>
      <c r="BJ10" s="461"/>
      <c r="BK10" s="461"/>
      <c r="BL10" s="461"/>
      <c r="BM10" s="461"/>
      <c r="BN10" s="461"/>
      <c r="BO10" s="461"/>
      <c r="BP10" s="461"/>
      <c r="BQ10" s="461"/>
      <c r="BR10" s="461"/>
      <c r="BS10" s="461"/>
      <c r="BT10" s="461"/>
      <c r="BU10" s="461"/>
      <c r="BV10" s="461"/>
      <c r="BW10" s="461"/>
      <c r="BX10" s="461"/>
      <c r="BY10" s="461"/>
      <c r="BZ10" s="461"/>
      <c r="CA10" s="461"/>
      <c r="CB10" s="461"/>
      <c r="CC10" s="461"/>
      <c r="CD10" s="461"/>
      <c r="CE10" s="461"/>
      <c r="CF10" s="461"/>
      <c r="CG10" s="461"/>
      <c r="CH10" s="461"/>
      <c r="CI10" s="461"/>
    </row>
    <row r="11" spans="1:87" s="1167" customFormat="1" ht="14.25" customHeight="1">
      <c r="A11" s="1608"/>
      <c r="B11" s="1615" t="s">
        <v>21</v>
      </c>
      <c r="C11" s="1615"/>
      <c r="D11" s="605">
        <f>+D12+D15</f>
        <v>92958688</v>
      </c>
      <c r="E11" s="605">
        <f>+E12+E15</f>
        <v>625947</v>
      </c>
      <c r="F11" s="605">
        <f t="shared" ref="F11:O11" si="3">+F12+F15</f>
        <v>0</v>
      </c>
      <c r="G11" s="605">
        <f t="shared" si="3"/>
        <v>0</v>
      </c>
      <c r="H11" s="605">
        <f t="shared" si="3"/>
        <v>0</v>
      </c>
      <c r="I11" s="605">
        <f t="shared" si="3"/>
        <v>1250000</v>
      </c>
      <c r="J11" s="605">
        <f t="shared" si="3"/>
        <v>2356356</v>
      </c>
      <c r="K11" s="605">
        <f t="shared" si="3"/>
        <v>4368760</v>
      </c>
      <c r="L11" s="605">
        <f t="shared" si="3"/>
        <v>3482637</v>
      </c>
      <c r="M11" s="605">
        <f>+M12+M15</f>
        <v>256207</v>
      </c>
      <c r="N11" s="605">
        <f>+N12+N15</f>
        <v>0</v>
      </c>
      <c r="O11" s="605">
        <f t="shared" si="3"/>
        <v>0</v>
      </c>
      <c r="P11" s="605">
        <f t="shared" ref="P11:W11" si="4">+P12+P15</f>
        <v>97634</v>
      </c>
      <c r="Q11" s="605">
        <f t="shared" si="4"/>
        <v>3439809</v>
      </c>
      <c r="R11" s="605">
        <f t="shared" si="4"/>
        <v>17933413</v>
      </c>
      <c r="S11" s="605">
        <f t="shared" si="4"/>
        <v>30000000</v>
      </c>
      <c r="T11" s="605">
        <f t="shared" si="4"/>
        <v>17600000</v>
      </c>
      <c r="U11" s="605">
        <f t="shared" si="4"/>
        <v>12066880</v>
      </c>
      <c r="V11" s="605">
        <f t="shared" si="4"/>
        <v>11564745</v>
      </c>
      <c r="W11" s="605">
        <f t="shared" si="4"/>
        <v>0</v>
      </c>
      <c r="X11" s="573">
        <f>+X12</f>
        <v>29663842</v>
      </c>
      <c r="Y11" s="4026"/>
      <c r="Z11" s="461"/>
      <c r="AA11" s="228"/>
      <c r="AB11" s="228">
        <f>+D23+D32+D44+D56+D68+D80</f>
        <v>88685466</v>
      </c>
      <c r="AC11" s="461"/>
      <c r="AD11" s="461"/>
      <c r="AE11" s="461"/>
      <c r="AF11" s="461"/>
      <c r="AG11" s="461"/>
      <c r="AH11" s="461"/>
      <c r="AI11" s="461"/>
      <c r="AJ11" s="461"/>
      <c r="AK11" s="461"/>
      <c r="AL11" s="461"/>
      <c r="AM11" s="461"/>
      <c r="AN11" s="461"/>
      <c r="AO11" s="461"/>
      <c r="AP11" s="461"/>
      <c r="AQ11" s="461"/>
      <c r="AR11" s="461"/>
      <c r="AS11" s="461"/>
      <c r="AT11" s="461"/>
      <c r="AU11" s="461"/>
      <c r="AV11" s="461"/>
      <c r="AW11" s="461"/>
      <c r="AX11" s="461"/>
      <c r="AY11" s="461"/>
      <c r="AZ11" s="461"/>
      <c r="BA11" s="461"/>
      <c r="BB11" s="461"/>
      <c r="BC11" s="461"/>
      <c r="BD11" s="461"/>
      <c r="BE11" s="461"/>
      <c r="BF11" s="461"/>
      <c r="BG11" s="461"/>
      <c r="BH11" s="461"/>
      <c r="BI11" s="461"/>
      <c r="BJ11" s="461"/>
      <c r="BK11" s="461"/>
      <c r="BL11" s="461"/>
      <c r="BM11" s="461"/>
      <c r="BN11" s="461"/>
      <c r="BO11" s="461"/>
      <c r="BP11" s="461"/>
      <c r="BQ11" s="461"/>
      <c r="BR11" s="461"/>
      <c r="BS11" s="461"/>
      <c r="BT11" s="461"/>
      <c r="BU11" s="461"/>
      <c r="BV11" s="461"/>
      <c r="BW11" s="461"/>
      <c r="BX11" s="461"/>
      <c r="BY11" s="461"/>
      <c r="BZ11" s="461"/>
      <c r="CA11" s="461"/>
      <c r="CB11" s="461"/>
      <c r="CC11" s="461"/>
      <c r="CD11" s="461"/>
      <c r="CE11" s="461"/>
      <c r="CF11" s="461"/>
      <c r="CG11" s="461"/>
      <c r="CH11" s="461"/>
      <c r="CI11" s="461"/>
    </row>
    <row r="12" spans="1:87" s="1167" customFormat="1" ht="14.1" customHeight="1">
      <c r="A12" s="1608"/>
      <c r="B12" s="3401" t="s">
        <v>22</v>
      </c>
      <c r="C12" s="4028" t="s">
        <v>75</v>
      </c>
      <c r="D12" s="3402">
        <f>+D13+D14</f>
        <v>30017683</v>
      </c>
      <c r="E12" s="3402">
        <f t="shared" ref="E12:O12" si="5">+E13+E14</f>
        <v>625947</v>
      </c>
      <c r="F12" s="3402">
        <f t="shared" si="5"/>
        <v>0</v>
      </c>
      <c r="G12" s="3402">
        <f t="shared" si="5"/>
        <v>0</v>
      </c>
      <c r="H12" s="3402">
        <f t="shared" si="5"/>
        <v>0</v>
      </c>
      <c r="I12" s="3402">
        <f t="shared" si="5"/>
        <v>1250000</v>
      </c>
      <c r="J12" s="3402">
        <f t="shared" si="5"/>
        <v>2324734</v>
      </c>
      <c r="K12" s="3402">
        <f t="shared" si="5"/>
        <v>2562376</v>
      </c>
      <c r="L12" s="3402">
        <f t="shared" si="5"/>
        <v>1252763</v>
      </c>
      <c r="M12" s="3402">
        <f>+M13+M14</f>
        <v>256207</v>
      </c>
      <c r="N12" s="3402">
        <f>+N13+N14</f>
        <v>0</v>
      </c>
      <c r="O12" s="3402">
        <f t="shared" si="5"/>
        <v>0</v>
      </c>
      <c r="P12" s="3402">
        <f t="shared" ref="P12:W12" si="6">+P13+P14</f>
        <v>97634</v>
      </c>
      <c r="Q12" s="3402">
        <f t="shared" si="6"/>
        <v>3417454</v>
      </c>
      <c r="R12" s="3402">
        <f t="shared" si="6"/>
        <v>5949763</v>
      </c>
      <c r="S12" s="3402">
        <f t="shared" si="6"/>
        <v>9600000</v>
      </c>
      <c r="T12" s="3402">
        <f t="shared" si="6"/>
        <v>5657500</v>
      </c>
      <c r="U12" s="3402">
        <f t="shared" si="6"/>
        <v>3566880</v>
      </c>
      <c r="V12" s="3402">
        <f t="shared" si="6"/>
        <v>1472245</v>
      </c>
      <c r="W12" s="3402">
        <f t="shared" si="6"/>
        <v>0</v>
      </c>
      <c r="X12" s="3403">
        <f>+X14</f>
        <v>29663842</v>
      </c>
      <c r="Y12" s="4026"/>
      <c r="Z12" s="461"/>
      <c r="AA12" s="228">
        <f t="shared" ref="AA12:AA17" si="7">+P12+O12+N12+L12+K12+J12+I12+E12</f>
        <v>8113454</v>
      </c>
      <c r="AB12" s="228">
        <f>+AB11-D11</f>
        <v>-4273222</v>
      </c>
      <c r="AC12" s="461"/>
      <c r="AD12" s="461"/>
      <c r="AE12" s="461"/>
      <c r="AF12" s="461"/>
      <c r="AG12" s="461"/>
      <c r="AH12" s="461"/>
      <c r="AI12" s="461"/>
      <c r="AJ12" s="461"/>
      <c r="AK12" s="461"/>
      <c r="AL12" s="461"/>
      <c r="AM12" s="461"/>
      <c r="AN12" s="461"/>
      <c r="AO12" s="461"/>
      <c r="AP12" s="461"/>
      <c r="AQ12" s="461"/>
      <c r="AR12" s="461"/>
      <c r="AS12" s="461"/>
      <c r="AT12" s="461"/>
      <c r="AU12" s="461"/>
      <c r="AV12" s="461"/>
      <c r="AW12" s="461"/>
      <c r="AX12" s="461"/>
      <c r="AY12" s="461"/>
      <c r="AZ12" s="461"/>
      <c r="BA12" s="461"/>
      <c r="BB12" s="461"/>
      <c r="BC12" s="461"/>
      <c r="BD12" s="461"/>
      <c r="BE12" s="461"/>
      <c r="BF12" s="461"/>
      <c r="BG12" s="461"/>
      <c r="BH12" s="461"/>
      <c r="BI12" s="461"/>
      <c r="BJ12" s="461"/>
      <c r="BK12" s="461"/>
      <c r="BL12" s="461"/>
      <c r="BM12" s="461"/>
      <c r="BN12" s="461"/>
      <c r="BO12" s="461"/>
      <c r="BP12" s="461"/>
      <c r="BQ12" s="461"/>
      <c r="BR12" s="461"/>
      <c r="BS12" s="461"/>
      <c r="BT12" s="461"/>
      <c r="BU12" s="461"/>
      <c r="BV12" s="461"/>
      <c r="BW12" s="461"/>
      <c r="BX12" s="461"/>
      <c r="BY12" s="461"/>
      <c r="BZ12" s="461"/>
      <c r="CA12" s="461"/>
      <c r="CB12" s="461"/>
      <c r="CC12" s="461"/>
      <c r="CD12" s="461"/>
      <c r="CE12" s="461"/>
      <c r="CF12" s="461"/>
      <c r="CG12" s="461"/>
      <c r="CH12" s="461"/>
      <c r="CI12" s="461"/>
    </row>
    <row r="13" spans="1:87" s="1167" customFormat="1" ht="12" hidden="1">
      <c r="A13" s="1608"/>
      <c r="B13" s="3404" t="s">
        <v>43</v>
      </c>
      <c r="C13" s="4028"/>
      <c r="D13" s="3405">
        <f>+D70+D34+D47+D59+D82</f>
        <v>0</v>
      </c>
      <c r="E13" s="3405">
        <f t="shared" ref="E13:O13" si="8">+E70+E34+E47+E59+E82</f>
        <v>0</v>
      </c>
      <c r="F13" s="3405">
        <f t="shared" si="8"/>
        <v>0</v>
      </c>
      <c r="G13" s="3405">
        <f t="shared" si="8"/>
        <v>0</v>
      </c>
      <c r="H13" s="3405">
        <f t="shared" si="8"/>
        <v>0</v>
      </c>
      <c r="I13" s="3405">
        <f t="shared" si="8"/>
        <v>0</v>
      </c>
      <c r="J13" s="3405">
        <f t="shared" si="8"/>
        <v>5580</v>
      </c>
      <c r="K13" s="3405">
        <f t="shared" si="8"/>
        <v>0</v>
      </c>
      <c r="L13" s="3405">
        <f t="shared" si="8"/>
        <v>71544</v>
      </c>
      <c r="M13" s="3405">
        <f t="shared" si="8"/>
        <v>0</v>
      </c>
      <c r="N13" s="3405">
        <f t="shared" si="8"/>
        <v>0</v>
      </c>
      <c r="O13" s="3405">
        <f t="shared" si="8"/>
        <v>0</v>
      </c>
      <c r="P13" s="3405">
        <f t="shared" ref="P13:W13" si="9">+P70+P34+P47+P59</f>
        <v>0</v>
      </c>
      <c r="Q13" s="3405">
        <f t="shared" si="9"/>
        <v>0</v>
      </c>
      <c r="R13" s="3405">
        <f t="shared" si="9"/>
        <v>0</v>
      </c>
      <c r="S13" s="3405">
        <f t="shared" si="9"/>
        <v>0</v>
      </c>
      <c r="T13" s="3405">
        <f t="shared" si="9"/>
        <v>0</v>
      </c>
      <c r="U13" s="3405">
        <f t="shared" si="9"/>
        <v>0</v>
      </c>
      <c r="V13" s="3405">
        <f t="shared" si="9"/>
        <v>0</v>
      </c>
      <c r="W13" s="3405">
        <f t="shared" si="9"/>
        <v>0</v>
      </c>
      <c r="X13" s="3406" t="s">
        <v>75</v>
      </c>
      <c r="Y13" s="4026"/>
      <c r="Z13" s="461"/>
      <c r="AA13" s="228">
        <f t="shared" si="7"/>
        <v>77124</v>
      </c>
      <c r="AB13" s="461"/>
      <c r="AC13" s="461"/>
      <c r="AD13" s="461"/>
      <c r="AE13" s="461"/>
      <c r="AF13" s="461"/>
      <c r="AG13" s="461"/>
      <c r="AH13" s="461"/>
      <c r="AI13" s="461"/>
      <c r="AJ13" s="461"/>
      <c r="AK13" s="461"/>
      <c r="AL13" s="461"/>
      <c r="AM13" s="461"/>
      <c r="AN13" s="461"/>
      <c r="AO13" s="461"/>
      <c r="AP13" s="461"/>
      <c r="AQ13" s="461"/>
      <c r="AR13" s="461"/>
      <c r="AS13" s="461"/>
      <c r="AT13" s="461"/>
      <c r="AU13" s="461"/>
      <c r="AV13" s="461"/>
      <c r="AW13" s="461"/>
      <c r="AX13" s="461"/>
      <c r="AY13" s="461"/>
      <c r="AZ13" s="461"/>
      <c r="BA13" s="461"/>
      <c r="BB13" s="461"/>
      <c r="BC13" s="461"/>
      <c r="BD13" s="461"/>
      <c r="BE13" s="461"/>
      <c r="BF13" s="461"/>
      <c r="BG13" s="461"/>
      <c r="BH13" s="461"/>
      <c r="BI13" s="461"/>
      <c r="BJ13" s="461"/>
      <c r="BK13" s="461"/>
      <c r="BL13" s="461"/>
      <c r="BM13" s="461"/>
      <c r="BN13" s="461"/>
      <c r="BO13" s="461"/>
      <c r="BP13" s="461"/>
      <c r="BQ13" s="461"/>
      <c r="BR13" s="461"/>
      <c r="BS13" s="461"/>
      <c r="BT13" s="461"/>
      <c r="BU13" s="461"/>
      <c r="BV13" s="461"/>
      <c r="BW13" s="461"/>
      <c r="BX13" s="461"/>
      <c r="BY13" s="461"/>
      <c r="BZ13" s="461"/>
      <c r="CA13" s="461"/>
      <c r="CB13" s="461"/>
      <c r="CC13" s="461"/>
      <c r="CD13" s="461"/>
      <c r="CE13" s="461"/>
      <c r="CF13" s="461"/>
      <c r="CG13" s="461"/>
      <c r="CH13" s="461"/>
      <c r="CI13" s="461"/>
    </row>
    <row r="14" spans="1:87" s="1167" customFormat="1" ht="12">
      <c r="A14" s="1608"/>
      <c r="B14" s="3404" t="s">
        <v>192</v>
      </c>
      <c r="C14" s="4028"/>
      <c r="D14" s="3407">
        <f>+D25+D35+D46+D58+D83+D71+D95</f>
        <v>30017683</v>
      </c>
      <c r="E14" s="3407">
        <f t="shared" ref="E14:W14" si="10">+E25+E35+E46+E58+E83+E71+E95</f>
        <v>625947</v>
      </c>
      <c r="F14" s="3407">
        <f t="shared" si="10"/>
        <v>0</v>
      </c>
      <c r="G14" s="3407">
        <f t="shared" si="10"/>
        <v>0</v>
      </c>
      <c r="H14" s="3407">
        <f t="shared" si="10"/>
        <v>0</v>
      </c>
      <c r="I14" s="3407">
        <f t="shared" si="10"/>
        <v>1250000</v>
      </c>
      <c r="J14" s="3407">
        <f t="shared" si="10"/>
        <v>2319154</v>
      </c>
      <c r="K14" s="3407">
        <f t="shared" si="10"/>
        <v>2562376</v>
      </c>
      <c r="L14" s="3407">
        <f t="shared" si="10"/>
        <v>1181219</v>
      </c>
      <c r="M14" s="3407">
        <f t="shared" si="10"/>
        <v>256207</v>
      </c>
      <c r="N14" s="3407">
        <f t="shared" si="10"/>
        <v>0</v>
      </c>
      <c r="O14" s="3407">
        <f t="shared" si="10"/>
        <v>0</v>
      </c>
      <c r="P14" s="3407">
        <f t="shared" si="10"/>
        <v>97634</v>
      </c>
      <c r="Q14" s="3407">
        <f t="shared" si="10"/>
        <v>3417454</v>
      </c>
      <c r="R14" s="3407">
        <f t="shared" si="10"/>
        <v>5949763</v>
      </c>
      <c r="S14" s="3407">
        <f t="shared" si="10"/>
        <v>9600000</v>
      </c>
      <c r="T14" s="3407">
        <f t="shared" si="10"/>
        <v>5657500</v>
      </c>
      <c r="U14" s="3407">
        <f t="shared" si="10"/>
        <v>3566880</v>
      </c>
      <c r="V14" s="3407">
        <f t="shared" si="10"/>
        <v>1472245</v>
      </c>
      <c r="W14" s="3407">
        <f t="shared" si="10"/>
        <v>0</v>
      </c>
      <c r="X14" s="1118">
        <f>SUM(Q14:W14)</f>
        <v>29663842</v>
      </c>
      <c r="Y14" s="4026"/>
      <c r="Z14" s="461"/>
      <c r="AA14" s="228">
        <f t="shared" si="7"/>
        <v>8036330</v>
      </c>
      <c r="AB14" s="228"/>
      <c r="AC14" s="461"/>
      <c r="AD14" s="461"/>
      <c r="AE14" s="461"/>
      <c r="AF14" s="461"/>
      <c r="AG14" s="461"/>
      <c r="AH14" s="461"/>
      <c r="AI14" s="461"/>
      <c r="AJ14" s="461"/>
      <c r="AK14" s="461"/>
      <c r="AL14" s="461"/>
      <c r="AM14" s="461"/>
      <c r="AN14" s="461"/>
      <c r="AO14" s="461"/>
      <c r="AP14" s="461"/>
      <c r="AQ14" s="461"/>
      <c r="AR14" s="461"/>
      <c r="AS14" s="461"/>
      <c r="AT14" s="461"/>
      <c r="AU14" s="461"/>
      <c r="AV14" s="461"/>
      <c r="AW14" s="461"/>
      <c r="AX14" s="461"/>
      <c r="AY14" s="461"/>
      <c r="AZ14" s="461"/>
      <c r="BA14" s="461"/>
      <c r="BB14" s="461"/>
      <c r="BC14" s="461"/>
      <c r="BD14" s="461"/>
      <c r="BE14" s="461"/>
      <c r="BF14" s="461"/>
      <c r="BG14" s="461"/>
      <c r="BH14" s="461"/>
      <c r="BI14" s="461"/>
      <c r="BJ14" s="461"/>
      <c r="BK14" s="461"/>
      <c r="BL14" s="461"/>
      <c r="BM14" s="461"/>
      <c r="BN14" s="461"/>
      <c r="BO14" s="461"/>
      <c r="BP14" s="461"/>
      <c r="BQ14" s="461"/>
      <c r="BR14" s="461"/>
      <c r="BS14" s="461"/>
      <c r="BT14" s="461"/>
      <c r="BU14" s="461"/>
      <c r="BV14" s="461"/>
      <c r="BW14" s="461"/>
      <c r="BX14" s="461"/>
      <c r="BY14" s="461"/>
      <c r="BZ14" s="461"/>
      <c r="CA14" s="461"/>
      <c r="CB14" s="461"/>
      <c r="CC14" s="461"/>
      <c r="CD14" s="461"/>
      <c r="CE14" s="461"/>
      <c r="CF14" s="461"/>
      <c r="CG14" s="461"/>
      <c r="CH14" s="461"/>
      <c r="CI14" s="461"/>
    </row>
    <row r="15" spans="1:87" s="1167" customFormat="1" ht="12">
      <c r="A15" s="1608"/>
      <c r="B15" s="3401" t="s">
        <v>29</v>
      </c>
      <c r="C15" s="4028"/>
      <c r="D15" s="3402">
        <f>+D16</f>
        <v>62941005</v>
      </c>
      <c r="E15" s="3402">
        <f>+E16</f>
        <v>0</v>
      </c>
      <c r="F15" s="3402">
        <f>F26+F36+F48+F84+F72</f>
        <v>0</v>
      </c>
      <c r="G15" s="3402">
        <f>G26+G36+G48+G84+G72</f>
        <v>0</v>
      </c>
      <c r="H15" s="3402">
        <f>H26+H36+H48+H84+H72</f>
        <v>0</v>
      </c>
      <c r="I15" s="3402">
        <f t="shared" ref="I15:W15" si="11">+I16</f>
        <v>0</v>
      </c>
      <c r="J15" s="3402">
        <f t="shared" si="11"/>
        <v>31622</v>
      </c>
      <c r="K15" s="3402">
        <f t="shared" si="11"/>
        <v>1806384</v>
      </c>
      <c r="L15" s="3402">
        <f t="shared" si="11"/>
        <v>2229874</v>
      </c>
      <c r="M15" s="3402">
        <f t="shared" si="11"/>
        <v>0</v>
      </c>
      <c r="N15" s="3402">
        <f t="shared" si="11"/>
        <v>0</v>
      </c>
      <c r="O15" s="3402">
        <f t="shared" si="11"/>
        <v>0</v>
      </c>
      <c r="P15" s="3402">
        <f t="shared" si="11"/>
        <v>0</v>
      </c>
      <c r="Q15" s="3402">
        <f t="shared" si="11"/>
        <v>22355</v>
      </c>
      <c r="R15" s="3402">
        <f t="shared" si="11"/>
        <v>11983650</v>
      </c>
      <c r="S15" s="3402">
        <f t="shared" si="11"/>
        <v>20400000</v>
      </c>
      <c r="T15" s="3402">
        <f t="shared" si="11"/>
        <v>11942500</v>
      </c>
      <c r="U15" s="3402">
        <f t="shared" si="11"/>
        <v>8500000</v>
      </c>
      <c r="V15" s="3402">
        <f t="shared" si="11"/>
        <v>10092500</v>
      </c>
      <c r="W15" s="3402">
        <f t="shared" si="11"/>
        <v>0</v>
      </c>
      <c r="X15" s="3408" t="str">
        <f>+X16</f>
        <v>x</v>
      </c>
      <c r="Y15" s="4026"/>
      <c r="Z15" s="461"/>
      <c r="AA15" s="228">
        <f t="shared" si="7"/>
        <v>4067880</v>
      </c>
      <c r="AB15" s="461"/>
      <c r="AC15" s="461"/>
      <c r="AD15" s="461"/>
      <c r="AE15" s="461"/>
      <c r="AF15" s="461"/>
      <c r="AG15" s="461"/>
      <c r="AH15" s="461"/>
      <c r="AI15" s="461"/>
      <c r="AJ15" s="461"/>
      <c r="AK15" s="461"/>
      <c r="AL15" s="461"/>
      <c r="AM15" s="461"/>
      <c r="AN15" s="461"/>
      <c r="AO15" s="461"/>
      <c r="AP15" s="461"/>
      <c r="AQ15" s="461"/>
      <c r="AR15" s="461"/>
      <c r="AS15" s="461"/>
      <c r="AT15" s="461"/>
      <c r="AU15" s="461"/>
      <c r="AV15" s="461"/>
      <c r="AW15" s="461"/>
      <c r="AX15" s="461"/>
      <c r="AY15" s="461"/>
      <c r="AZ15" s="461"/>
      <c r="BA15" s="461"/>
      <c r="BB15" s="461"/>
      <c r="BC15" s="461"/>
      <c r="BD15" s="461"/>
      <c r="BE15" s="461"/>
      <c r="BF15" s="461"/>
      <c r="BG15" s="461"/>
      <c r="BH15" s="461"/>
      <c r="BI15" s="461"/>
      <c r="BJ15" s="461"/>
      <c r="BK15" s="461"/>
      <c r="BL15" s="461"/>
      <c r="BM15" s="461"/>
      <c r="BN15" s="461"/>
      <c r="BO15" s="461"/>
      <c r="BP15" s="461"/>
      <c r="BQ15" s="461"/>
      <c r="BR15" s="461"/>
      <c r="BS15" s="461"/>
      <c r="BT15" s="461"/>
      <c r="BU15" s="461"/>
      <c r="BV15" s="461"/>
      <c r="BW15" s="461"/>
      <c r="BX15" s="461"/>
      <c r="BY15" s="461"/>
      <c r="BZ15" s="461"/>
      <c r="CA15" s="461"/>
      <c r="CB15" s="461"/>
      <c r="CC15" s="461"/>
      <c r="CD15" s="461"/>
      <c r="CE15" s="461"/>
      <c r="CF15" s="461"/>
      <c r="CG15" s="461"/>
      <c r="CH15" s="461"/>
      <c r="CI15" s="461"/>
    </row>
    <row r="16" spans="1:87" s="1167" customFormat="1" ht="13.5" customHeight="1">
      <c r="A16" s="1608"/>
      <c r="B16" s="3409" t="s">
        <v>46</v>
      </c>
      <c r="C16" s="4028"/>
      <c r="D16" s="3407">
        <f>D27+D37+D49+D73+D85+D61+D97</f>
        <v>62941005</v>
      </c>
      <c r="E16" s="3407">
        <f t="shared" ref="E16:W16" si="12">E27+E37+E49+E73+E85+E61+E97</f>
        <v>0</v>
      </c>
      <c r="F16" s="3407">
        <f t="shared" si="12"/>
        <v>0</v>
      </c>
      <c r="G16" s="3407">
        <f t="shared" si="12"/>
        <v>0</v>
      </c>
      <c r="H16" s="3407">
        <f t="shared" si="12"/>
        <v>0</v>
      </c>
      <c r="I16" s="3407">
        <f t="shared" si="12"/>
        <v>0</v>
      </c>
      <c r="J16" s="3407">
        <f t="shared" si="12"/>
        <v>31622</v>
      </c>
      <c r="K16" s="3407">
        <f t="shared" si="12"/>
        <v>1806384</v>
      </c>
      <c r="L16" s="3407">
        <f t="shared" si="12"/>
        <v>2229874</v>
      </c>
      <c r="M16" s="3407">
        <f t="shared" si="12"/>
        <v>0</v>
      </c>
      <c r="N16" s="3407">
        <f t="shared" si="12"/>
        <v>0</v>
      </c>
      <c r="O16" s="3407">
        <f t="shared" si="12"/>
        <v>0</v>
      </c>
      <c r="P16" s="3407">
        <f t="shared" si="12"/>
        <v>0</v>
      </c>
      <c r="Q16" s="3407">
        <f t="shared" si="12"/>
        <v>22355</v>
      </c>
      <c r="R16" s="3407">
        <f t="shared" si="12"/>
        <v>11983650</v>
      </c>
      <c r="S16" s="3407">
        <f t="shared" si="12"/>
        <v>20400000</v>
      </c>
      <c r="T16" s="3407">
        <f t="shared" si="12"/>
        <v>11942500</v>
      </c>
      <c r="U16" s="3407">
        <f t="shared" si="12"/>
        <v>8500000</v>
      </c>
      <c r="V16" s="3407">
        <f t="shared" si="12"/>
        <v>10092500</v>
      </c>
      <c r="W16" s="3407">
        <f t="shared" si="12"/>
        <v>0</v>
      </c>
      <c r="X16" s="1119" t="s">
        <v>75</v>
      </c>
      <c r="Y16" s="4026"/>
      <c r="Z16" s="461"/>
      <c r="AA16" s="228">
        <f t="shared" si="7"/>
        <v>4067880</v>
      </c>
      <c r="AB16" s="461"/>
      <c r="AC16" s="461"/>
      <c r="AD16" s="461"/>
      <c r="AE16" s="461"/>
      <c r="AF16" s="461"/>
      <c r="AG16" s="461"/>
      <c r="AH16" s="461"/>
      <c r="AI16" s="461"/>
      <c r="AJ16" s="461"/>
      <c r="AK16" s="461"/>
      <c r="AL16" s="461"/>
      <c r="AM16" s="461"/>
      <c r="AN16" s="461"/>
      <c r="AO16" s="461"/>
      <c r="AP16" s="461"/>
      <c r="AQ16" s="461"/>
      <c r="AR16" s="461"/>
      <c r="AS16" s="461"/>
      <c r="AT16" s="461"/>
      <c r="AU16" s="461"/>
      <c r="AV16" s="461"/>
      <c r="AW16" s="461"/>
      <c r="AX16" s="461"/>
      <c r="AY16" s="461"/>
      <c r="AZ16" s="461"/>
      <c r="BA16" s="461"/>
      <c r="BB16" s="461"/>
      <c r="BC16" s="461"/>
      <c r="BD16" s="461"/>
      <c r="BE16" s="461"/>
      <c r="BF16" s="461"/>
      <c r="BG16" s="461"/>
      <c r="BH16" s="461"/>
      <c r="BI16" s="461"/>
      <c r="BJ16" s="461"/>
      <c r="BK16" s="461"/>
      <c r="BL16" s="461"/>
      <c r="BM16" s="461"/>
      <c r="BN16" s="461"/>
      <c r="BO16" s="461"/>
      <c r="BP16" s="461"/>
      <c r="BQ16" s="461"/>
      <c r="BR16" s="461"/>
      <c r="BS16" s="461"/>
      <c r="BT16" s="461"/>
      <c r="BU16" s="461"/>
      <c r="BV16" s="461"/>
      <c r="BW16" s="461"/>
      <c r="BX16" s="461"/>
      <c r="BY16" s="461"/>
      <c r="BZ16" s="461"/>
      <c r="CA16" s="461"/>
      <c r="CB16" s="461"/>
      <c r="CC16" s="461"/>
      <c r="CD16" s="461"/>
      <c r="CE16" s="461"/>
      <c r="CF16" s="461"/>
      <c r="CG16" s="461"/>
      <c r="CH16" s="461"/>
      <c r="CI16" s="461"/>
    </row>
    <row r="17" spans="1:87" s="1167" customFormat="1" ht="12.75" customHeight="1">
      <c r="A17" s="1608"/>
      <c r="B17" s="1068" t="s">
        <v>33</v>
      </c>
      <c r="C17" s="1068"/>
      <c r="D17" s="1120">
        <f>+D18+D20</f>
        <v>78797391</v>
      </c>
      <c r="E17" s="1120">
        <f t="shared" ref="E17:O17" si="13">+E18+E20</f>
        <v>0</v>
      </c>
      <c r="F17" s="1120">
        <f t="shared" si="13"/>
        <v>0</v>
      </c>
      <c r="G17" s="1120">
        <f t="shared" si="13"/>
        <v>0</v>
      </c>
      <c r="H17" s="1120">
        <f t="shared" si="13"/>
        <v>0</v>
      </c>
      <c r="I17" s="1120">
        <f t="shared" si="13"/>
        <v>101937</v>
      </c>
      <c r="J17" s="1120">
        <f t="shared" si="13"/>
        <v>224050</v>
      </c>
      <c r="K17" s="1120">
        <f t="shared" si="13"/>
        <v>2719336</v>
      </c>
      <c r="L17" s="1120">
        <f t="shared" si="13"/>
        <v>2269358</v>
      </c>
      <c r="M17" s="1120">
        <f>+M18+M20</f>
        <v>0</v>
      </c>
      <c r="N17" s="1120">
        <f>+N18+N20</f>
        <v>0</v>
      </c>
      <c r="O17" s="1120">
        <f t="shared" si="13"/>
        <v>0</v>
      </c>
      <c r="P17" s="1120">
        <f t="shared" ref="P17:W17" si="14">+P18+P20</f>
        <v>0</v>
      </c>
      <c r="Q17" s="1120">
        <f t="shared" si="14"/>
        <v>372355</v>
      </c>
      <c r="R17" s="1120">
        <f t="shared" si="14"/>
        <v>13839307</v>
      </c>
      <c r="S17" s="1120">
        <f t="shared" si="14"/>
        <v>26400000</v>
      </c>
      <c r="T17" s="1120">
        <f t="shared" si="14"/>
        <v>15942500</v>
      </c>
      <c r="U17" s="1120">
        <f t="shared" si="14"/>
        <v>10500000</v>
      </c>
      <c r="V17" s="1120">
        <f t="shared" si="14"/>
        <v>11743229</v>
      </c>
      <c r="W17" s="1120">
        <f t="shared" si="14"/>
        <v>0</v>
      </c>
      <c r="X17" s="4035" t="s">
        <v>75</v>
      </c>
      <c r="Y17" s="4026"/>
      <c r="Z17" s="461"/>
      <c r="AA17" s="228">
        <f t="shared" si="7"/>
        <v>5314681</v>
      </c>
      <c r="AB17" s="461"/>
      <c r="AC17" s="461"/>
      <c r="AD17" s="461"/>
      <c r="AE17" s="461"/>
      <c r="AF17" s="461"/>
      <c r="AG17" s="461"/>
      <c r="AH17" s="461"/>
      <c r="AI17" s="461"/>
      <c r="AJ17" s="461"/>
      <c r="AK17" s="461"/>
      <c r="AL17" s="461"/>
      <c r="AM17" s="461"/>
      <c r="AN17" s="461"/>
      <c r="AO17" s="461"/>
      <c r="AP17" s="461"/>
      <c r="AQ17" s="461"/>
      <c r="AR17" s="461"/>
      <c r="AS17" s="461"/>
      <c r="AT17" s="461"/>
      <c r="AU17" s="461"/>
      <c r="AV17" s="461"/>
      <c r="AW17" s="461"/>
      <c r="AX17" s="461"/>
      <c r="AY17" s="461"/>
      <c r="AZ17" s="461"/>
      <c r="BA17" s="461"/>
      <c r="BB17" s="461"/>
      <c r="BC17" s="461"/>
      <c r="BD17" s="461"/>
      <c r="BE17" s="461"/>
      <c r="BF17" s="461"/>
      <c r="BG17" s="461"/>
      <c r="BH17" s="461"/>
      <c r="BI17" s="461"/>
      <c r="BJ17" s="461"/>
      <c r="BK17" s="461"/>
      <c r="BL17" s="461"/>
      <c r="BM17" s="461"/>
      <c r="BN17" s="461"/>
      <c r="BO17" s="461"/>
      <c r="BP17" s="461"/>
      <c r="BQ17" s="461"/>
      <c r="BR17" s="461"/>
      <c r="BS17" s="461"/>
      <c r="BT17" s="461"/>
      <c r="BU17" s="461"/>
      <c r="BV17" s="461"/>
      <c r="BW17" s="461"/>
      <c r="BX17" s="461"/>
      <c r="BY17" s="461"/>
      <c r="BZ17" s="461"/>
      <c r="CA17" s="461"/>
      <c r="CB17" s="461"/>
      <c r="CC17" s="461"/>
      <c r="CD17" s="461"/>
      <c r="CE17" s="461"/>
      <c r="CF17" s="461"/>
      <c r="CG17" s="461"/>
      <c r="CH17" s="461"/>
      <c r="CI17" s="461"/>
    </row>
    <row r="18" spans="1:87" s="1167" customFormat="1" ht="12">
      <c r="A18" s="1608"/>
      <c r="B18" s="3401" t="s">
        <v>35</v>
      </c>
      <c r="C18" s="4029" t="s">
        <v>75</v>
      </c>
      <c r="D18" s="3402">
        <f>+D19</f>
        <v>15856386</v>
      </c>
      <c r="E18" s="3402">
        <f>+E19</f>
        <v>0</v>
      </c>
      <c r="F18" s="3402">
        <f t="shared" ref="F18:H18" si="15">+F51+F87+F39+F63</f>
        <v>0</v>
      </c>
      <c r="G18" s="3402">
        <f t="shared" si="15"/>
        <v>0</v>
      </c>
      <c r="H18" s="3402">
        <f t="shared" si="15"/>
        <v>0</v>
      </c>
      <c r="I18" s="3402">
        <f t="shared" ref="I18:W18" si="16">+I19</f>
        <v>101937</v>
      </c>
      <c r="J18" s="3402">
        <f t="shared" si="16"/>
        <v>220330</v>
      </c>
      <c r="K18" s="3402">
        <f t="shared" si="16"/>
        <v>912952</v>
      </c>
      <c r="L18" s="3402">
        <f t="shared" si="16"/>
        <v>359900</v>
      </c>
      <c r="M18" s="3402">
        <f t="shared" si="16"/>
        <v>0</v>
      </c>
      <c r="N18" s="3402">
        <f t="shared" si="16"/>
        <v>0</v>
      </c>
      <c r="O18" s="3402">
        <f t="shared" si="16"/>
        <v>0</v>
      </c>
      <c r="P18" s="3402">
        <f t="shared" si="16"/>
        <v>0</v>
      </c>
      <c r="Q18" s="3402">
        <f t="shared" si="16"/>
        <v>350000</v>
      </c>
      <c r="R18" s="3402">
        <f t="shared" si="16"/>
        <v>1855657</v>
      </c>
      <c r="S18" s="3402">
        <f t="shared" si="16"/>
        <v>6000000</v>
      </c>
      <c r="T18" s="3402">
        <f t="shared" si="16"/>
        <v>4000000</v>
      </c>
      <c r="U18" s="3402">
        <f t="shared" si="16"/>
        <v>2000000</v>
      </c>
      <c r="V18" s="3402">
        <f t="shared" si="16"/>
        <v>1650729</v>
      </c>
      <c r="W18" s="3402">
        <f t="shared" si="16"/>
        <v>0</v>
      </c>
      <c r="X18" s="4036"/>
      <c r="Y18" s="4026"/>
      <c r="Z18" s="461"/>
      <c r="AA18" s="228"/>
      <c r="AB18" s="461"/>
      <c r="AC18" s="461"/>
      <c r="AD18" s="461"/>
      <c r="AE18" s="461"/>
      <c r="AF18" s="461"/>
      <c r="AG18" s="461"/>
      <c r="AH18" s="461"/>
      <c r="AI18" s="461"/>
      <c r="AJ18" s="461"/>
      <c r="AK18" s="461"/>
      <c r="AL18" s="461"/>
      <c r="AM18" s="461"/>
      <c r="AN18" s="461"/>
      <c r="AO18" s="461"/>
      <c r="AP18" s="461"/>
      <c r="AQ18" s="461"/>
      <c r="AR18" s="461"/>
      <c r="AS18" s="461"/>
      <c r="AT18" s="461"/>
      <c r="AU18" s="461"/>
      <c r="AV18" s="461"/>
      <c r="AW18" s="461"/>
      <c r="AX18" s="461"/>
      <c r="AY18" s="461"/>
      <c r="AZ18" s="461"/>
      <c r="BA18" s="461"/>
      <c r="BB18" s="461"/>
      <c r="BC18" s="461"/>
      <c r="BD18" s="461"/>
      <c r="BE18" s="461"/>
      <c r="BF18" s="461"/>
      <c r="BG18" s="461"/>
      <c r="BH18" s="461"/>
      <c r="BI18" s="461"/>
      <c r="BJ18" s="461"/>
      <c r="BK18" s="461"/>
      <c r="BL18" s="461"/>
      <c r="BM18" s="461"/>
      <c r="BN18" s="461"/>
      <c r="BO18" s="461"/>
      <c r="BP18" s="461"/>
      <c r="BQ18" s="461"/>
      <c r="BR18" s="461"/>
      <c r="BS18" s="461"/>
      <c r="BT18" s="461"/>
      <c r="BU18" s="461"/>
      <c r="BV18" s="461"/>
      <c r="BW18" s="461"/>
      <c r="BX18" s="461"/>
      <c r="BY18" s="461"/>
      <c r="BZ18" s="461"/>
      <c r="CA18" s="461"/>
      <c r="CB18" s="461"/>
      <c r="CC18" s="461"/>
      <c r="CD18" s="461"/>
      <c r="CE18" s="461"/>
      <c r="CF18" s="461"/>
      <c r="CG18" s="461"/>
      <c r="CH18" s="461"/>
      <c r="CI18" s="461"/>
    </row>
    <row r="19" spans="1:87" s="1167" customFormat="1" ht="12">
      <c r="A19" s="1608"/>
      <c r="B19" s="3409" t="s">
        <v>167</v>
      </c>
      <c r="C19" s="4030"/>
      <c r="D19" s="3407">
        <f>+D52+D88+D40+D64+D76+D30</f>
        <v>15856386</v>
      </c>
      <c r="E19" s="3407">
        <f t="shared" ref="E19:W19" si="17">+E52+E88+E40+E64+E76+E30</f>
        <v>0</v>
      </c>
      <c r="F19" s="3407">
        <f t="shared" si="17"/>
        <v>0</v>
      </c>
      <c r="G19" s="3407">
        <f t="shared" si="17"/>
        <v>0</v>
      </c>
      <c r="H19" s="3407">
        <f t="shared" si="17"/>
        <v>0</v>
      </c>
      <c r="I19" s="3407">
        <f t="shared" si="17"/>
        <v>101937</v>
      </c>
      <c r="J19" s="3407">
        <f t="shared" si="17"/>
        <v>220330</v>
      </c>
      <c r="K19" s="3407">
        <f t="shared" si="17"/>
        <v>912952</v>
      </c>
      <c r="L19" s="3407">
        <f t="shared" si="17"/>
        <v>359900</v>
      </c>
      <c r="M19" s="3407">
        <f t="shared" si="17"/>
        <v>0</v>
      </c>
      <c r="N19" s="3407">
        <f t="shared" si="17"/>
        <v>0</v>
      </c>
      <c r="O19" s="3407">
        <f t="shared" si="17"/>
        <v>0</v>
      </c>
      <c r="P19" s="3407">
        <f t="shared" si="17"/>
        <v>0</v>
      </c>
      <c r="Q19" s="3407">
        <f t="shared" si="17"/>
        <v>350000</v>
      </c>
      <c r="R19" s="3407">
        <f t="shared" si="17"/>
        <v>1855657</v>
      </c>
      <c r="S19" s="3407">
        <f t="shared" si="17"/>
        <v>6000000</v>
      </c>
      <c r="T19" s="3407">
        <f t="shared" si="17"/>
        <v>4000000</v>
      </c>
      <c r="U19" s="3407">
        <f t="shared" si="17"/>
        <v>2000000</v>
      </c>
      <c r="V19" s="3407">
        <f t="shared" si="17"/>
        <v>1650729</v>
      </c>
      <c r="W19" s="3407">
        <f t="shared" si="17"/>
        <v>0</v>
      </c>
      <c r="X19" s="4036"/>
      <c r="Y19" s="4026"/>
      <c r="Z19" s="461"/>
      <c r="AA19" s="228"/>
      <c r="AB19" s="461"/>
      <c r="AC19" s="461"/>
      <c r="AD19" s="461"/>
      <c r="AE19" s="461"/>
      <c r="AF19" s="461"/>
      <c r="AG19" s="461"/>
      <c r="AH19" s="461"/>
      <c r="AI19" s="461"/>
      <c r="AJ19" s="461"/>
      <c r="AK19" s="461"/>
      <c r="AL19" s="461"/>
      <c r="AM19" s="461"/>
      <c r="AN19" s="461"/>
      <c r="AO19" s="461"/>
      <c r="AP19" s="461"/>
      <c r="AQ19" s="461"/>
      <c r="AR19" s="461"/>
      <c r="AS19" s="461"/>
      <c r="AT19" s="461"/>
      <c r="AU19" s="461"/>
      <c r="AV19" s="461"/>
      <c r="AW19" s="461"/>
      <c r="AX19" s="461"/>
      <c r="AY19" s="461"/>
      <c r="AZ19" s="461"/>
      <c r="BA19" s="461"/>
      <c r="BB19" s="461"/>
      <c r="BC19" s="461"/>
      <c r="BD19" s="461"/>
      <c r="BE19" s="461"/>
      <c r="BF19" s="461"/>
      <c r="BG19" s="461"/>
      <c r="BH19" s="461"/>
      <c r="BI19" s="461"/>
      <c r="BJ19" s="461"/>
      <c r="BK19" s="461"/>
      <c r="BL19" s="461"/>
      <c r="BM19" s="461"/>
      <c r="BN19" s="461"/>
      <c r="BO19" s="461"/>
      <c r="BP19" s="461"/>
      <c r="BQ19" s="461"/>
      <c r="BR19" s="461"/>
      <c r="BS19" s="461"/>
      <c r="BT19" s="461"/>
      <c r="BU19" s="461"/>
      <c r="BV19" s="461"/>
      <c r="BW19" s="461"/>
      <c r="BX19" s="461"/>
      <c r="BY19" s="461"/>
      <c r="BZ19" s="461"/>
      <c r="CA19" s="461"/>
      <c r="CB19" s="461"/>
      <c r="CC19" s="461"/>
      <c r="CD19" s="461"/>
      <c r="CE19" s="461"/>
      <c r="CF19" s="461"/>
      <c r="CG19" s="461"/>
      <c r="CH19" s="461"/>
      <c r="CI19" s="461"/>
    </row>
    <row r="20" spans="1:87" s="1167" customFormat="1" ht="12">
      <c r="A20" s="1608"/>
      <c r="B20" s="3410" t="s">
        <v>29</v>
      </c>
      <c r="C20" s="4030"/>
      <c r="D20" s="3411">
        <f>+D21</f>
        <v>62941005</v>
      </c>
      <c r="E20" s="3411">
        <f>+E21</f>
        <v>0</v>
      </c>
      <c r="F20" s="3411">
        <f>F29+F41+F53+F89+F77</f>
        <v>0</v>
      </c>
      <c r="G20" s="3411">
        <f>G29+G41+G53+G89+G77</f>
        <v>0</v>
      </c>
      <c r="H20" s="3411">
        <f>H29+H41+H53+H89+H77</f>
        <v>0</v>
      </c>
      <c r="I20" s="3411">
        <f t="shared" ref="I20:W20" si="18">+I21</f>
        <v>0</v>
      </c>
      <c r="J20" s="3411">
        <f t="shared" si="18"/>
        <v>3720</v>
      </c>
      <c r="K20" s="3411">
        <f t="shared" si="18"/>
        <v>1806384</v>
      </c>
      <c r="L20" s="3411">
        <f t="shared" si="18"/>
        <v>1909458</v>
      </c>
      <c r="M20" s="3411">
        <f t="shared" si="18"/>
        <v>0</v>
      </c>
      <c r="N20" s="3411">
        <f t="shared" si="18"/>
        <v>0</v>
      </c>
      <c r="O20" s="3411">
        <f t="shared" si="18"/>
        <v>0</v>
      </c>
      <c r="P20" s="3411">
        <f t="shared" si="18"/>
        <v>0</v>
      </c>
      <c r="Q20" s="3411">
        <f t="shared" si="18"/>
        <v>22355</v>
      </c>
      <c r="R20" s="3411">
        <f t="shared" si="18"/>
        <v>11983650</v>
      </c>
      <c r="S20" s="3411">
        <f t="shared" si="18"/>
        <v>20400000</v>
      </c>
      <c r="T20" s="3411">
        <f t="shared" si="18"/>
        <v>11942500</v>
      </c>
      <c r="U20" s="3411">
        <f t="shared" si="18"/>
        <v>8500000</v>
      </c>
      <c r="V20" s="3411">
        <f t="shared" si="18"/>
        <v>10092500</v>
      </c>
      <c r="W20" s="3411">
        <f t="shared" si="18"/>
        <v>0</v>
      </c>
      <c r="X20" s="4036"/>
      <c r="Y20" s="4026"/>
      <c r="Z20" s="461"/>
      <c r="AA20" s="228">
        <f>+P20+O20+N20+L20+K20+J20+I20+E20</f>
        <v>3719562</v>
      </c>
      <c r="AB20" s="461"/>
      <c r="AC20" s="461"/>
      <c r="AD20" s="461"/>
      <c r="AE20" s="461"/>
      <c r="AF20" s="461"/>
      <c r="AG20" s="461"/>
      <c r="AH20" s="461"/>
      <c r="AI20" s="461"/>
      <c r="AJ20" s="461"/>
      <c r="AK20" s="461"/>
      <c r="AL20" s="461"/>
      <c r="AM20" s="461"/>
      <c r="AN20" s="461"/>
      <c r="AO20" s="461"/>
      <c r="AP20" s="461"/>
      <c r="AQ20" s="461"/>
      <c r="AR20" s="461"/>
      <c r="AS20" s="461"/>
      <c r="AT20" s="461"/>
      <c r="AU20" s="461"/>
      <c r="AV20" s="461"/>
      <c r="AW20" s="461"/>
      <c r="AX20" s="461"/>
      <c r="AY20" s="461"/>
      <c r="AZ20" s="461"/>
      <c r="BA20" s="461"/>
      <c r="BB20" s="461"/>
      <c r="BC20" s="461"/>
      <c r="BD20" s="461"/>
      <c r="BE20" s="461"/>
      <c r="BF20" s="461"/>
      <c r="BG20" s="461"/>
      <c r="BH20" s="461"/>
      <c r="BI20" s="461"/>
      <c r="BJ20" s="461"/>
      <c r="BK20" s="461"/>
      <c r="BL20" s="461"/>
      <c r="BM20" s="461"/>
      <c r="BN20" s="461"/>
      <c r="BO20" s="461"/>
      <c r="BP20" s="461"/>
      <c r="BQ20" s="461"/>
      <c r="BR20" s="461"/>
      <c r="BS20" s="461"/>
      <c r="BT20" s="461"/>
      <c r="BU20" s="461"/>
      <c r="BV20" s="461"/>
      <c r="BW20" s="461"/>
      <c r="BX20" s="461"/>
      <c r="BY20" s="461"/>
      <c r="BZ20" s="461"/>
      <c r="CA20" s="461"/>
      <c r="CB20" s="461"/>
      <c r="CC20" s="461"/>
      <c r="CD20" s="461"/>
      <c r="CE20" s="461"/>
      <c r="CF20" s="461"/>
      <c r="CG20" s="461"/>
      <c r="CH20" s="461"/>
      <c r="CI20" s="461"/>
    </row>
    <row r="21" spans="1:87" s="1167" customFormat="1" ht="14.1" customHeight="1" thickBot="1">
      <c r="A21" s="1616"/>
      <c r="B21" s="3412" t="s">
        <v>46</v>
      </c>
      <c r="C21" s="4031"/>
      <c r="D21" s="1323">
        <f>+D42+D54+D90+D78+D66+D102</f>
        <v>62941005</v>
      </c>
      <c r="E21" s="1323">
        <f t="shared" ref="E21:W21" si="19">+E42+E54+E90+E78+E66+E102</f>
        <v>0</v>
      </c>
      <c r="F21" s="1323">
        <f t="shared" si="19"/>
        <v>0</v>
      </c>
      <c r="G21" s="1323">
        <f t="shared" si="19"/>
        <v>0</v>
      </c>
      <c r="H21" s="1323">
        <f t="shared" si="19"/>
        <v>0</v>
      </c>
      <c r="I21" s="1323">
        <f t="shared" si="19"/>
        <v>0</v>
      </c>
      <c r="J21" s="1323">
        <f t="shared" si="19"/>
        <v>3720</v>
      </c>
      <c r="K21" s="1323">
        <f t="shared" si="19"/>
        <v>1806384</v>
      </c>
      <c r="L21" s="1323">
        <f t="shared" si="19"/>
        <v>1909458</v>
      </c>
      <c r="M21" s="1323">
        <f t="shared" si="19"/>
        <v>0</v>
      </c>
      <c r="N21" s="1323">
        <f t="shared" si="19"/>
        <v>0</v>
      </c>
      <c r="O21" s="1323">
        <f t="shared" si="19"/>
        <v>0</v>
      </c>
      <c r="P21" s="1323">
        <f t="shared" si="19"/>
        <v>0</v>
      </c>
      <c r="Q21" s="1323">
        <f t="shared" si="19"/>
        <v>22355</v>
      </c>
      <c r="R21" s="1323">
        <f t="shared" si="19"/>
        <v>11983650</v>
      </c>
      <c r="S21" s="1323">
        <f t="shared" si="19"/>
        <v>20400000</v>
      </c>
      <c r="T21" s="1323">
        <f t="shared" si="19"/>
        <v>11942500</v>
      </c>
      <c r="U21" s="1323">
        <f t="shared" si="19"/>
        <v>8500000</v>
      </c>
      <c r="V21" s="1323">
        <f t="shared" si="19"/>
        <v>10092500</v>
      </c>
      <c r="W21" s="1323">
        <f t="shared" si="19"/>
        <v>0</v>
      </c>
      <c r="X21" s="4037"/>
      <c r="Y21" s="4027"/>
      <c r="Z21" s="461"/>
      <c r="AA21" s="228">
        <f>+P21+O21+N21+L21+K21+J21+I21+E21</f>
        <v>3719562</v>
      </c>
      <c r="AB21" s="461"/>
      <c r="AC21" s="461"/>
      <c r="AD21" s="461"/>
      <c r="AE21" s="461"/>
      <c r="AF21" s="461"/>
      <c r="AG21" s="461"/>
      <c r="AH21" s="461"/>
      <c r="AI21" s="461"/>
      <c r="AJ21" s="461"/>
      <c r="AK21" s="461"/>
      <c r="AL21" s="461"/>
      <c r="AM21" s="461"/>
      <c r="AN21" s="461"/>
      <c r="AO21" s="461"/>
      <c r="AP21" s="461"/>
      <c r="AQ21" s="461"/>
      <c r="AR21" s="461"/>
      <c r="AS21" s="461"/>
      <c r="AT21" s="461"/>
      <c r="AU21" s="461"/>
      <c r="AV21" s="461"/>
      <c r="AW21" s="461"/>
      <c r="AX21" s="461"/>
      <c r="AY21" s="461"/>
      <c r="AZ21" s="461"/>
      <c r="BA21" s="461"/>
      <c r="BB21" s="461"/>
      <c r="BC21" s="461"/>
      <c r="BD21" s="461"/>
      <c r="BE21" s="461"/>
      <c r="BF21" s="461"/>
      <c r="BG21" s="461"/>
      <c r="BH21" s="461"/>
      <c r="BI21" s="461"/>
      <c r="BJ21" s="461"/>
      <c r="BK21" s="461"/>
      <c r="BL21" s="461"/>
      <c r="BM21" s="461"/>
      <c r="BN21" s="461"/>
      <c r="BO21" s="461"/>
      <c r="BP21" s="461"/>
      <c r="BQ21" s="461"/>
      <c r="BR21" s="461"/>
      <c r="BS21" s="461"/>
      <c r="BT21" s="461"/>
      <c r="BU21" s="461"/>
      <c r="BV21" s="461"/>
      <c r="BW21" s="461"/>
      <c r="BX21" s="461"/>
      <c r="BY21" s="461"/>
      <c r="BZ21" s="461"/>
      <c r="CA21" s="461"/>
      <c r="CB21" s="461"/>
      <c r="CC21" s="461"/>
      <c r="CD21" s="461"/>
      <c r="CE21" s="461"/>
      <c r="CF21" s="461"/>
      <c r="CG21" s="461"/>
      <c r="CH21" s="461"/>
      <c r="CI21" s="461"/>
    </row>
    <row r="22" spans="1:87" s="461" customFormat="1" ht="25.5" customHeight="1">
      <c r="A22" s="4040" t="s">
        <v>77</v>
      </c>
      <c r="B22" s="1617" t="s">
        <v>478</v>
      </c>
      <c r="C22" s="1618" t="s">
        <v>95</v>
      </c>
      <c r="D22" s="1619"/>
      <c r="E22" s="1121"/>
      <c r="F22" s="1121"/>
      <c r="G22" s="1121"/>
      <c r="H22" s="1121"/>
      <c r="I22" s="1121"/>
      <c r="J22" s="1121"/>
      <c r="K22" s="1121"/>
      <c r="L22" s="1121"/>
      <c r="M22" s="1121"/>
      <c r="N22" s="1121"/>
      <c r="O22" s="1121"/>
      <c r="P22" s="1121"/>
      <c r="Q22" s="1121"/>
      <c r="R22" s="1121"/>
      <c r="S22" s="1620"/>
      <c r="T22" s="1620"/>
      <c r="U22" s="1620"/>
      <c r="V22" s="1620"/>
      <c r="W22" s="1620"/>
      <c r="X22" s="1122"/>
      <c r="Y22" s="4038" t="s">
        <v>462</v>
      </c>
    </row>
    <row r="23" spans="1:87" s="461" customFormat="1" ht="14.1" customHeight="1">
      <c r="A23" s="4041"/>
      <c r="B23" s="1068" t="s">
        <v>21</v>
      </c>
      <c r="C23" s="1068"/>
      <c r="D23" s="1120">
        <f t="shared" ref="D23:L23" si="20">+D24+D26</f>
        <v>1805000</v>
      </c>
      <c r="E23" s="1120">
        <f t="shared" si="20"/>
        <v>0</v>
      </c>
      <c r="F23" s="1120"/>
      <c r="G23" s="1120"/>
      <c r="H23" s="1120"/>
      <c r="I23" s="1120">
        <f t="shared" si="20"/>
        <v>0</v>
      </c>
      <c r="J23" s="1120">
        <f>+J24+J26</f>
        <v>0</v>
      </c>
      <c r="K23" s="1120">
        <f t="shared" si="20"/>
        <v>0</v>
      </c>
      <c r="L23" s="1120">
        <f t="shared" si="20"/>
        <v>0</v>
      </c>
      <c r="M23" s="1120">
        <f>+M24+M26</f>
        <v>0</v>
      </c>
      <c r="N23" s="1120">
        <f t="shared" ref="N23:X23" si="21">+N24</f>
        <v>0</v>
      </c>
      <c r="O23" s="1120">
        <f t="shared" si="21"/>
        <v>0</v>
      </c>
      <c r="P23" s="1120">
        <f t="shared" si="21"/>
        <v>0</v>
      </c>
      <c r="Q23" s="1120">
        <f t="shared" si="21"/>
        <v>355000</v>
      </c>
      <c r="R23" s="1120">
        <f t="shared" si="21"/>
        <v>1450000</v>
      </c>
      <c r="S23" s="1120">
        <f t="shared" si="21"/>
        <v>0</v>
      </c>
      <c r="T23" s="1120">
        <f t="shared" si="21"/>
        <v>0</v>
      </c>
      <c r="U23" s="1120"/>
      <c r="V23" s="1120"/>
      <c r="W23" s="1120"/>
      <c r="X23" s="1123">
        <f t="shared" si="21"/>
        <v>1805000</v>
      </c>
      <c r="Y23" s="3942"/>
    </row>
    <row r="24" spans="1:87" s="461" customFormat="1" ht="14.1" customHeight="1">
      <c r="A24" s="4041"/>
      <c r="B24" s="1124" t="s">
        <v>35</v>
      </c>
      <c r="C24" s="4045" t="s">
        <v>461</v>
      </c>
      <c r="D24" s="1055">
        <f>D25</f>
        <v>1805000</v>
      </c>
      <c r="E24" s="1055">
        <f t="shared" ref="E24:T24" si="22">E25</f>
        <v>0</v>
      </c>
      <c r="F24" s="1055"/>
      <c r="G24" s="1055"/>
      <c r="H24" s="1055"/>
      <c r="I24" s="1055">
        <f t="shared" si="22"/>
        <v>0</v>
      </c>
      <c r="J24" s="1055">
        <f t="shared" si="22"/>
        <v>0</v>
      </c>
      <c r="K24" s="1055">
        <f t="shared" si="22"/>
        <v>0</v>
      </c>
      <c r="L24" s="1055">
        <f t="shared" si="22"/>
        <v>0</v>
      </c>
      <c r="M24" s="1055">
        <f t="shared" si="22"/>
        <v>0</v>
      </c>
      <c r="N24" s="1055">
        <f t="shared" si="22"/>
        <v>0</v>
      </c>
      <c r="O24" s="1055">
        <f t="shared" si="22"/>
        <v>0</v>
      </c>
      <c r="P24" s="1055">
        <f t="shared" si="22"/>
        <v>0</v>
      </c>
      <c r="Q24" s="1055">
        <f t="shared" si="22"/>
        <v>355000</v>
      </c>
      <c r="R24" s="1055">
        <f t="shared" si="22"/>
        <v>1450000</v>
      </c>
      <c r="S24" s="1055">
        <f t="shared" si="22"/>
        <v>0</v>
      </c>
      <c r="T24" s="1055">
        <f t="shared" si="22"/>
        <v>0</v>
      </c>
      <c r="U24" s="1055"/>
      <c r="V24" s="1055"/>
      <c r="W24" s="1055"/>
      <c r="X24" s="1125">
        <f>+X25</f>
        <v>1805000</v>
      </c>
      <c r="Y24" s="3942"/>
    </row>
    <row r="25" spans="1:87" s="461" customFormat="1" ht="12.75" customHeight="1">
      <c r="A25" s="4041"/>
      <c r="B25" s="1160" t="s">
        <v>147</v>
      </c>
      <c r="C25" s="4046"/>
      <c r="D25" s="2199">
        <f>M25+P25+Q25+R25+S25+T25+U25+V25+W25</f>
        <v>1805000</v>
      </c>
      <c r="E25" s="1051">
        <f>+F25+G25+H25</f>
        <v>0</v>
      </c>
      <c r="F25" s="1051"/>
      <c r="G25" s="1051"/>
      <c r="H25" s="1051"/>
      <c r="I25" s="1051">
        <v>0</v>
      </c>
      <c r="J25" s="1051"/>
      <c r="K25" s="1051">
        <f>4500000-3800000-700000</f>
        <v>0</v>
      </c>
      <c r="L25" s="1051">
        <f>3323200-1743200+700000-2280000</f>
        <v>0</v>
      </c>
      <c r="M25" s="2200">
        <f>+E25+I25+J25+K25+L25+N25+O25</f>
        <v>0</v>
      </c>
      <c r="N25" s="1051">
        <f>0+2280000-2280000</f>
        <v>0</v>
      </c>
      <c r="O25" s="1051">
        <f>0+2280000-2280000</f>
        <v>0</v>
      </c>
      <c r="P25" s="1051">
        <v>0</v>
      </c>
      <c r="Q25" s="1051">
        <v>355000</v>
      </c>
      <c r="R25" s="1051">
        <v>1450000</v>
      </c>
      <c r="S25" s="1051">
        <v>0</v>
      </c>
      <c r="T25" s="1051">
        <v>0</v>
      </c>
      <c r="U25" s="1051"/>
      <c r="V25" s="1051"/>
      <c r="W25" s="1051"/>
      <c r="X25" s="1118">
        <f>SUM(Q25:W25)</f>
        <v>1805000</v>
      </c>
      <c r="Y25" s="3942"/>
    </row>
    <row r="26" spans="1:87" s="461" customFormat="1" ht="12.75" hidden="1" customHeight="1">
      <c r="A26" s="4041"/>
      <c r="B26" s="1127" t="s">
        <v>29</v>
      </c>
      <c r="C26" s="4046"/>
      <c r="D26" s="1128">
        <f>+D27</f>
        <v>0</v>
      </c>
      <c r="E26" s="1128">
        <f>+E27</f>
        <v>0</v>
      </c>
      <c r="F26" s="1128"/>
      <c r="G26" s="1128"/>
      <c r="H26" s="1128"/>
      <c r="I26" s="1128">
        <f>+I27</f>
        <v>0</v>
      </c>
      <c r="J26" s="1128">
        <f>+J27</f>
        <v>0</v>
      </c>
      <c r="K26" s="1128">
        <f>+K27</f>
        <v>0</v>
      </c>
      <c r="L26" s="1128">
        <f>+L27</f>
        <v>0</v>
      </c>
      <c r="M26" s="1128"/>
      <c r="N26" s="1128">
        <v>0</v>
      </c>
      <c r="O26" s="1128">
        <v>0</v>
      </c>
      <c r="P26" s="1128">
        <v>0</v>
      </c>
      <c r="Q26" s="1128"/>
      <c r="R26" s="1128"/>
      <c r="S26" s="1128"/>
      <c r="T26" s="1128"/>
      <c r="U26" s="1128"/>
      <c r="V26" s="1128"/>
      <c r="W26" s="1128"/>
      <c r="X26" s="1621" t="s">
        <v>75</v>
      </c>
      <c r="Y26" s="3942"/>
    </row>
    <row r="27" spans="1:87" s="461" customFormat="1" ht="13.5" hidden="1" customHeight="1">
      <c r="A27" s="4041"/>
      <c r="B27" s="1622" t="s">
        <v>46</v>
      </c>
      <c r="C27" s="4046"/>
      <c r="D27" s="1051">
        <f>+E27+I27+J27+K27+L27</f>
        <v>0</v>
      </c>
      <c r="E27" s="1051">
        <v>0</v>
      </c>
      <c r="F27" s="1051"/>
      <c r="G27" s="1051"/>
      <c r="H27" s="1051"/>
      <c r="I27" s="1051">
        <v>0</v>
      </c>
      <c r="J27" s="1051">
        <f>7500000-7500000</f>
        <v>0</v>
      </c>
      <c r="K27" s="1051">
        <f>13500000-13500000</f>
        <v>0</v>
      </c>
      <c r="L27" s="1051">
        <f>9969600-9969600</f>
        <v>0</v>
      </c>
      <c r="M27" s="1051"/>
      <c r="N27" s="1051">
        <v>0</v>
      </c>
      <c r="O27" s="1051">
        <v>0</v>
      </c>
      <c r="P27" s="1051">
        <v>0</v>
      </c>
      <c r="Q27" s="1051"/>
      <c r="R27" s="1051"/>
      <c r="S27" s="1051"/>
      <c r="T27" s="1051"/>
      <c r="U27" s="1051"/>
      <c r="V27" s="1051"/>
      <c r="W27" s="1051"/>
      <c r="X27" s="1148" t="s">
        <v>75</v>
      </c>
      <c r="Y27" s="3942"/>
    </row>
    <row r="28" spans="1:87" s="1130" customFormat="1" ht="12.75" customHeight="1">
      <c r="A28" s="4041"/>
      <c r="B28" s="1615" t="s">
        <v>33</v>
      </c>
      <c r="C28" s="4046"/>
      <c r="D28" s="1623">
        <f>D29</f>
        <v>55657</v>
      </c>
      <c r="E28" s="1623">
        <f t="shared" ref="E28:J28" si="23">E29</f>
        <v>0</v>
      </c>
      <c r="F28" s="1623"/>
      <c r="G28" s="1623"/>
      <c r="H28" s="1623"/>
      <c r="I28" s="1623">
        <f t="shared" si="23"/>
        <v>0</v>
      </c>
      <c r="J28" s="1623">
        <f t="shared" si="23"/>
        <v>0</v>
      </c>
      <c r="K28" s="1623">
        <f>K29</f>
        <v>0</v>
      </c>
      <c r="L28" s="1623">
        <f>L29</f>
        <v>0</v>
      </c>
      <c r="M28" s="1623"/>
      <c r="N28" s="1623">
        <f>N29</f>
        <v>0</v>
      </c>
      <c r="O28" s="1623">
        <f>O29</f>
        <v>0</v>
      </c>
      <c r="P28" s="1623">
        <f>P29</f>
        <v>0</v>
      </c>
      <c r="Q28" s="1624"/>
      <c r="R28" s="1624">
        <f>R29</f>
        <v>55657</v>
      </c>
      <c r="S28" s="1624"/>
      <c r="T28" s="1624"/>
      <c r="U28" s="1624"/>
      <c r="V28" s="1624"/>
      <c r="W28" s="1624"/>
      <c r="X28" s="4051"/>
      <c r="Y28" s="3942"/>
    </row>
    <row r="29" spans="1:87" s="461" customFormat="1" ht="12.75">
      <c r="A29" s="4041"/>
      <c r="B29" s="1138" t="s">
        <v>35</v>
      </c>
      <c r="C29" s="4046"/>
      <c r="D29" s="1055">
        <f>+D30</f>
        <v>55657</v>
      </c>
      <c r="E29" s="1055">
        <f t="shared" ref="E29:L29" si="24">+E30</f>
        <v>0</v>
      </c>
      <c r="F29" s="1055"/>
      <c r="G29" s="1055"/>
      <c r="H29" s="1055"/>
      <c r="I29" s="1055">
        <f t="shared" si="24"/>
        <v>0</v>
      </c>
      <c r="J29" s="1055">
        <f t="shared" si="24"/>
        <v>0</v>
      </c>
      <c r="K29" s="1055">
        <f t="shared" si="24"/>
        <v>0</v>
      </c>
      <c r="L29" s="1055">
        <f t="shared" si="24"/>
        <v>0</v>
      </c>
      <c r="M29" s="1055"/>
      <c r="N29" s="1055">
        <v>0</v>
      </c>
      <c r="O29" s="1055">
        <v>0</v>
      </c>
      <c r="P29" s="1055">
        <v>0</v>
      </c>
      <c r="Q29" s="1076"/>
      <c r="R29" s="1055">
        <f>R30</f>
        <v>55657</v>
      </c>
      <c r="S29" s="1076"/>
      <c r="T29" s="1076"/>
      <c r="U29" s="1076"/>
      <c r="V29" s="1076"/>
      <c r="W29" s="1076"/>
      <c r="X29" s="4052"/>
      <c r="Y29" s="3942"/>
    </row>
    <row r="30" spans="1:87" s="461" customFormat="1" ht="13.5" thickBot="1">
      <c r="A30" s="4042"/>
      <c r="B30" s="1136" t="s">
        <v>167</v>
      </c>
      <c r="C30" s="4055"/>
      <c r="D30" s="2199">
        <f>M30+P30+Q30+R30+S30+T30+U30+V30+W30</f>
        <v>55657</v>
      </c>
      <c r="E30" s="1126">
        <v>0</v>
      </c>
      <c r="F30" s="1126"/>
      <c r="G30" s="1126"/>
      <c r="H30" s="1126"/>
      <c r="I30" s="1126">
        <v>0</v>
      </c>
      <c r="J30" s="1126">
        <f>7500000-7500000</f>
        <v>0</v>
      </c>
      <c r="K30" s="1126">
        <f>13500000-13500000</f>
        <v>0</v>
      </c>
      <c r="L30" s="1126">
        <f>9969600-9969600</f>
        <v>0</v>
      </c>
      <c r="M30" s="2218">
        <f>+E30+I30+J30+K30+L30+N30+O30</f>
        <v>0</v>
      </c>
      <c r="N30" s="1126">
        <v>0</v>
      </c>
      <c r="O30" s="1126">
        <v>0</v>
      </c>
      <c r="P30" s="1126">
        <v>0</v>
      </c>
      <c r="Q30" s="1625"/>
      <c r="R30" s="1126">
        <v>55657</v>
      </c>
      <c r="S30" s="1625"/>
      <c r="T30" s="1625"/>
      <c r="U30" s="1625"/>
      <c r="V30" s="1625"/>
      <c r="W30" s="1625"/>
      <c r="X30" s="4053"/>
      <c r="Y30" s="4039"/>
    </row>
    <row r="31" spans="1:87" s="461" customFormat="1" ht="27.75" customHeight="1">
      <c r="A31" s="4040" t="s">
        <v>78</v>
      </c>
      <c r="B31" s="1131" t="s">
        <v>460</v>
      </c>
      <c r="C31" s="1132" t="s">
        <v>95</v>
      </c>
      <c r="D31" s="1050"/>
      <c r="E31" s="642"/>
      <c r="F31" s="1121"/>
      <c r="G31" s="1121"/>
      <c r="H31" s="1121"/>
      <c r="I31" s="1121"/>
      <c r="J31" s="1121"/>
      <c r="K31" s="1121"/>
      <c r="L31" s="1121"/>
      <c r="M31" s="1121"/>
      <c r="N31" s="1121"/>
      <c r="O31" s="1121"/>
      <c r="P31" s="1121"/>
      <c r="Q31" s="1121"/>
      <c r="R31" s="1121"/>
      <c r="S31" s="1121"/>
      <c r="T31" s="1121"/>
      <c r="U31" s="1121"/>
      <c r="V31" s="1121"/>
      <c r="W31" s="1121"/>
      <c r="X31" s="1122"/>
      <c r="Y31" s="4038" t="s">
        <v>193</v>
      </c>
    </row>
    <row r="32" spans="1:87" s="461" customFormat="1" ht="11.25" customHeight="1">
      <c r="A32" s="4041"/>
      <c r="B32" s="1068" t="s">
        <v>21</v>
      </c>
      <c r="C32" s="1133"/>
      <c r="D32" s="1120">
        <f>+D33+D36</f>
        <v>86880466</v>
      </c>
      <c r="E32" s="1120">
        <f t="shared" ref="E32:R32" si="25">+E33+E36</f>
        <v>0</v>
      </c>
      <c r="F32" s="1120">
        <f t="shared" si="25"/>
        <v>0</v>
      </c>
      <c r="G32" s="1120">
        <f t="shared" si="25"/>
        <v>0</v>
      </c>
      <c r="H32" s="1120">
        <f t="shared" si="25"/>
        <v>0</v>
      </c>
      <c r="I32" s="1120">
        <f>+I33+I36</f>
        <v>0</v>
      </c>
      <c r="J32" s="1120">
        <f t="shared" si="25"/>
        <v>256207</v>
      </c>
      <c r="K32" s="1120">
        <f t="shared" si="25"/>
        <v>0</v>
      </c>
      <c r="L32" s="1120">
        <f t="shared" si="25"/>
        <v>0</v>
      </c>
      <c r="M32" s="1120">
        <f>+M33+M36</f>
        <v>256207</v>
      </c>
      <c r="N32" s="1120">
        <f t="shared" si="25"/>
        <v>0</v>
      </c>
      <c r="O32" s="1120">
        <f t="shared" si="25"/>
        <v>0</v>
      </c>
      <c r="P32" s="1120">
        <f>+P33+P36</f>
        <v>97634</v>
      </c>
      <c r="Q32" s="1120">
        <f t="shared" si="25"/>
        <v>3000000</v>
      </c>
      <c r="R32" s="1120">
        <f t="shared" si="25"/>
        <v>12295000</v>
      </c>
      <c r="S32" s="1120">
        <f>+S33+S36</f>
        <v>30000000</v>
      </c>
      <c r="T32" s="1120">
        <f>+T33+T36</f>
        <v>17600000</v>
      </c>
      <c r="U32" s="1120">
        <f t="shared" ref="U32:V32" si="26">+U33+U36</f>
        <v>12066880</v>
      </c>
      <c r="V32" s="1120">
        <f t="shared" si="26"/>
        <v>11564745</v>
      </c>
      <c r="W32" s="1120"/>
      <c r="X32" s="1123">
        <f>+X33</f>
        <v>26326625</v>
      </c>
      <c r="Y32" s="3942"/>
    </row>
    <row r="33" spans="1:87" s="461" customFormat="1" ht="13.5" customHeight="1">
      <c r="A33" s="4041"/>
      <c r="B33" s="3413" t="s">
        <v>35</v>
      </c>
      <c r="C33" s="4045" t="s">
        <v>194</v>
      </c>
      <c r="D33" s="1055">
        <f>D35+D34</f>
        <v>26680466</v>
      </c>
      <c r="E33" s="1055">
        <f>E35+E34</f>
        <v>0</v>
      </c>
      <c r="F33" s="1055">
        <f t="shared" ref="F33:L33" si="27">F35+F34</f>
        <v>0</v>
      </c>
      <c r="G33" s="1055">
        <f t="shared" si="27"/>
        <v>0</v>
      </c>
      <c r="H33" s="1055">
        <f t="shared" si="27"/>
        <v>0</v>
      </c>
      <c r="I33" s="1055">
        <f t="shared" si="27"/>
        <v>0</v>
      </c>
      <c r="J33" s="1055">
        <f t="shared" si="27"/>
        <v>256207</v>
      </c>
      <c r="K33" s="1055">
        <f t="shared" si="27"/>
        <v>0</v>
      </c>
      <c r="L33" s="1055">
        <f t="shared" si="27"/>
        <v>0</v>
      </c>
      <c r="M33" s="1055">
        <f>M35+M34</f>
        <v>256207</v>
      </c>
      <c r="N33" s="1055">
        <f t="shared" ref="N33:V33" si="28">N35+N34</f>
        <v>0</v>
      </c>
      <c r="O33" s="1055">
        <f t="shared" si="28"/>
        <v>0</v>
      </c>
      <c r="P33" s="1055">
        <f t="shared" si="28"/>
        <v>97634</v>
      </c>
      <c r="Q33" s="1055">
        <f t="shared" si="28"/>
        <v>3000000</v>
      </c>
      <c r="R33" s="1055">
        <f t="shared" si="28"/>
        <v>3030000</v>
      </c>
      <c r="S33" s="1055">
        <f t="shared" si="28"/>
        <v>9600000</v>
      </c>
      <c r="T33" s="1055">
        <f t="shared" si="28"/>
        <v>5657500</v>
      </c>
      <c r="U33" s="1055">
        <f t="shared" si="28"/>
        <v>3566880</v>
      </c>
      <c r="V33" s="1055">
        <f t="shared" si="28"/>
        <v>1472245</v>
      </c>
      <c r="W33" s="1055"/>
      <c r="X33" s="1125">
        <f>+X35</f>
        <v>26326625</v>
      </c>
      <c r="Y33" s="3942"/>
    </row>
    <row r="34" spans="1:87" s="461" customFormat="1" ht="12" hidden="1" customHeight="1">
      <c r="A34" s="4041"/>
      <c r="B34" s="1077" t="s">
        <v>43</v>
      </c>
      <c r="C34" s="4046"/>
      <c r="D34" s="1051">
        <f>M34+O34+P34+Q34+R34+S34+T34+U34+V34+W34</f>
        <v>0</v>
      </c>
      <c r="E34" s="1051"/>
      <c r="F34" s="1051"/>
      <c r="G34" s="1051"/>
      <c r="H34" s="1051"/>
      <c r="I34" s="1134"/>
      <c r="J34" s="1134"/>
      <c r="K34" s="1134"/>
      <c r="L34" s="1134"/>
      <c r="M34" s="1051"/>
      <c r="N34" s="1134"/>
      <c r="O34" s="1134"/>
      <c r="P34" s="1134">
        <v>0</v>
      </c>
      <c r="Q34" s="1134">
        <v>0</v>
      </c>
      <c r="R34" s="1134">
        <v>0</v>
      </c>
      <c r="S34" s="1134">
        <v>0</v>
      </c>
      <c r="T34" s="1134">
        <v>0</v>
      </c>
      <c r="U34" s="1626"/>
      <c r="V34" s="1626"/>
      <c r="W34" s="1626"/>
      <c r="X34" s="1135" t="s">
        <v>75</v>
      </c>
      <c r="Y34" s="3942"/>
    </row>
    <row r="35" spans="1:87" s="461" customFormat="1" ht="14.25" customHeight="1">
      <c r="A35" s="4041"/>
      <c r="B35" s="1136" t="s">
        <v>147</v>
      </c>
      <c r="C35" s="4054"/>
      <c r="D35" s="2199">
        <f>M35+P35+Q35+R35+S35+T35+U35+V35+W35</f>
        <v>26680466</v>
      </c>
      <c r="E35" s="1053"/>
      <c r="F35" s="1053"/>
      <c r="G35" s="1053"/>
      <c r="H35" s="1053"/>
      <c r="I35" s="1054"/>
      <c r="J35" s="1054">
        <v>256207</v>
      </c>
      <c r="K35" s="1054"/>
      <c r="L35" s="1054"/>
      <c r="M35" s="2200">
        <f>+E35+I35+J35+K35+L35+N35+O35</f>
        <v>256207</v>
      </c>
      <c r="N35" s="1054"/>
      <c r="O35" s="1054"/>
      <c r="P35" s="1054">
        <f>2280000-2177700-4666</f>
        <v>97634</v>
      </c>
      <c r="Q35" s="1054">
        <v>3000000</v>
      </c>
      <c r="R35" s="1054">
        <v>3030000</v>
      </c>
      <c r="S35" s="1054">
        <v>9600000</v>
      </c>
      <c r="T35" s="1054">
        <v>5657500</v>
      </c>
      <c r="U35" s="1054">
        <v>3566880</v>
      </c>
      <c r="V35" s="1054">
        <f>1467579+4666</f>
        <v>1472245</v>
      </c>
      <c r="W35" s="1054"/>
      <c r="X35" s="1118">
        <f>SUM(Q35:W35)</f>
        <v>26326625</v>
      </c>
      <c r="Y35" s="3942"/>
    </row>
    <row r="36" spans="1:87" s="576" customFormat="1" ht="14.25" customHeight="1">
      <c r="A36" s="4041"/>
      <c r="B36" s="3414" t="s">
        <v>29</v>
      </c>
      <c r="C36" s="4043" t="s">
        <v>34</v>
      </c>
      <c r="D36" s="1627">
        <f>+D37</f>
        <v>60200000</v>
      </c>
      <c r="E36" s="1627">
        <f>+E37</f>
        <v>0</v>
      </c>
      <c r="F36" s="1627"/>
      <c r="G36" s="1627"/>
      <c r="H36" s="1627"/>
      <c r="I36" s="1627">
        <f t="shared" ref="I36:X36" si="29">+I37</f>
        <v>0</v>
      </c>
      <c r="J36" s="1627">
        <f t="shared" si="29"/>
        <v>0</v>
      </c>
      <c r="K36" s="1627">
        <f t="shared" si="29"/>
        <v>0</v>
      </c>
      <c r="L36" s="1627">
        <f t="shared" si="29"/>
        <v>0</v>
      </c>
      <c r="M36" s="3415">
        <f t="shared" si="29"/>
        <v>0</v>
      </c>
      <c r="N36" s="1627">
        <f t="shared" si="29"/>
        <v>0</v>
      </c>
      <c r="O36" s="1627">
        <f t="shared" si="29"/>
        <v>0</v>
      </c>
      <c r="P36" s="1627">
        <f t="shared" si="29"/>
        <v>0</v>
      </c>
      <c r="Q36" s="1627">
        <f t="shared" si="29"/>
        <v>0</v>
      </c>
      <c r="R36" s="1627">
        <f t="shared" si="29"/>
        <v>9265000</v>
      </c>
      <c r="S36" s="1627">
        <f t="shared" si="29"/>
        <v>20400000</v>
      </c>
      <c r="T36" s="1627">
        <f t="shared" si="29"/>
        <v>11942500</v>
      </c>
      <c r="U36" s="1627">
        <f t="shared" si="29"/>
        <v>8500000</v>
      </c>
      <c r="V36" s="1627">
        <f t="shared" si="29"/>
        <v>10092500</v>
      </c>
      <c r="W36" s="3415"/>
      <c r="X36" s="3416" t="str">
        <f t="shared" si="29"/>
        <v>x</v>
      </c>
      <c r="Y36" s="3942"/>
    </row>
    <row r="37" spans="1:87" s="576" customFormat="1" ht="13.5" customHeight="1">
      <c r="A37" s="4041"/>
      <c r="B37" s="1136" t="s">
        <v>46</v>
      </c>
      <c r="C37" s="4044"/>
      <c r="D37" s="2199">
        <f>M37+P37+Q37+R37+S37+T37+U37+V37+W37</f>
        <v>60200000</v>
      </c>
      <c r="E37" s="1053">
        <f>+F37+G37+H37</f>
        <v>0</v>
      </c>
      <c r="F37" s="1053"/>
      <c r="G37" s="1053"/>
      <c r="H37" s="1053"/>
      <c r="I37" s="1054">
        <f>0+227853-227853</f>
        <v>0</v>
      </c>
      <c r="J37" s="1053"/>
      <c r="K37" s="1053"/>
      <c r="L37" s="1053"/>
      <c r="M37" s="2200">
        <f>+E37+I37+J37+K37+L37+N37+O37</f>
        <v>0</v>
      </c>
      <c r="N37" s="1053"/>
      <c r="O37" s="1053"/>
      <c r="P37" s="1053">
        <v>0</v>
      </c>
      <c r="Q37" s="1053">
        <v>0</v>
      </c>
      <c r="R37" s="1053">
        <v>9265000</v>
      </c>
      <c r="S37" s="1053">
        <v>20400000</v>
      </c>
      <c r="T37" s="1053">
        <v>11942500</v>
      </c>
      <c r="U37" s="1628">
        <v>8500000</v>
      </c>
      <c r="V37" s="1628">
        <v>10092500</v>
      </c>
      <c r="W37" s="1628"/>
      <c r="X37" s="3417" t="s">
        <v>75</v>
      </c>
      <c r="Y37" s="3942"/>
    </row>
    <row r="38" spans="1:87" s="1137" customFormat="1" ht="13.5" customHeight="1">
      <c r="A38" s="4041"/>
      <c r="B38" s="1068" t="s">
        <v>33</v>
      </c>
      <c r="C38" s="3418"/>
      <c r="D38" s="1056">
        <f>D41+D39</f>
        <v>76000729</v>
      </c>
      <c r="E38" s="1056">
        <f t="shared" ref="E38:R38" si="30">E41+E39</f>
        <v>0</v>
      </c>
      <c r="F38" s="1056">
        <f t="shared" si="30"/>
        <v>0</v>
      </c>
      <c r="G38" s="1056">
        <f t="shared" si="30"/>
        <v>0</v>
      </c>
      <c r="H38" s="1056">
        <f t="shared" si="30"/>
        <v>0</v>
      </c>
      <c r="I38" s="1056">
        <f t="shared" si="30"/>
        <v>0</v>
      </c>
      <c r="J38" s="1056">
        <f t="shared" si="30"/>
        <v>0</v>
      </c>
      <c r="K38" s="1056">
        <f t="shared" si="30"/>
        <v>0</v>
      </c>
      <c r="L38" s="1056">
        <f t="shared" si="30"/>
        <v>0</v>
      </c>
      <c r="M38" s="605">
        <f>M41+M39</f>
        <v>0</v>
      </c>
      <c r="N38" s="1056">
        <f t="shared" si="30"/>
        <v>0</v>
      </c>
      <c r="O38" s="1056">
        <f t="shared" si="30"/>
        <v>0</v>
      </c>
      <c r="P38" s="1056">
        <f t="shared" si="30"/>
        <v>0</v>
      </c>
      <c r="Q38" s="1056">
        <f t="shared" si="30"/>
        <v>350000</v>
      </c>
      <c r="R38" s="1056">
        <f t="shared" si="30"/>
        <v>11065000</v>
      </c>
      <c r="S38" s="1056">
        <f>S41+S39</f>
        <v>26400000</v>
      </c>
      <c r="T38" s="1056">
        <f>T41+T39</f>
        <v>15942500</v>
      </c>
      <c r="U38" s="1056">
        <f t="shared" ref="U38:V38" si="31">U41+U39</f>
        <v>10500000</v>
      </c>
      <c r="V38" s="1056">
        <f t="shared" si="31"/>
        <v>11743229</v>
      </c>
      <c r="W38" s="1056"/>
      <c r="X38" s="4048" t="s">
        <v>75</v>
      </c>
      <c r="Y38" s="3942"/>
    </row>
    <row r="39" spans="1:87" s="1137" customFormat="1" ht="13.5" customHeight="1">
      <c r="A39" s="4041"/>
      <c r="B39" s="1138" t="s">
        <v>35</v>
      </c>
      <c r="C39" s="4045" t="s">
        <v>194</v>
      </c>
      <c r="D39" s="1629">
        <f>+D40</f>
        <v>15800729</v>
      </c>
      <c r="E39" s="1629">
        <f t="shared" ref="E39:V39" si="32">+E40</f>
        <v>0</v>
      </c>
      <c r="F39" s="1629">
        <f t="shared" si="32"/>
        <v>0</v>
      </c>
      <c r="G39" s="1629">
        <f t="shared" si="32"/>
        <v>0</v>
      </c>
      <c r="H39" s="1629">
        <f t="shared" si="32"/>
        <v>0</v>
      </c>
      <c r="I39" s="1629">
        <f t="shared" si="32"/>
        <v>0</v>
      </c>
      <c r="J39" s="1629">
        <f t="shared" si="32"/>
        <v>0</v>
      </c>
      <c r="K39" s="1629">
        <f t="shared" si="32"/>
        <v>0</v>
      </c>
      <c r="L39" s="1629">
        <f t="shared" si="32"/>
        <v>0</v>
      </c>
      <c r="M39" s="1629">
        <f t="shared" si="32"/>
        <v>0</v>
      </c>
      <c r="N39" s="1629">
        <f t="shared" si="32"/>
        <v>0</v>
      </c>
      <c r="O39" s="1629">
        <f t="shared" si="32"/>
        <v>0</v>
      </c>
      <c r="P39" s="1629">
        <f t="shared" si="32"/>
        <v>0</v>
      </c>
      <c r="Q39" s="1629">
        <f t="shared" si="32"/>
        <v>350000</v>
      </c>
      <c r="R39" s="1629">
        <f t="shared" si="32"/>
        <v>1800000</v>
      </c>
      <c r="S39" s="1629">
        <f t="shared" si="32"/>
        <v>6000000</v>
      </c>
      <c r="T39" s="1629">
        <f t="shared" si="32"/>
        <v>4000000</v>
      </c>
      <c r="U39" s="1629">
        <f t="shared" si="32"/>
        <v>2000000</v>
      </c>
      <c r="V39" s="1629">
        <f t="shared" si="32"/>
        <v>1650729</v>
      </c>
      <c r="W39" s="1629"/>
      <c r="X39" s="4049"/>
      <c r="Y39" s="3942"/>
    </row>
    <row r="40" spans="1:87" s="1137" customFormat="1" ht="13.5" customHeight="1">
      <c r="A40" s="4041"/>
      <c r="B40" s="1136" t="s">
        <v>167</v>
      </c>
      <c r="C40" s="4046"/>
      <c r="D40" s="2199">
        <f>M40+P40+Q40+R40+S40+T40+U40+V40+W40</f>
        <v>15800729</v>
      </c>
      <c r="E40" s="1054">
        <v>0</v>
      </c>
      <c r="F40" s="1054"/>
      <c r="G40" s="1054"/>
      <c r="H40" s="1054"/>
      <c r="I40" s="1054">
        <v>0</v>
      </c>
      <c r="J40" s="1054">
        <v>0</v>
      </c>
      <c r="K40" s="1054"/>
      <c r="L40" s="1054"/>
      <c r="M40" s="2200">
        <f>+E40+I40+J40+K40+L40+N40+O40</f>
        <v>0</v>
      </c>
      <c r="N40" s="1054"/>
      <c r="O40" s="1054"/>
      <c r="P40" s="1054"/>
      <c r="Q40" s="1054">
        <v>350000</v>
      </c>
      <c r="R40" s="1054">
        <v>1800000</v>
      </c>
      <c r="S40" s="1054">
        <v>6000000</v>
      </c>
      <c r="T40" s="1054">
        <v>4000000</v>
      </c>
      <c r="U40" s="1054">
        <v>2000000</v>
      </c>
      <c r="V40" s="1054">
        <v>1650729</v>
      </c>
      <c r="W40" s="1054"/>
      <c r="X40" s="4049"/>
      <c r="Y40" s="3942"/>
      <c r="AA40" s="1139">
        <v>10989251</v>
      </c>
    </row>
    <row r="41" spans="1:87" s="576" customFormat="1" ht="13.5" customHeight="1">
      <c r="A41" s="4041"/>
      <c r="B41" s="3414" t="s">
        <v>29</v>
      </c>
      <c r="C41" s="4043" t="s">
        <v>34</v>
      </c>
      <c r="D41" s="1627">
        <f>+D42</f>
        <v>60200000</v>
      </c>
      <c r="E41" s="1627">
        <f>+E42</f>
        <v>0</v>
      </c>
      <c r="F41" s="1627"/>
      <c r="G41" s="1627"/>
      <c r="H41" s="1627"/>
      <c r="I41" s="1627">
        <f t="shared" ref="I41:V41" si="33">+I42</f>
        <v>0</v>
      </c>
      <c r="J41" s="1627">
        <f t="shared" si="33"/>
        <v>0</v>
      </c>
      <c r="K41" s="1627">
        <f t="shared" si="33"/>
        <v>0</v>
      </c>
      <c r="L41" s="1627">
        <f t="shared" si="33"/>
        <v>0</v>
      </c>
      <c r="M41" s="3415">
        <f t="shared" si="33"/>
        <v>0</v>
      </c>
      <c r="N41" s="1627">
        <f t="shared" si="33"/>
        <v>0</v>
      </c>
      <c r="O41" s="1627">
        <f t="shared" si="33"/>
        <v>0</v>
      </c>
      <c r="P41" s="1627">
        <f t="shared" si="33"/>
        <v>0</v>
      </c>
      <c r="Q41" s="1627">
        <f t="shared" si="33"/>
        <v>0</v>
      </c>
      <c r="R41" s="1627">
        <f t="shared" si="33"/>
        <v>9265000</v>
      </c>
      <c r="S41" s="1627">
        <f t="shared" si="33"/>
        <v>20400000</v>
      </c>
      <c r="T41" s="1627">
        <f t="shared" si="33"/>
        <v>11942500</v>
      </c>
      <c r="U41" s="1627">
        <f t="shared" si="33"/>
        <v>8500000</v>
      </c>
      <c r="V41" s="1627">
        <f t="shared" si="33"/>
        <v>10092500</v>
      </c>
      <c r="W41" s="1627"/>
      <c r="X41" s="4049"/>
      <c r="Y41" s="3942"/>
    </row>
    <row r="42" spans="1:87" s="576" customFormat="1" ht="13.5" customHeight="1" thickBot="1">
      <c r="A42" s="4042"/>
      <c r="B42" s="1151" t="s">
        <v>46</v>
      </c>
      <c r="C42" s="4047"/>
      <c r="D42" s="2218">
        <f>M42+P42+Q42+R42+S42+T42+U42+V42+W42</f>
        <v>60200000</v>
      </c>
      <c r="E42" s="1140">
        <f>+F42+G42+H42</f>
        <v>0</v>
      </c>
      <c r="F42" s="1140"/>
      <c r="G42" s="1140"/>
      <c r="H42" s="1140"/>
      <c r="I42" s="1140">
        <v>0</v>
      </c>
      <c r="J42" s="1140">
        <f>7290734-7290734</f>
        <v>0</v>
      </c>
      <c r="K42" s="1140"/>
      <c r="L42" s="1140"/>
      <c r="M42" s="2219">
        <f>+E42+I42+J42+K42+L42+N42+O42</f>
        <v>0</v>
      </c>
      <c r="N42" s="1140"/>
      <c r="O42" s="1140"/>
      <c r="P42" s="1140"/>
      <c r="Q42" s="1140">
        <v>0</v>
      </c>
      <c r="R42" s="1140">
        <v>9265000</v>
      </c>
      <c r="S42" s="1140">
        <v>20400000</v>
      </c>
      <c r="T42" s="1140">
        <v>11942500</v>
      </c>
      <c r="U42" s="1140">
        <v>8500000</v>
      </c>
      <c r="V42" s="1140">
        <v>10092500</v>
      </c>
      <c r="W42" s="1140"/>
      <c r="X42" s="4050"/>
      <c r="Y42" s="3943"/>
    </row>
    <row r="43" spans="1:87" s="461" customFormat="1" ht="27" hidden="1" customHeight="1">
      <c r="A43" s="4040" t="s">
        <v>79</v>
      </c>
      <c r="B43" s="1131"/>
      <c r="C43" s="1132" t="s">
        <v>95</v>
      </c>
      <c r="D43" s="1141"/>
      <c r="E43" s="1142"/>
      <c r="F43" s="1141"/>
      <c r="G43" s="1141"/>
      <c r="H43" s="1141"/>
      <c r="I43" s="1142"/>
      <c r="J43" s="1141"/>
      <c r="K43" s="1141"/>
      <c r="L43" s="1142"/>
      <c r="M43" s="1142"/>
      <c r="N43" s="1142"/>
      <c r="O43" s="1142"/>
      <c r="P43" s="1142"/>
      <c r="Q43" s="1142"/>
      <c r="R43" s="1142"/>
      <c r="S43" s="1143"/>
      <c r="T43" s="1143"/>
      <c r="U43" s="1143"/>
      <c r="V43" s="1143"/>
      <c r="W43" s="1143"/>
      <c r="X43" s="1144"/>
      <c r="Y43" s="4038" t="s">
        <v>195</v>
      </c>
      <c r="CI43" s="1130"/>
    </row>
    <row r="44" spans="1:87" s="461" customFormat="1" ht="14.25" hidden="1" customHeight="1">
      <c r="A44" s="4041"/>
      <c r="B44" s="1068" t="s">
        <v>21</v>
      </c>
      <c r="C44" s="1133"/>
      <c r="D44" s="1120">
        <f>+D45+D48</f>
        <v>0</v>
      </c>
      <c r="E44" s="1120">
        <f t="shared" ref="E44:L44" si="34">+E45+E48</f>
        <v>625947</v>
      </c>
      <c r="F44" s="1120"/>
      <c r="G44" s="1120"/>
      <c r="H44" s="1120"/>
      <c r="I44" s="1120">
        <f t="shared" si="34"/>
        <v>1250000</v>
      </c>
      <c r="J44" s="1120">
        <f t="shared" si="34"/>
        <v>1806740</v>
      </c>
      <c r="K44" s="1120">
        <f t="shared" si="34"/>
        <v>4223669</v>
      </c>
      <c r="L44" s="1120">
        <f t="shared" si="34"/>
        <v>3088525</v>
      </c>
      <c r="M44" s="1120">
        <f>+M45+M48</f>
        <v>0</v>
      </c>
      <c r="N44" s="1120">
        <f t="shared" ref="N44:T44" si="35">+N45+N48</f>
        <v>0</v>
      </c>
      <c r="O44" s="1120">
        <f t="shared" si="35"/>
        <v>0</v>
      </c>
      <c r="P44" s="1120">
        <f t="shared" si="35"/>
        <v>0</v>
      </c>
      <c r="Q44" s="1120">
        <f t="shared" si="35"/>
        <v>0</v>
      </c>
      <c r="R44" s="1120">
        <f t="shared" si="35"/>
        <v>0</v>
      </c>
      <c r="S44" s="1120">
        <f t="shared" si="35"/>
        <v>0</v>
      </c>
      <c r="T44" s="1120">
        <f t="shared" si="35"/>
        <v>0</v>
      </c>
      <c r="U44" s="1120"/>
      <c r="V44" s="1120"/>
      <c r="W44" s="1120"/>
      <c r="X44" s="1123">
        <f>+X45</f>
        <v>0</v>
      </c>
      <c r="Y44" s="3942"/>
    </row>
    <row r="45" spans="1:87" s="461" customFormat="1" ht="14.25" hidden="1" customHeight="1">
      <c r="A45" s="4041"/>
      <c r="B45" s="1138" t="s">
        <v>35</v>
      </c>
      <c r="C45" s="4056" t="s">
        <v>196</v>
      </c>
      <c r="D45" s="1055">
        <f>D46+D47</f>
        <v>0</v>
      </c>
      <c r="E45" s="1055">
        <f>E46</f>
        <v>625947</v>
      </c>
      <c r="F45" s="1055"/>
      <c r="G45" s="1055"/>
      <c r="H45" s="1055"/>
      <c r="I45" s="1055">
        <f>I46</f>
        <v>1250000</v>
      </c>
      <c r="J45" s="1055">
        <f>J46</f>
        <v>1806740</v>
      </c>
      <c r="K45" s="1055">
        <f>K46</f>
        <v>2417285</v>
      </c>
      <c r="L45" s="1055">
        <f t="shared" ref="L45:R45" si="36">L46+L47</f>
        <v>1179067</v>
      </c>
      <c r="M45" s="1055">
        <f>M46+M47</f>
        <v>0</v>
      </c>
      <c r="N45" s="1055">
        <f t="shared" si="36"/>
        <v>0</v>
      </c>
      <c r="O45" s="1055">
        <f t="shared" si="36"/>
        <v>0</v>
      </c>
      <c r="P45" s="1055">
        <f t="shared" si="36"/>
        <v>0</v>
      </c>
      <c r="Q45" s="1055">
        <f t="shared" si="36"/>
        <v>0</v>
      </c>
      <c r="R45" s="1055">
        <f t="shared" si="36"/>
        <v>0</v>
      </c>
      <c r="S45" s="1055">
        <f>S46+S47</f>
        <v>0</v>
      </c>
      <c r="T45" s="1055">
        <f>T46+T47</f>
        <v>0</v>
      </c>
      <c r="U45" s="1055"/>
      <c r="V45" s="1055"/>
      <c r="W45" s="1055"/>
      <c r="X45" s="1125">
        <f>+X46</f>
        <v>0</v>
      </c>
      <c r="Y45" s="3942"/>
    </row>
    <row r="46" spans="1:87" s="461" customFormat="1" ht="14.25" hidden="1" customHeight="1">
      <c r="A46" s="4041"/>
      <c r="B46" s="1136" t="s">
        <v>147</v>
      </c>
      <c r="C46" s="4057"/>
      <c r="D46" s="1053">
        <f>M46+O46+P46+Q46+R46+S46+T46+U46+V46+W46</f>
        <v>0</v>
      </c>
      <c r="E46" s="1051">
        <f>524010+101937</f>
        <v>625947</v>
      </c>
      <c r="F46" s="1051"/>
      <c r="G46" s="1051"/>
      <c r="H46" s="1051"/>
      <c r="I46" s="1051">
        <f>1250000</f>
        <v>1250000</v>
      </c>
      <c r="J46" s="1051">
        <v>1806740</v>
      </c>
      <c r="K46" s="1051">
        <f>6626221+3165475-6867368-507043</f>
        <v>2417285</v>
      </c>
      <c r="L46" s="1051">
        <f>10000000+3190347-33690+1111636-9977427-3183343</f>
        <v>1107523</v>
      </c>
      <c r="M46" s="1051"/>
      <c r="N46" s="1051"/>
      <c r="O46" s="1051"/>
      <c r="P46" s="1051"/>
      <c r="Q46" s="1051">
        <v>0</v>
      </c>
      <c r="R46" s="1051">
        <v>0</v>
      </c>
      <c r="S46" s="1051">
        <v>0</v>
      </c>
      <c r="T46" s="1051">
        <v>0</v>
      </c>
      <c r="U46" s="1051"/>
      <c r="V46" s="1051"/>
      <c r="W46" s="1051"/>
      <c r="X46" s="1118">
        <f>SUM(P46:T46)</f>
        <v>0</v>
      </c>
      <c r="Y46" s="3942"/>
    </row>
    <row r="47" spans="1:87" s="461" customFormat="1" ht="14.25" hidden="1" customHeight="1">
      <c r="A47" s="4041"/>
      <c r="B47" s="1145" t="s">
        <v>43</v>
      </c>
      <c r="C47" s="4043" t="s">
        <v>34</v>
      </c>
      <c r="D47" s="1053">
        <f>M47+O47+P47+Q47+R47+S47+T47+U47+V47+W47</f>
        <v>0</v>
      </c>
      <c r="E47" s="805">
        <v>0</v>
      </c>
      <c r="F47" s="805"/>
      <c r="G47" s="805"/>
      <c r="H47" s="805"/>
      <c r="I47" s="805">
        <v>0</v>
      </c>
      <c r="J47" s="805">
        <v>0</v>
      </c>
      <c r="K47" s="805">
        <v>0</v>
      </c>
      <c r="L47" s="805">
        <v>71544</v>
      </c>
      <c r="M47" s="1051"/>
      <c r="N47" s="805"/>
      <c r="O47" s="805"/>
      <c r="P47" s="805"/>
      <c r="Q47" s="805"/>
      <c r="R47" s="805">
        <v>0</v>
      </c>
      <c r="S47" s="805">
        <v>0</v>
      </c>
      <c r="T47" s="805">
        <v>0</v>
      </c>
      <c r="U47" s="805"/>
      <c r="V47" s="805"/>
      <c r="W47" s="805"/>
      <c r="X47" s="1146" t="s">
        <v>75</v>
      </c>
      <c r="Y47" s="3942"/>
    </row>
    <row r="48" spans="1:87" s="461" customFormat="1" ht="14.25" hidden="1" customHeight="1">
      <c r="A48" s="4041"/>
      <c r="B48" s="1147" t="s">
        <v>29</v>
      </c>
      <c r="C48" s="4058"/>
      <c r="D48" s="1128">
        <f>+D49</f>
        <v>0</v>
      </c>
      <c r="E48" s="1128">
        <f>+E49</f>
        <v>0</v>
      </c>
      <c r="F48" s="1128"/>
      <c r="G48" s="1128"/>
      <c r="H48" s="1128"/>
      <c r="I48" s="1128">
        <f t="shared" ref="I48:X48" si="37">+I49</f>
        <v>0</v>
      </c>
      <c r="J48" s="1128">
        <f t="shared" si="37"/>
        <v>0</v>
      </c>
      <c r="K48" s="1128">
        <f t="shared" si="37"/>
        <v>1806384</v>
      </c>
      <c r="L48" s="1128">
        <f t="shared" si="37"/>
        <v>1909458</v>
      </c>
      <c r="M48" s="1128">
        <f t="shared" si="37"/>
        <v>0</v>
      </c>
      <c r="N48" s="1128">
        <f t="shared" si="37"/>
        <v>0</v>
      </c>
      <c r="O48" s="1128">
        <f t="shared" si="37"/>
        <v>0</v>
      </c>
      <c r="P48" s="1128">
        <f t="shared" si="37"/>
        <v>0</v>
      </c>
      <c r="Q48" s="1128">
        <f t="shared" si="37"/>
        <v>0</v>
      </c>
      <c r="R48" s="1128">
        <f t="shared" si="37"/>
        <v>0</v>
      </c>
      <c r="S48" s="1128">
        <f t="shared" si="37"/>
        <v>0</v>
      </c>
      <c r="T48" s="1128">
        <f t="shared" si="37"/>
        <v>0</v>
      </c>
      <c r="U48" s="1128"/>
      <c r="V48" s="1128"/>
      <c r="W48" s="1128"/>
      <c r="X48" s="1135" t="str">
        <f t="shared" si="37"/>
        <v>x</v>
      </c>
      <c r="Y48" s="3942"/>
    </row>
    <row r="49" spans="1:87" s="461" customFormat="1" ht="14.25" hidden="1" customHeight="1">
      <c r="A49" s="4041"/>
      <c r="B49" s="1145" t="s">
        <v>46</v>
      </c>
      <c r="C49" s="4044"/>
      <c r="D49" s="1053">
        <f>M49+O49+P49+Q49+R49+S49+T49+U49+V49+W49</f>
        <v>0</v>
      </c>
      <c r="E49" s="1051">
        <f>+F49+G49+H49</f>
        <v>0</v>
      </c>
      <c r="F49" s="1051"/>
      <c r="G49" s="1051"/>
      <c r="H49" s="1051"/>
      <c r="I49" s="1051">
        <v>0</v>
      </c>
      <c r="J49" s="1051">
        <v>0</v>
      </c>
      <c r="K49" s="1051">
        <f>20555625-18749241</f>
        <v>1806384</v>
      </c>
      <c r="L49" s="1051">
        <f>21180830-449123-18531707-290542</f>
        <v>1909458</v>
      </c>
      <c r="M49" s="1051"/>
      <c r="N49" s="1051"/>
      <c r="O49" s="1051"/>
      <c r="P49" s="1051"/>
      <c r="Q49" s="1051">
        <v>0</v>
      </c>
      <c r="R49" s="1051">
        <v>0</v>
      </c>
      <c r="S49" s="1051">
        <v>0</v>
      </c>
      <c r="T49" s="1051">
        <v>0</v>
      </c>
      <c r="U49" s="1051"/>
      <c r="V49" s="1051"/>
      <c r="W49" s="1051"/>
      <c r="X49" s="1148" t="s">
        <v>75</v>
      </c>
      <c r="Y49" s="3942"/>
    </row>
    <row r="50" spans="1:87" s="1130" customFormat="1" ht="14.25" hidden="1" customHeight="1">
      <c r="A50" s="4041"/>
      <c r="B50" s="1068" t="s">
        <v>33</v>
      </c>
      <c r="C50" s="1133"/>
      <c r="D50" s="1120">
        <f>D53+D51</f>
        <v>0</v>
      </c>
      <c r="E50" s="1120">
        <f t="shared" ref="E50:P50" si="38">E53+E51</f>
        <v>0</v>
      </c>
      <c r="F50" s="1120">
        <f t="shared" si="38"/>
        <v>0</v>
      </c>
      <c r="G50" s="1120">
        <f t="shared" si="38"/>
        <v>0</v>
      </c>
      <c r="H50" s="1120">
        <f t="shared" si="38"/>
        <v>0</v>
      </c>
      <c r="I50" s="1120">
        <f t="shared" si="38"/>
        <v>101937</v>
      </c>
      <c r="J50" s="1120">
        <f t="shared" si="38"/>
        <v>220330</v>
      </c>
      <c r="K50" s="1120">
        <f t="shared" si="38"/>
        <v>2712892</v>
      </c>
      <c r="L50" s="1120">
        <f t="shared" si="38"/>
        <v>2180016</v>
      </c>
      <c r="M50" s="1120">
        <f>M53+M51</f>
        <v>0</v>
      </c>
      <c r="N50" s="1120">
        <f t="shared" si="38"/>
        <v>0</v>
      </c>
      <c r="O50" s="1120">
        <f t="shared" si="38"/>
        <v>0</v>
      </c>
      <c r="P50" s="1120">
        <f t="shared" si="38"/>
        <v>0</v>
      </c>
      <c r="Q50" s="1120">
        <f>Q53+Q51</f>
        <v>0</v>
      </c>
      <c r="R50" s="1120">
        <f>R53+R51</f>
        <v>0</v>
      </c>
      <c r="S50" s="1120">
        <f>S53+S51</f>
        <v>0</v>
      </c>
      <c r="T50" s="1120">
        <f>T53+T51</f>
        <v>0</v>
      </c>
      <c r="U50" s="1120"/>
      <c r="V50" s="1120"/>
      <c r="W50" s="1120"/>
      <c r="X50" s="4059" t="s">
        <v>75</v>
      </c>
      <c r="Y50" s="3942"/>
    </row>
    <row r="51" spans="1:87" s="1130" customFormat="1" ht="14.25" hidden="1" customHeight="1">
      <c r="A51" s="4041"/>
      <c r="B51" s="1138" t="s">
        <v>35</v>
      </c>
      <c r="C51" s="4056" t="s">
        <v>196</v>
      </c>
      <c r="D51" s="1149">
        <f t="shared" ref="D51:T51" si="39">+D52</f>
        <v>0</v>
      </c>
      <c r="E51" s="1149">
        <f t="shared" si="39"/>
        <v>0</v>
      </c>
      <c r="F51" s="1149">
        <f t="shared" si="39"/>
        <v>0</v>
      </c>
      <c r="G51" s="1149">
        <f t="shared" si="39"/>
        <v>0</v>
      </c>
      <c r="H51" s="1149">
        <f t="shared" si="39"/>
        <v>0</v>
      </c>
      <c r="I51" s="1149">
        <f t="shared" si="39"/>
        <v>101937</v>
      </c>
      <c r="J51" s="1149">
        <f t="shared" si="39"/>
        <v>220330</v>
      </c>
      <c r="K51" s="1149">
        <f t="shared" si="39"/>
        <v>906508</v>
      </c>
      <c r="L51" s="1149">
        <f t="shared" si="39"/>
        <v>270558</v>
      </c>
      <c r="M51" s="1149">
        <f t="shared" si="39"/>
        <v>0</v>
      </c>
      <c r="N51" s="1149">
        <f t="shared" si="39"/>
        <v>0</v>
      </c>
      <c r="O51" s="1149">
        <f t="shared" si="39"/>
        <v>0</v>
      </c>
      <c r="P51" s="1149">
        <f t="shared" si="39"/>
        <v>0</v>
      </c>
      <c r="Q51" s="1149">
        <f t="shared" si="39"/>
        <v>0</v>
      </c>
      <c r="R51" s="1149">
        <f t="shared" si="39"/>
        <v>0</v>
      </c>
      <c r="S51" s="1149">
        <f t="shared" si="39"/>
        <v>0</v>
      </c>
      <c r="T51" s="1149">
        <f t="shared" si="39"/>
        <v>0</v>
      </c>
      <c r="U51" s="1149"/>
      <c r="V51" s="1149"/>
      <c r="W51" s="1149"/>
      <c r="X51" s="4060"/>
      <c r="Y51" s="3942"/>
    </row>
    <row r="52" spans="1:87" s="1130" customFormat="1" ht="14.25" hidden="1" customHeight="1">
      <c r="A52" s="4041"/>
      <c r="B52" s="1145" t="s">
        <v>167</v>
      </c>
      <c r="C52" s="4057"/>
      <c r="D52" s="1053">
        <f>M52+O52+P52+Q52+R52+S52+T52+U52+V52+W52</f>
        <v>0</v>
      </c>
      <c r="E52" s="1051">
        <v>0</v>
      </c>
      <c r="F52" s="1051"/>
      <c r="G52" s="1051"/>
      <c r="H52" s="1051"/>
      <c r="I52" s="1051">
        <v>101937</v>
      </c>
      <c r="J52" s="1051">
        <v>220330</v>
      </c>
      <c r="K52" s="1051">
        <f>337846+568662</f>
        <v>906508</v>
      </c>
      <c r="L52" s="1051">
        <f>5898044-2464898-3112529-50059</f>
        <v>270558</v>
      </c>
      <c r="M52" s="1051"/>
      <c r="N52" s="1051"/>
      <c r="O52" s="1051"/>
      <c r="P52" s="1051"/>
      <c r="Q52" s="1051">
        <v>0</v>
      </c>
      <c r="R52" s="1051">
        <v>0</v>
      </c>
      <c r="S52" s="1051">
        <v>0</v>
      </c>
      <c r="T52" s="1051">
        <v>0</v>
      </c>
      <c r="U52" s="1051"/>
      <c r="V52" s="1051"/>
      <c r="W52" s="1051"/>
      <c r="X52" s="4060"/>
      <c r="Y52" s="3942"/>
      <c r="AA52" s="1150">
        <v>-13525758</v>
      </c>
    </row>
    <row r="53" spans="1:87" s="461" customFormat="1" ht="14.25" hidden="1" customHeight="1">
      <c r="A53" s="4041"/>
      <c r="B53" s="1147" t="s">
        <v>29</v>
      </c>
      <c r="C53" s="4043" t="s">
        <v>34</v>
      </c>
      <c r="D53" s="1055">
        <f>+D54</f>
        <v>0</v>
      </c>
      <c r="E53" s="1055">
        <f t="shared" ref="E53:M53" si="40">+E54</f>
        <v>0</v>
      </c>
      <c r="F53" s="1055"/>
      <c r="G53" s="1055"/>
      <c r="H53" s="1055"/>
      <c r="I53" s="1055">
        <f t="shared" si="40"/>
        <v>0</v>
      </c>
      <c r="J53" s="1055">
        <f t="shared" si="40"/>
        <v>0</v>
      </c>
      <c r="K53" s="1055">
        <f t="shared" si="40"/>
        <v>1806384</v>
      </c>
      <c r="L53" s="1055">
        <f t="shared" si="40"/>
        <v>1909458</v>
      </c>
      <c r="M53" s="1055">
        <f t="shared" si="40"/>
        <v>0</v>
      </c>
      <c r="N53" s="1055">
        <f t="shared" ref="N53:T53" si="41">+N54</f>
        <v>0</v>
      </c>
      <c r="O53" s="1055">
        <f t="shared" si="41"/>
        <v>0</v>
      </c>
      <c r="P53" s="1055">
        <f t="shared" si="41"/>
        <v>0</v>
      </c>
      <c r="Q53" s="1055">
        <f t="shared" si="41"/>
        <v>0</v>
      </c>
      <c r="R53" s="1055">
        <f t="shared" si="41"/>
        <v>0</v>
      </c>
      <c r="S53" s="1055">
        <f t="shared" si="41"/>
        <v>0</v>
      </c>
      <c r="T53" s="1055">
        <f t="shared" si="41"/>
        <v>0</v>
      </c>
      <c r="U53" s="1055"/>
      <c r="V53" s="1055"/>
      <c r="W53" s="1055"/>
      <c r="X53" s="4060"/>
      <c r="Y53" s="3942"/>
    </row>
    <row r="54" spans="1:87" s="461" customFormat="1" ht="14.25" hidden="1" customHeight="1" thickBot="1">
      <c r="A54" s="4042"/>
      <c r="B54" s="1151" t="s">
        <v>46</v>
      </c>
      <c r="C54" s="4047"/>
      <c r="D54" s="1140">
        <f>M54+O54+P54+Q54+R54+S54+T54+U54+V54+W54</f>
        <v>0</v>
      </c>
      <c r="E54" s="1126">
        <f>+F54+G54+H54</f>
        <v>0</v>
      </c>
      <c r="F54" s="1126"/>
      <c r="G54" s="1126"/>
      <c r="H54" s="1126"/>
      <c r="I54" s="1126">
        <v>0</v>
      </c>
      <c r="J54" s="1126">
        <v>0</v>
      </c>
      <c r="K54" s="1126">
        <f>20555625-18749241</f>
        <v>1806384</v>
      </c>
      <c r="L54" s="1126">
        <f>21180830-449123-18531707-290542</f>
        <v>1909458</v>
      </c>
      <c r="M54" s="1126"/>
      <c r="N54" s="1126"/>
      <c r="O54" s="1126"/>
      <c r="P54" s="1126"/>
      <c r="Q54" s="1126">
        <v>0</v>
      </c>
      <c r="R54" s="1126">
        <v>0</v>
      </c>
      <c r="S54" s="1126">
        <v>0</v>
      </c>
      <c r="T54" s="1126">
        <v>0</v>
      </c>
      <c r="U54" s="1126"/>
      <c r="V54" s="1126"/>
      <c r="W54" s="1126"/>
      <c r="X54" s="4061"/>
      <c r="Y54" s="3943"/>
    </row>
    <row r="55" spans="1:87" s="461" customFormat="1" ht="39" hidden="1" customHeight="1">
      <c r="A55" s="4040" t="s">
        <v>80</v>
      </c>
      <c r="B55" s="1131"/>
      <c r="C55" s="1132" t="s">
        <v>95</v>
      </c>
      <c r="D55" s="1141"/>
      <c r="E55" s="1141"/>
      <c r="F55" s="1141"/>
      <c r="G55" s="1141"/>
      <c r="H55" s="1141"/>
      <c r="I55" s="1141"/>
      <c r="J55" s="1141"/>
      <c r="K55" s="1141"/>
      <c r="L55" s="1142"/>
      <c r="M55" s="1142"/>
      <c r="N55" s="1142"/>
      <c r="O55" s="1142"/>
      <c r="P55" s="1142"/>
      <c r="Q55" s="1142"/>
      <c r="R55" s="1142"/>
      <c r="S55" s="1143"/>
      <c r="T55" s="1143"/>
      <c r="U55" s="1143"/>
      <c r="V55" s="1143"/>
      <c r="W55" s="1143"/>
      <c r="X55" s="1152"/>
      <c r="Y55" s="4038" t="s">
        <v>197</v>
      </c>
      <c r="CI55" s="1130"/>
    </row>
    <row r="56" spans="1:87" s="461" customFormat="1" ht="13.5" hidden="1" customHeight="1">
      <c r="A56" s="4041"/>
      <c r="B56" s="1068" t="s">
        <v>21</v>
      </c>
      <c r="C56" s="1133"/>
      <c r="D56" s="1120">
        <f>+D57+D60</f>
        <v>0</v>
      </c>
      <c r="E56" s="1120">
        <f t="shared" ref="E56:L56" si="42">+E57+E60</f>
        <v>0</v>
      </c>
      <c r="F56" s="1120">
        <f t="shared" si="42"/>
        <v>0</v>
      </c>
      <c r="G56" s="1120">
        <f t="shared" si="42"/>
        <v>0</v>
      </c>
      <c r="H56" s="1120">
        <f t="shared" si="42"/>
        <v>0</v>
      </c>
      <c r="I56" s="1120">
        <f t="shared" si="42"/>
        <v>0</v>
      </c>
      <c r="J56" s="1120">
        <f t="shared" si="42"/>
        <v>0</v>
      </c>
      <c r="K56" s="1120">
        <f t="shared" si="42"/>
        <v>0</v>
      </c>
      <c r="L56" s="1120">
        <f t="shared" si="42"/>
        <v>0</v>
      </c>
      <c r="M56" s="1120">
        <f>+M57+M60</f>
        <v>0</v>
      </c>
      <c r="N56" s="1120">
        <f t="shared" ref="N56:T56" si="43">+N57+N60</f>
        <v>0</v>
      </c>
      <c r="O56" s="1120">
        <f t="shared" si="43"/>
        <v>0</v>
      </c>
      <c r="P56" s="1120">
        <f t="shared" si="43"/>
        <v>0</v>
      </c>
      <c r="Q56" s="1120">
        <f t="shared" si="43"/>
        <v>0</v>
      </c>
      <c r="R56" s="1120">
        <f t="shared" si="43"/>
        <v>0</v>
      </c>
      <c r="S56" s="1120">
        <f t="shared" si="43"/>
        <v>0</v>
      </c>
      <c r="T56" s="1120">
        <f t="shared" si="43"/>
        <v>0</v>
      </c>
      <c r="U56" s="1120"/>
      <c r="V56" s="1120"/>
      <c r="W56" s="1120"/>
      <c r="X56" s="1123">
        <f>+X57</f>
        <v>0</v>
      </c>
      <c r="Y56" s="3942"/>
    </row>
    <row r="57" spans="1:87" s="461" customFormat="1" ht="13.5" hidden="1" customHeight="1">
      <c r="A57" s="4041"/>
      <c r="B57" s="1124" t="s">
        <v>35</v>
      </c>
      <c r="C57" s="4056" t="s">
        <v>390</v>
      </c>
      <c r="D57" s="1055">
        <f>+D58+D59</f>
        <v>0</v>
      </c>
      <c r="E57" s="1055">
        <f t="shared" ref="E57:R57" si="44">+E58+E59</f>
        <v>0</v>
      </c>
      <c r="F57" s="1055">
        <f t="shared" si="44"/>
        <v>0</v>
      </c>
      <c r="G57" s="1055">
        <f t="shared" si="44"/>
        <v>0</v>
      </c>
      <c r="H57" s="1055">
        <f t="shared" si="44"/>
        <v>0</v>
      </c>
      <c r="I57" s="1055">
        <f t="shared" si="44"/>
        <v>0</v>
      </c>
      <c r="J57" s="1055">
        <f t="shared" si="44"/>
        <v>0</v>
      </c>
      <c r="K57" s="1055">
        <f t="shared" si="44"/>
        <v>0</v>
      </c>
      <c r="L57" s="1055">
        <f t="shared" si="44"/>
        <v>0</v>
      </c>
      <c r="M57" s="1055">
        <f>+M58+M59</f>
        <v>0</v>
      </c>
      <c r="N57" s="1055">
        <f t="shared" si="44"/>
        <v>0</v>
      </c>
      <c r="O57" s="1055">
        <f t="shared" si="44"/>
        <v>0</v>
      </c>
      <c r="P57" s="1055">
        <f t="shared" si="44"/>
        <v>0</v>
      </c>
      <c r="Q57" s="1055">
        <f t="shared" si="44"/>
        <v>0</v>
      </c>
      <c r="R57" s="1055">
        <f t="shared" si="44"/>
        <v>0</v>
      </c>
      <c r="S57" s="1055">
        <f>+S58+S59</f>
        <v>0</v>
      </c>
      <c r="T57" s="1055">
        <f>+T58+T59</f>
        <v>0</v>
      </c>
      <c r="U57" s="1055"/>
      <c r="V57" s="1055"/>
      <c r="W57" s="1055"/>
      <c r="X57" s="1153">
        <f>+X58</f>
        <v>0</v>
      </c>
      <c r="Y57" s="3942"/>
    </row>
    <row r="58" spans="1:87" s="461" customFormat="1" ht="13.5" hidden="1" customHeight="1">
      <c r="A58" s="4041"/>
      <c r="B58" s="1154" t="s">
        <v>147</v>
      </c>
      <c r="C58" s="4057"/>
      <c r="D58" s="1053">
        <f>M58+O58+P58+Q58+R58+S58+T58+U58+V58+W58</f>
        <v>0</v>
      </c>
      <c r="E58" s="1051">
        <v>0</v>
      </c>
      <c r="F58" s="1051"/>
      <c r="G58" s="1051"/>
      <c r="H58" s="1051"/>
      <c r="I58" s="1051">
        <v>0</v>
      </c>
      <c r="J58" s="1051"/>
      <c r="K58" s="1051"/>
      <c r="L58" s="1051"/>
      <c r="M58" s="1051"/>
      <c r="N58" s="1051"/>
      <c r="O58" s="1051"/>
      <c r="P58" s="1051"/>
      <c r="Q58" s="1051">
        <v>0</v>
      </c>
      <c r="R58" s="1051">
        <v>0</v>
      </c>
      <c r="S58" s="1051">
        <v>0</v>
      </c>
      <c r="T58" s="1051">
        <v>0</v>
      </c>
      <c r="U58" s="1051"/>
      <c r="V58" s="1051"/>
      <c r="W58" s="1051"/>
      <c r="X58" s="1118">
        <f>SUM(P58:T58)</f>
        <v>0</v>
      </c>
      <c r="Y58" s="3942"/>
    </row>
    <row r="59" spans="1:87" s="461" customFormat="1" ht="13.5" hidden="1" customHeight="1">
      <c r="A59" s="4041"/>
      <c r="B59" s="1077" t="s">
        <v>43</v>
      </c>
      <c r="C59" s="3218"/>
      <c r="D59" s="1053">
        <f>M59+O59+P59+Q59+R59+S59+T59+U59+V59+W59</f>
        <v>0</v>
      </c>
      <c r="E59" s="1051">
        <v>0</v>
      </c>
      <c r="F59" s="1051"/>
      <c r="G59" s="1051"/>
      <c r="H59" s="1051"/>
      <c r="I59" s="1051">
        <v>0</v>
      </c>
      <c r="J59" s="1051"/>
      <c r="K59" s="1051"/>
      <c r="L59" s="1051"/>
      <c r="M59" s="1051"/>
      <c r="N59" s="1051"/>
      <c r="O59" s="1051"/>
      <c r="P59" s="1051"/>
      <c r="Q59" s="1051"/>
      <c r="R59" s="1051"/>
      <c r="S59" s="1051"/>
      <c r="T59" s="1051"/>
      <c r="U59" s="1051"/>
      <c r="V59" s="1051"/>
      <c r="W59" s="1051"/>
      <c r="X59" s="1119" t="s">
        <v>75</v>
      </c>
      <c r="Y59" s="3942"/>
    </row>
    <row r="60" spans="1:87" s="461" customFormat="1" ht="13.5" hidden="1" customHeight="1">
      <c r="A60" s="4041"/>
      <c r="B60" s="1127" t="s">
        <v>29</v>
      </c>
      <c r="C60" s="4043" t="s">
        <v>34</v>
      </c>
      <c r="D60" s="1149">
        <f>+D61</f>
        <v>0</v>
      </c>
      <c r="E60" s="1149">
        <f t="shared" ref="E60:X60" si="45">+E61</f>
        <v>0</v>
      </c>
      <c r="F60" s="1149">
        <f t="shared" si="45"/>
        <v>0</v>
      </c>
      <c r="G60" s="1149">
        <f t="shared" si="45"/>
        <v>0</v>
      </c>
      <c r="H60" s="1149">
        <f t="shared" si="45"/>
        <v>0</v>
      </c>
      <c r="I60" s="1149">
        <f t="shared" si="45"/>
        <v>0</v>
      </c>
      <c r="J60" s="1149">
        <f t="shared" si="45"/>
        <v>0</v>
      </c>
      <c r="K60" s="1149">
        <f t="shared" si="45"/>
        <v>0</v>
      </c>
      <c r="L60" s="1149">
        <f t="shared" si="45"/>
        <v>0</v>
      </c>
      <c r="M60" s="1149">
        <f t="shared" si="45"/>
        <v>0</v>
      </c>
      <c r="N60" s="1149">
        <f t="shared" si="45"/>
        <v>0</v>
      </c>
      <c r="O60" s="1149">
        <f t="shared" si="45"/>
        <v>0</v>
      </c>
      <c r="P60" s="1149">
        <f t="shared" si="45"/>
        <v>0</v>
      </c>
      <c r="Q60" s="1149">
        <f t="shared" si="45"/>
        <v>0</v>
      </c>
      <c r="R60" s="1149">
        <f t="shared" si="45"/>
        <v>0</v>
      </c>
      <c r="S60" s="1149">
        <f t="shared" si="45"/>
        <v>0</v>
      </c>
      <c r="T60" s="1149">
        <f t="shared" si="45"/>
        <v>0</v>
      </c>
      <c r="U60" s="1155"/>
      <c r="V60" s="1155"/>
      <c r="W60" s="1155"/>
      <c r="X60" s="1135" t="str">
        <f t="shared" si="45"/>
        <v>x</v>
      </c>
      <c r="Y60" s="3942"/>
    </row>
    <row r="61" spans="1:87" s="461" customFormat="1" ht="13.5" hidden="1" customHeight="1">
      <c r="A61" s="4041"/>
      <c r="B61" s="1156" t="s">
        <v>46</v>
      </c>
      <c r="C61" s="4044"/>
      <c r="D61" s="1053">
        <f>M61+O61+P61+Q61+R61+S61+T61+U61+V61+W61</f>
        <v>0</v>
      </c>
      <c r="E61" s="1051">
        <v>0</v>
      </c>
      <c r="F61" s="1051"/>
      <c r="G61" s="1051"/>
      <c r="H61" s="1051"/>
      <c r="I61" s="1051">
        <v>0</v>
      </c>
      <c r="J61" s="1051">
        <v>0</v>
      </c>
      <c r="K61" s="1051">
        <v>0</v>
      </c>
      <c r="L61" s="1051">
        <v>0</v>
      </c>
      <c r="M61" s="1051"/>
      <c r="N61" s="1051"/>
      <c r="O61" s="1051"/>
      <c r="P61" s="1051">
        <v>0</v>
      </c>
      <c r="Q61" s="1051">
        <v>0</v>
      </c>
      <c r="R61" s="1051">
        <v>0</v>
      </c>
      <c r="S61" s="1051">
        <v>0</v>
      </c>
      <c r="T61" s="1051">
        <v>0</v>
      </c>
      <c r="U61" s="1051"/>
      <c r="V61" s="1051"/>
      <c r="W61" s="1051"/>
      <c r="X61" s="1148" t="s">
        <v>75</v>
      </c>
      <c r="Y61" s="3942"/>
    </row>
    <row r="62" spans="1:87" s="461" customFormat="1" ht="13.5" hidden="1" customHeight="1">
      <c r="A62" s="4041"/>
      <c r="B62" s="1068" t="s">
        <v>33</v>
      </c>
      <c r="C62" s="1157"/>
      <c r="D62" s="1120">
        <f>+D63+D65</f>
        <v>0</v>
      </c>
      <c r="E62" s="1120">
        <f t="shared" ref="E62:R62" si="46">+E63+E65</f>
        <v>0</v>
      </c>
      <c r="F62" s="1120">
        <f t="shared" si="46"/>
        <v>0</v>
      </c>
      <c r="G62" s="1120">
        <f t="shared" si="46"/>
        <v>0</v>
      </c>
      <c r="H62" s="1120">
        <f t="shared" si="46"/>
        <v>0</v>
      </c>
      <c r="I62" s="1120">
        <f t="shared" si="46"/>
        <v>0</v>
      </c>
      <c r="J62" s="1120">
        <f t="shared" si="46"/>
        <v>0</v>
      </c>
      <c r="K62" s="1120">
        <f t="shared" si="46"/>
        <v>0</v>
      </c>
      <c r="L62" s="1120">
        <f t="shared" si="46"/>
        <v>0</v>
      </c>
      <c r="M62" s="1120">
        <f>+M63+M65</f>
        <v>0</v>
      </c>
      <c r="N62" s="1120">
        <f>+N63+N65</f>
        <v>0</v>
      </c>
      <c r="O62" s="1120">
        <f t="shared" si="46"/>
        <v>0</v>
      </c>
      <c r="P62" s="1120">
        <f t="shared" si="46"/>
        <v>0</v>
      </c>
      <c r="Q62" s="1120">
        <f t="shared" si="46"/>
        <v>0</v>
      </c>
      <c r="R62" s="1120">
        <f t="shared" si="46"/>
        <v>0</v>
      </c>
      <c r="S62" s="1120">
        <f>+S63+S65</f>
        <v>0</v>
      </c>
      <c r="T62" s="1120">
        <f>+T63+T65</f>
        <v>0</v>
      </c>
      <c r="U62" s="1120"/>
      <c r="V62" s="1120"/>
      <c r="W62" s="1120"/>
      <c r="X62" s="3913" t="s">
        <v>75</v>
      </c>
      <c r="Y62" s="3942"/>
    </row>
    <row r="63" spans="1:87" s="461" customFormat="1" ht="13.5" hidden="1" customHeight="1">
      <c r="A63" s="4041"/>
      <c r="B63" s="1124" t="s">
        <v>35</v>
      </c>
      <c r="C63" s="4056" t="s">
        <v>390</v>
      </c>
      <c r="D63" s="1149">
        <f>+D64</f>
        <v>0</v>
      </c>
      <c r="E63" s="1055">
        <v>0</v>
      </c>
      <c r="F63" s="1055"/>
      <c r="G63" s="1055"/>
      <c r="H63" s="1055"/>
      <c r="I63" s="1055">
        <v>0</v>
      </c>
      <c r="J63" s="1055">
        <f>J64</f>
        <v>0</v>
      </c>
      <c r="K63" s="1055">
        <f>K64</f>
        <v>0</v>
      </c>
      <c r="L63" s="1055">
        <f>L64</f>
        <v>0</v>
      </c>
      <c r="M63" s="1055">
        <f>M64</f>
        <v>0</v>
      </c>
      <c r="N63" s="1055">
        <f t="shared" ref="N63:T63" si="47">+N64</f>
        <v>0</v>
      </c>
      <c r="O63" s="1055">
        <f t="shared" si="47"/>
        <v>0</v>
      </c>
      <c r="P63" s="1055">
        <f t="shared" si="47"/>
        <v>0</v>
      </c>
      <c r="Q63" s="1055">
        <f t="shared" si="47"/>
        <v>0</v>
      </c>
      <c r="R63" s="1055">
        <f t="shared" si="47"/>
        <v>0</v>
      </c>
      <c r="S63" s="1055">
        <f t="shared" si="47"/>
        <v>0</v>
      </c>
      <c r="T63" s="1055">
        <f t="shared" si="47"/>
        <v>0</v>
      </c>
      <c r="U63" s="1055"/>
      <c r="V63" s="1055"/>
      <c r="W63" s="1055"/>
      <c r="X63" s="3914"/>
      <c r="Y63" s="3942"/>
    </row>
    <row r="64" spans="1:87" s="461" customFormat="1" ht="13.5" hidden="1" customHeight="1">
      <c r="A64" s="4041"/>
      <c r="B64" s="1156" t="s">
        <v>167</v>
      </c>
      <c r="C64" s="4057"/>
      <c r="D64" s="1053">
        <f>M64+O64+P64+Q64+R64+S64+T64+U64+V64+W64</f>
        <v>0</v>
      </c>
      <c r="E64" s="1051">
        <v>0</v>
      </c>
      <c r="F64" s="1051"/>
      <c r="G64" s="1051"/>
      <c r="H64" s="1051"/>
      <c r="I64" s="1051">
        <v>0</v>
      </c>
      <c r="J64" s="1051">
        <v>0</v>
      </c>
      <c r="K64" s="1051"/>
      <c r="L64" s="1051"/>
      <c r="M64" s="1051"/>
      <c r="N64" s="1051"/>
      <c r="O64" s="1051"/>
      <c r="P64" s="1051"/>
      <c r="Q64" s="1051">
        <v>0</v>
      </c>
      <c r="R64" s="1051">
        <v>0</v>
      </c>
      <c r="S64" s="1051">
        <v>0</v>
      </c>
      <c r="T64" s="1051">
        <v>0</v>
      </c>
      <c r="U64" s="1051"/>
      <c r="V64" s="1051"/>
      <c r="W64" s="1051"/>
      <c r="X64" s="3914"/>
      <c r="Y64" s="3942"/>
    </row>
    <row r="65" spans="1:27" s="461" customFormat="1" ht="13.5" hidden="1" customHeight="1">
      <c r="A65" s="4041"/>
      <c r="B65" s="1158" t="s">
        <v>29</v>
      </c>
      <c r="C65" s="4043" t="s">
        <v>34</v>
      </c>
      <c r="D65" s="1149">
        <f>+D66</f>
        <v>0</v>
      </c>
      <c r="E65" s="1149">
        <f>+E66</f>
        <v>0</v>
      </c>
      <c r="F65" s="1149">
        <f t="shared" ref="F65:T65" si="48">+F66</f>
        <v>0</v>
      </c>
      <c r="G65" s="1149">
        <f t="shared" si="48"/>
        <v>0</v>
      </c>
      <c r="H65" s="1149">
        <f t="shared" si="48"/>
        <v>0</v>
      </c>
      <c r="I65" s="1149">
        <f t="shared" si="48"/>
        <v>0</v>
      </c>
      <c r="J65" s="1149">
        <f t="shared" si="48"/>
        <v>0</v>
      </c>
      <c r="K65" s="1149">
        <f t="shared" si="48"/>
        <v>0</v>
      </c>
      <c r="L65" s="1149">
        <f t="shared" si="48"/>
        <v>0</v>
      </c>
      <c r="M65" s="1149">
        <f t="shared" si="48"/>
        <v>0</v>
      </c>
      <c r="N65" s="1149">
        <f t="shared" si="48"/>
        <v>0</v>
      </c>
      <c r="O65" s="1149">
        <f t="shared" si="48"/>
        <v>0</v>
      </c>
      <c r="P65" s="1149">
        <f t="shared" si="48"/>
        <v>0</v>
      </c>
      <c r="Q65" s="1149">
        <f t="shared" si="48"/>
        <v>0</v>
      </c>
      <c r="R65" s="1149">
        <f t="shared" si="48"/>
        <v>0</v>
      </c>
      <c r="S65" s="1149">
        <f t="shared" si="48"/>
        <v>0</v>
      </c>
      <c r="T65" s="1149">
        <f t="shared" si="48"/>
        <v>0</v>
      </c>
      <c r="U65" s="1149"/>
      <c r="V65" s="1149"/>
      <c r="W65" s="1149"/>
      <c r="X65" s="3914"/>
      <c r="Y65" s="3942"/>
    </row>
    <row r="66" spans="1:27" s="461" customFormat="1" ht="13.5" hidden="1" customHeight="1" thickBot="1">
      <c r="A66" s="4042"/>
      <c r="B66" s="1159" t="s">
        <v>46</v>
      </c>
      <c r="C66" s="4044"/>
      <c r="D66" s="1053">
        <f>M66+O66+P66+Q66+R66+S66+T66+U66+V66+W66</f>
        <v>0</v>
      </c>
      <c r="E66" s="644">
        <v>0</v>
      </c>
      <c r="F66" s="644"/>
      <c r="G66" s="644"/>
      <c r="H66" s="644"/>
      <c r="I66" s="644">
        <v>0</v>
      </c>
      <c r="J66" s="644">
        <v>0</v>
      </c>
      <c r="K66" s="644">
        <v>0</v>
      </c>
      <c r="L66" s="644">
        <v>0</v>
      </c>
      <c r="M66" s="1051"/>
      <c r="N66" s="644"/>
      <c r="O66" s="644"/>
      <c r="P66" s="644"/>
      <c r="Q66" s="644">
        <v>0</v>
      </c>
      <c r="R66" s="644">
        <v>0</v>
      </c>
      <c r="S66" s="644">
        <v>0</v>
      </c>
      <c r="T66" s="644">
        <v>0</v>
      </c>
      <c r="U66" s="644"/>
      <c r="V66" s="644"/>
      <c r="W66" s="644"/>
      <c r="X66" s="3915"/>
      <c r="Y66" s="3943"/>
    </row>
    <row r="67" spans="1:27" s="461" customFormat="1" ht="27.75" hidden="1" customHeight="1">
      <c r="A67" s="4040" t="s">
        <v>80</v>
      </c>
      <c r="B67" s="1131"/>
      <c r="C67" s="1132" t="s">
        <v>95</v>
      </c>
      <c r="D67" s="1141"/>
      <c r="E67" s="1141"/>
      <c r="F67" s="1141"/>
      <c r="G67" s="1141"/>
      <c r="H67" s="1141"/>
      <c r="I67" s="1141"/>
      <c r="J67" s="1141"/>
      <c r="K67" s="1141"/>
      <c r="L67" s="1142"/>
      <c r="M67" s="1142"/>
      <c r="N67" s="1142"/>
      <c r="O67" s="1142"/>
      <c r="P67" s="1142"/>
      <c r="Q67" s="1142"/>
      <c r="R67" s="1142"/>
      <c r="S67" s="1143"/>
      <c r="T67" s="1143"/>
      <c r="U67" s="1143"/>
      <c r="V67" s="1143"/>
      <c r="W67" s="1143"/>
      <c r="X67" s="1152"/>
      <c r="Y67" s="4038" t="s">
        <v>193</v>
      </c>
    </row>
    <row r="68" spans="1:27" s="461" customFormat="1" ht="13.5" hidden="1" customHeight="1">
      <c r="A68" s="4041"/>
      <c r="B68" s="1068" t="s">
        <v>21</v>
      </c>
      <c r="C68" s="1157"/>
      <c r="D68" s="1120">
        <f>+D69+D72</f>
        <v>0</v>
      </c>
      <c r="E68" s="1120">
        <f>+E69+E72</f>
        <v>0</v>
      </c>
      <c r="F68" s="1120"/>
      <c r="G68" s="1120"/>
      <c r="H68" s="1120"/>
      <c r="I68" s="1120">
        <f t="shared" ref="I68:O68" si="49">+I69+I72</f>
        <v>0</v>
      </c>
      <c r="J68" s="1120">
        <f t="shared" si="49"/>
        <v>0</v>
      </c>
      <c r="K68" s="1120">
        <f t="shared" si="49"/>
        <v>0</v>
      </c>
      <c r="L68" s="1120">
        <f t="shared" si="49"/>
        <v>0</v>
      </c>
      <c r="M68" s="1120">
        <f>+M69+M72</f>
        <v>0</v>
      </c>
      <c r="N68" s="1120">
        <f t="shared" si="49"/>
        <v>0</v>
      </c>
      <c r="O68" s="1120">
        <f t="shared" si="49"/>
        <v>0</v>
      </c>
      <c r="P68" s="1120">
        <f>+P69+P72</f>
        <v>0</v>
      </c>
      <c r="Q68" s="1120">
        <f>+Q69+Q72</f>
        <v>0</v>
      </c>
      <c r="R68" s="1120">
        <f>+R69+R72</f>
        <v>0</v>
      </c>
      <c r="S68" s="1120">
        <f>+S69+S72</f>
        <v>0</v>
      </c>
      <c r="T68" s="1120">
        <f>+T69+T72</f>
        <v>0</v>
      </c>
      <c r="U68" s="1120"/>
      <c r="V68" s="1120"/>
      <c r="W68" s="1120"/>
      <c r="X68" s="1123">
        <f>+X69</f>
        <v>0</v>
      </c>
      <c r="Y68" s="3942"/>
      <c r="AA68" s="228"/>
    </row>
    <row r="69" spans="1:27" s="461" customFormat="1" ht="13.5" hidden="1" customHeight="1">
      <c r="A69" s="4041"/>
      <c r="B69" s="1124" t="s">
        <v>35</v>
      </c>
      <c r="C69" s="4043" t="s">
        <v>34</v>
      </c>
      <c r="D69" s="1055">
        <f>D71+D70</f>
        <v>0</v>
      </c>
      <c r="E69" s="1055">
        <f>E71+E70</f>
        <v>0</v>
      </c>
      <c r="F69" s="1055">
        <f t="shared" ref="F69:O69" si="50">F71+F70</f>
        <v>0</v>
      </c>
      <c r="G69" s="1055">
        <f t="shared" si="50"/>
        <v>0</v>
      </c>
      <c r="H69" s="1055">
        <f t="shared" si="50"/>
        <v>0</v>
      </c>
      <c r="I69" s="1055">
        <f>I71+I70</f>
        <v>0</v>
      </c>
      <c r="J69" s="1055">
        <f t="shared" si="50"/>
        <v>0</v>
      </c>
      <c r="K69" s="1055">
        <f t="shared" si="50"/>
        <v>0</v>
      </c>
      <c r="L69" s="1055">
        <f t="shared" si="50"/>
        <v>0</v>
      </c>
      <c r="M69" s="1055">
        <f>M71+M70</f>
        <v>0</v>
      </c>
      <c r="N69" s="1055">
        <f t="shared" si="50"/>
        <v>0</v>
      </c>
      <c r="O69" s="1055">
        <f t="shared" si="50"/>
        <v>0</v>
      </c>
      <c r="P69" s="1055">
        <f>P71+P70</f>
        <v>0</v>
      </c>
      <c r="Q69" s="1055">
        <f>Q71+Q70</f>
        <v>0</v>
      </c>
      <c r="R69" s="1055">
        <f>R71+R70</f>
        <v>0</v>
      </c>
      <c r="S69" s="1055">
        <f>S71+S70</f>
        <v>0</v>
      </c>
      <c r="T69" s="1055">
        <f>T71+T70</f>
        <v>0</v>
      </c>
      <c r="U69" s="1055"/>
      <c r="V69" s="1055"/>
      <c r="W69" s="1055"/>
      <c r="X69" s="1125">
        <f>+X71</f>
        <v>0</v>
      </c>
      <c r="Y69" s="3942"/>
    </row>
    <row r="70" spans="1:27" s="461" customFormat="1" ht="13.5" hidden="1" customHeight="1">
      <c r="A70" s="4041"/>
      <c r="B70" s="1154" t="s">
        <v>43</v>
      </c>
      <c r="C70" s="4044"/>
      <c r="D70" s="1053">
        <f>M70+O70+P70+Q70+R70+S70+T70+U70+V70+W70</f>
        <v>0</v>
      </c>
      <c r="E70" s="1134">
        <v>0</v>
      </c>
      <c r="F70" s="1134"/>
      <c r="G70" s="1134"/>
      <c r="H70" s="1134"/>
      <c r="I70" s="1134">
        <v>0</v>
      </c>
      <c r="J70" s="1134">
        <v>0</v>
      </c>
      <c r="K70" s="1134">
        <v>0</v>
      </c>
      <c r="L70" s="1134">
        <f>49200-49200</f>
        <v>0</v>
      </c>
      <c r="M70" s="1051"/>
      <c r="N70" s="1134"/>
      <c r="O70" s="1134"/>
      <c r="P70" s="1134">
        <v>0</v>
      </c>
      <c r="Q70" s="1134">
        <v>0</v>
      </c>
      <c r="R70" s="1134">
        <v>0</v>
      </c>
      <c r="S70" s="1134">
        <v>0</v>
      </c>
      <c r="T70" s="1134">
        <v>0</v>
      </c>
      <c r="U70" s="1134"/>
      <c r="V70" s="1134"/>
      <c r="W70" s="1134"/>
      <c r="X70" s="1148" t="s">
        <v>75</v>
      </c>
      <c r="Y70" s="3942"/>
    </row>
    <row r="71" spans="1:27" s="461" customFormat="1" ht="22.5" hidden="1" customHeight="1">
      <c r="A71" s="4041"/>
      <c r="B71" s="1160" t="s">
        <v>147</v>
      </c>
      <c r="C71" s="1161" t="s">
        <v>194</v>
      </c>
      <c r="D71" s="1053">
        <f>M71+O71+P71+Q71+R71+S71+T71+U71+V71+W71</f>
        <v>0</v>
      </c>
      <c r="E71" s="1134">
        <v>0</v>
      </c>
      <c r="F71" s="1134"/>
      <c r="G71" s="1134"/>
      <c r="H71" s="1134"/>
      <c r="I71" s="1134">
        <v>0</v>
      </c>
      <c r="J71" s="1134">
        <v>0</v>
      </c>
      <c r="K71" s="1134">
        <v>0</v>
      </c>
      <c r="L71" s="1134">
        <v>0</v>
      </c>
      <c r="M71" s="1053">
        <f>+E71+I71+J71+K71+L71+N71</f>
        <v>0</v>
      </c>
      <c r="N71" s="1162">
        <f>1600026-1600026</f>
        <v>0</v>
      </c>
      <c r="O71" s="1054"/>
      <c r="P71" s="1054">
        <v>0</v>
      </c>
      <c r="Q71" s="1054">
        <v>0</v>
      </c>
      <c r="R71" s="1054">
        <v>0</v>
      </c>
      <c r="S71" s="1054">
        <v>0</v>
      </c>
      <c r="T71" s="1054">
        <v>0</v>
      </c>
      <c r="U71" s="1054"/>
      <c r="V71" s="1054"/>
      <c r="W71" s="1054"/>
      <c r="X71" s="1078">
        <f>SUM(P71:T71)</f>
        <v>0</v>
      </c>
      <c r="Y71" s="3942"/>
    </row>
    <row r="72" spans="1:27" s="461" customFormat="1" ht="13.5" hidden="1" customHeight="1">
      <c r="A72" s="4041"/>
      <c r="B72" s="1163" t="s">
        <v>29</v>
      </c>
      <c r="C72" s="4043" t="s">
        <v>34</v>
      </c>
      <c r="D72" s="1055">
        <f>+D73</f>
        <v>0</v>
      </c>
      <c r="E72" s="1055">
        <f>+E73</f>
        <v>0</v>
      </c>
      <c r="F72" s="1055"/>
      <c r="G72" s="1055"/>
      <c r="H72" s="1055"/>
      <c r="I72" s="1055">
        <f t="shared" ref="I72:X72" si="51">+I73</f>
        <v>0</v>
      </c>
      <c r="J72" s="1055">
        <f t="shared" si="51"/>
        <v>0</v>
      </c>
      <c r="K72" s="1055">
        <f t="shared" si="51"/>
        <v>0</v>
      </c>
      <c r="L72" s="1055">
        <f t="shared" si="51"/>
        <v>0</v>
      </c>
      <c r="M72" s="1055">
        <f t="shared" si="51"/>
        <v>0</v>
      </c>
      <c r="N72" s="1055">
        <f t="shared" si="51"/>
        <v>0</v>
      </c>
      <c r="O72" s="1055">
        <f t="shared" si="51"/>
        <v>0</v>
      </c>
      <c r="P72" s="1055">
        <f t="shared" si="51"/>
        <v>0</v>
      </c>
      <c r="Q72" s="1055">
        <f t="shared" si="51"/>
        <v>0</v>
      </c>
      <c r="R72" s="1055">
        <f t="shared" si="51"/>
        <v>0</v>
      </c>
      <c r="S72" s="1055">
        <f t="shared" si="51"/>
        <v>0</v>
      </c>
      <c r="T72" s="1055">
        <f t="shared" si="51"/>
        <v>0</v>
      </c>
      <c r="U72" s="1128"/>
      <c r="V72" s="1128"/>
      <c r="W72" s="1128"/>
      <c r="X72" s="1135" t="str">
        <f t="shared" si="51"/>
        <v>x</v>
      </c>
      <c r="Y72" s="3942"/>
    </row>
    <row r="73" spans="1:27" s="461" customFormat="1" ht="12" hidden="1">
      <c r="A73" s="4041"/>
      <c r="B73" s="1154" t="s">
        <v>46</v>
      </c>
      <c r="C73" s="4044"/>
      <c r="D73" s="1053">
        <f>M73+O73+P73+Q73+R73+S73+T73+U73+V73+W73</f>
        <v>0</v>
      </c>
      <c r="E73" s="1134">
        <v>0</v>
      </c>
      <c r="F73" s="1134"/>
      <c r="G73" s="1134"/>
      <c r="H73" s="1134"/>
      <c r="I73" s="1134">
        <v>0</v>
      </c>
      <c r="J73" s="1134">
        <v>0</v>
      </c>
      <c r="K73" s="1134">
        <v>0</v>
      </c>
      <c r="L73" s="1134">
        <v>0</v>
      </c>
      <c r="M73" s="1051"/>
      <c r="N73" s="1134"/>
      <c r="O73" s="1134"/>
      <c r="P73" s="1134">
        <v>0</v>
      </c>
      <c r="Q73" s="1134">
        <v>0</v>
      </c>
      <c r="R73" s="1134">
        <v>0</v>
      </c>
      <c r="S73" s="1134">
        <v>0</v>
      </c>
      <c r="T73" s="1134">
        <v>0</v>
      </c>
      <c r="U73" s="1134"/>
      <c r="V73" s="1134"/>
      <c r="W73" s="1134"/>
      <c r="X73" s="1148" t="s">
        <v>75</v>
      </c>
      <c r="Y73" s="3942"/>
    </row>
    <row r="74" spans="1:27" s="461" customFormat="1" ht="13.5" hidden="1" customHeight="1">
      <c r="A74" s="4041"/>
      <c r="B74" s="1068" t="s">
        <v>33</v>
      </c>
      <c r="C74" s="1157"/>
      <c r="D74" s="1120">
        <f>D77+D75</f>
        <v>0</v>
      </c>
      <c r="E74" s="1120">
        <f t="shared" ref="E74:P74" si="52">E77+E75</f>
        <v>0</v>
      </c>
      <c r="F74" s="1120">
        <f t="shared" si="52"/>
        <v>0</v>
      </c>
      <c r="G74" s="1120">
        <f t="shared" si="52"/>
        <v>0</v>
      </c>
      <c r="H74" s="1120">
        <f t="shared" si="52"/>
        <v>0</v>
      </c>
      <c r="I74" s="1120">
        <f t="shared" si="52"/>
        <v>0</v>
      </c>
      <c r="J74" s="1120">
        <f t="shared" si="52"/>
        <v>0</v>
      </c>
      <c r="K74" s="1120">
        <f t="shared" si="52"/>
        <v>0</v>
      </c>
      <c r="L74" s="1120">
        <f t="shared" si="52"/>
        <v>0</v>
      </c>
      <c r="M74" s="1120">
        <f>M77+M75</f>
        <v>0</v>
      </c>
      <c r="N74" s="1120">
        <f t="shared" si="52"/>
        <v>0</v>
      </c>
      <c r="O74" s="1120">
        <f t="shared" si="52"/>
        <v>0</v>
      </c>
      <c r="P74" s="1120">
        <f t="shared" si="52"/>
        <v>0</v>
      </c>
      <c r="Q74" s="1120">
        <f>+Q75+Q77</f>
        <v>0</v>
      </c>
      <c r="R74" s="1120">
        <f>+R75+R77</f>
        <v>0</v>
      </c>
      <c r="S74" s="1120">
        <f>+S75+S77</f>
        <v>0</v>
      </c>
      <c r="T74" s="1120">
        <f>+T75+T77</f>
        <v>0</v>
      </c>
      <c r="U74" s="1120"/>
      <c r="V74" s="1120"/>
      <c r="W74" s="1120"/>
      <c r="X74" s="3913" t="s">
        <v>75</v>
      </c>
      <c r="Y74" s="3942"/>
    </row>
    <row r="75" spans="1:27" s="461" customFormat="1" ht="13.5" hidden="1" customHeight="1">
      <c r="A75" s="4041"/>
      <c r="B75" s="1124" t="s">
        <v>35</v>
      </c>
      <c r="C75" s="4056" t="s">
        <v>194</v>
      </c>
      <c r="D75" s="1164">
        <f>+D76</f>
        <v>0</v>
      </c>
      <c r="E75" s="1164">
        <f>+E76</f>
        <v>0</v>
      </c>
      <c r="F75" s="1164"/>
      <c r="G75" s="1164"/>
      <c r="H75" s="1164"/>
      <c r="I75" s="1164">
        <f t="shared" ref="I75:T75" si="53">+I76</f>
        <v>0</v>
      </c>
      <c r="J75" s="1164">
        <f t="shared" si="53"/>
        <v>0</v>
      </c>
      <c r="K75" s="1164">
        <f t="shared" si="53"/>
        <v>0</v>
      </c>
      <c r="L75" s="1164">
        <f t="shared" si="53"/>
        <v>0</v>
      </c>
      <c r="M75" s="1164">
        <f t="shared" si="53"/>
        <v>0</v>
      </c>
      <c r="N75" s="1164">
        <f t="shared" si="53"/>
        <v>0</v>
      </c>
      <c r="O75" s="1164">
        <f t="shared" si="53"/>
        <v>0</v>
      </c>
      <c r="P75" s="1164">
        <f t="shared" si="53"/>
        <v>0</v>
      </c>
      <c r="Q75" s="1164">
        <f t="shared" si="53"/>
        <v>0</v>
      </c>
      <c r="R75" s="1164">
        <f t="shared" si="53"/>
        <v>0</v>
      </c>
      <c r="S75" s="1164">
        <f t="shared" si="53"/>
        <v>0</v>
      </c>
      <c r="T75" s="1164">
        <f t="shared" si="53"/>
        <v>0</v>
      </c>
      <c r="U75" s="1164"/>
      <c r="V75" s="1164"/>
      <c r="W75" s="1164"/>
      <c r="X75" s="3914"/>
      <c r="Y75" s="4062"/>
    </row>
    <row r="76" spans="1:27" s="461" customFormat="1" ht="13.5" hidden="1" customHeight="1">
      <c r="A76" s="4041"/>
      <c r="B76" s="1154" t="s">
        <v>167</v>
      </c>
      <c r="C76" s="4057"/>
      <c r="D76" s="1053">
        <f>M76+O76+P76+Q76+R76+S76+T76+U76+V76+W76</f>
        <v>0</v>
      </c>
      <c r="E76" s="1134">
        <v>0</v>
      </c>
      <c r="F76" s="1134"/>
      <c r="G76" s="1134"/>
      <c r="H76" s="1134"/>
      <c r="I76" s="1134">
        <v>0</v>
      </c>
      <c r="J76" s="1134">
        <v>0</v>
      </c>
      <c r="K76" s="1134">
        <v>0</v>
      </c>
      <c r="L76" s="1134">
        <v>0</v>
      </c>
      <c r="M76" s="1051"/>
      <c r="N76" s="1134"/>
      <c r="O76" s="1134"/>
      <c r="P76" s="1134"/>
      <c r="Q76" s="1134">
        <v>0</v>
      </c>
      <c r="R76" s="1134">
        <v>0</v>
      </c>
      <c r="S76" s="1134">
        <v>0</v>
      </c>
      <c r="T76" s="1134">
        <v>0</v>
      </c>
      <c r="U76" s="1134"/>
      <c r="V76" s="1134"/>
      <c r="W76" s="1134"/>
      <c r="X76" s="3914"/>
      <c r="Y76" s="4062"/>
      <c r="AA76" s="228">
        <v>-1488145</v>
      </c>
    </row>
    <row r="77" spans="1:27" s="461" customFormat="1" ht="13.5" hidden="1" customHeight="1">
      <c r="A77" s="4041"/>
      <c r="B77" s="1154" t="s">
        <v>29</v>
      </c>
      <c r="C77" s="4043" t="s">
        <v>34</v>
      </c>
      <c r="D77" s="1055">
        <f>+D78</f>
        <v>0</v>
      </c>
      <c r="E77" s="1055">
        <f>+E78</f>
        <v>0</v>
      </c>
      <c r="F77" s="1055"/>
      <c r="G77" s="1055"/>
      <c r="H77" s="1055"/>
      <c r="I77" s="1055">
        <f t="shared" ref="I77:T77" si="54">+I78</f>
        <v>0</v>
      </c>
      <c r="J77" s="1055">
        <f t="shared" si="54"/>
        <v>0</v>
      </c>
      <c r="K77" s="1055">
        <f t="shared" si="54"/>
        <v>0</v>
      </c>
      <c r="L77" s="1055">
        <f t="shared" si="54"/>
        <v>0</v>
      </c>
      <c r="M77" s="1055">
        <f t="shared" si="54"/>
        <v>0</v>
      </c>
      <c r="N77" s="1055">
        <f t="shared" si="54"/>
        <v>0</v>
      </c>
      <c r="O77" s="1055">
        <f t="shared" si="54"/>
        <v>0</v>
      </c>
      <c r="P77" s="1055">
        <f t="shared" si="54"/>
        <v>0</v>
      </c>
      <c r="Q77" s="1055">
        <f t="shared" si="54"/>
        <v>0</v>
      </c>
      <c r="R77" s="1055">
        <f t="shared" si="54"/>
        <v>0</v>
      </c>
      <c r="S77" s="1055">
        <f t="shared" si="54"/>
        <v>0</v>
      </c>
      <c r="T77" s="1055">
        <f t="shared" si="54"/>
        <v>0</v>
      </c>
      <c r="U77" s="1055"/>
      <c r="V77" s="1055"/>
      <c r="W77" s="1055"/>
      <c r="X77" s="3914"/>
      <c r="Y77" s="4062"/>
    </row>
    <row r="78" spans="1:27" s="461" customFormat="1" ht="13.5" hidden="1" customHeight="1" thickBot="1">
      <c r="A78" s="3898"/>
      <c r="B78" s="1129" t="s">
        <v>46</v>
      </c>
      <c r="C78" s="4044"/>
      <c r="D78" s="1053">
        <f>M78+O78+P78+Q78+R78+S78+T78+U78+V78+W78</f>
        <v>0</v>
      </c>
      <c r="E78" s="1126">
        <v>0</v>
      </c>
      <c r="F78" s="1126"/>
      <c r="G78" s="1126"/>
      <c r="H78" s="1126"/>
      <c r="I78" s="1126">
        <v>0</v>
      </c>
      <c r="J78" s="1126">
        <v>0</v>
      </c>
      <c r="K78" s="1126">
        <v>0</v>
      </c>
      <c r="L78" s="1126">
        <v>0</v>
      </c>
      <c r="M78" s="1051">
        <f>+E78+I78+J78+K78+L78+N78</f>
        <v>0</v>
      </c>
      <c r="N78" s="1126">
        <f>2492025-2492025</f>
        <v>0</v>
      </c>
      <c r="O78" s="1126"/>
      <c r="P78" s="1126"/>
      <c r="Q78" s="1126">
        <v>0</v>
      </c>
      <c r="R78" s="1126">
        <v>0</v>
      </c>
      <c r="S78" s="1126">
        <v>0</v>
      </c>
      <c r="T78" s="1126">
        <v>0</v>
      </c>
      <c r="U78" s="1126"/>
      <c r="V78" s="1126"/>
      <c r="W78" s="1126"/>
      <c r="X78" s="3915"/>
      <c r="Y78" s="3899"/>
    </row>
    <row r="79" spans="1:27" s="461" customFormat="1" ht="39" hidden="1" customHeight="1">
      <c r="A79" s="4063" t="s">
        <v>81</v>
      </c>
      <c r="B79" s="1131" t="s">
        <v>385</v>
      </c>
      <c r="C79" s="1132" t="s">
        <v>95</v>
      </c>
      <c r="D79" s="1141"/>
      <c r="E79" s="1141"/>
      <c r="F79" s="1142"/>
      <c r="G79" s="1142"/>
      <c r="H79" s="1142"/>
      <c r="I79" s="1142"/>
      <c r="J79" s="1142"/>
      <c r="K79" s="1142"/>
      <c r="L79" s="1142"/>
      <c r="M79" s="1142"/>
      <c r="N79" s="1142"/>
      <c r="O79" s="1142"/>
      <c r="P79" s="1142"/>
      <c r="Q79" s="1142"/>
      <c r="R79" s="1142"/>
      <c r="S79" s="1143"/>
      <c r="T79" s="1143"/>
      <c r="U79" s="1143"/>
      <c r="V79" s="1143"/>
      <c r="W79" s="1143"/>
      <c r="X79" s="1152"/>
      <c r="Y79" s="4038" t="s">
        <v>198</v>
      </c>
    </row>
    <row r="80" spans="1:27" s="576" customFormat="1" ht="16.5" hidden="1" customHeight="1">
      <c r="A80" s="4064"/>
      <c r="B80" s="1068" t="s">
        <v>21</v>
      </c>
      <c r="C80" s="1157"/>
      <c r="D80" s="1056">
        <f>+D81+D84</f>
        <v>0</v>
      </c>
      <c r="E80" s="1056">
        <f>+E81+E84</f>
        <v>0</v>
      </c>
      <c r="F80" s="1056"/>
      <c r="G80" s="1056"/>
      <c r="H80" s="1056"/>
      <c r="I80" s="1056">
        <f>I81</f>
        <v>0</v>
      </c>
      <c r="J80" s="1056">
        <f t="shared" ref="J80:R80" si="55">+J81+J84</f>
        <v>37202</v>
      </c>
      <c r="K80" s="1056">
        <f t="shared" si="55"/>
        <v>145091</v>
      </c>
      <c r="L80" s="1056">
        <f t="shared" si="55"/>
        <v>394112</v>
      </c>
      <c r="M80" s="1056">
        <f>+M81+M84</f>
        <v>0</v>
      </c>
      <c r="N80" s="1056">
        <f t="shared" si="55"/>
        <v>0</v>
      </c>
      <c r="O80" s="1056">
        <f t="shared" si="55"/>
        <v>0</v>
      </c>
      <c r="P80" s="1056">
        <f t="shared" si="55"/>
        <v>0</v>
      </c>
      <c r="Q80" s="1056">
        <f t="shared" si="55"/>
        <v>0</v>
      </c>
      <c r="R80" s="1056">
        <f t="shared" si="55"/>
        <v>0</v>
      </c>
      <c r="S80" s="1056">
        <f>+S81+S84</f>
        <v>0</v>
      </c>
      <c r="T80" s="1056">
        <f>+T81+T84</f>
        <v>0</v>
      </c>
      <c r="U80" s="1056"/>
      <c r="V80" s="1056"/>
      <c r="W80" s="1056"/>
      <c r="X80" s="1089">
        <f>+X81</f>
        <v>0</v>
      </c>
      <c r="Y80" s="3942"/>
    </row>
    <row r="81" spans="1:27" s="461" customFormat="1" ht="13.5" hidden="1" customHeight="1">
      <c r="A81" s="4064"/>
      <c r="B81" s="1124" t="s">
        <v>35</v>
      </c>
      <c r="C81" s="4045" t="s">
        <v>199</v>
      </c>
      <c r="D81" s="1055">
        <f>+D83+D82</f>
        <v>0</v>
      </c>
      <c r="E81" s="1055">
        <f>E83</f>
        <v>0</v>
      </c>
      <c r="F81" s="1055"/>
      <c r="G81" s="1055"/>
      <c r="H81" s="1055"/>
      <c r="I81" s="1055">
        <f>I83</f>
        <v>0</v>
      </c>
      <c r="J81" s="1055">
        <f>J82</f>
        <v>5580</v>
      </c>
      <c r="K81" s="1055">
        <f>K83</f>
        <v>145091</v>
      </c>
      <c r="L81" s="1055">
        <f>L83</f>
        <v>73696</v>
      </c>
      <c r="M81" s="1055">
        <f>M83+M82</f>
        <v>0</v>
      </c>
      <c r="N81" s="1055">
        <f t="shared" ref="N81:T81" si="56">N83</f>
        <v>0</v>
      </c>
      <c r="O81" s="1055">
        <f>O83+O82</f>
        <v>0</v>
      </c>
      <c r="P81" s="1055">
        <f t="shared" si="56"/>
        <v>0</v>
      </c>
      <c r="Q81" s="1055">
        <f t="shared" si="56"/>
        <v>0</v>
      </c>
      <c r="R81" s="1055">
        <f t="shared" si="56"/>
        <v>0</v>
      </c>
      <c r="S81" s="1055">
        <f t="shared" si="56"/>
        <v>0</v>
      </c>
      <c r="T81" s="1055">
        <f t="shared" si="56"/>
        <v>0</v>
      </c>
      <c r="U81" s="1055"/>
      <c r="V81" s="1055"/>
      <c r="W81" s="1055"/>
      <c r="X81" s="1125">
        <f>+X83</f>
        <v>0</v>
      </c>
      <c r="Y81" s="3942"/>
    </row>
    <row r="82" spans="1:27" s="461" customFormat="1" ht="13.5" hidden="1" customHeight="1">
      <c r="A82" s="4064"/>
      <c r="B82" s="1145" t="s">
        <v>43</v>
      </c>
      <c r="C82" s="4046"/>
      <c r="D82" s="1053">
        <f>M82+O82+P82+Q82+R82+S82+T82+U82+V82+W82</f>
        <v>0</v>
      </c>
      <c r="E82" s="1055"/>
      <c r="F82" s="1055"/>
      <c r="G82" s="1055"/>
      <c r="H82" s="1055"/>
      <c r="I82" s="1055"/>
      <c r="J82" s="1051">
        <v>5580</v>
      </c>
      <c r="K82" s="1055"/>
      <c r="L82" s="1055"/>
      <c r="M82" s="1051"/>
      <c r="N82" s="1055"/>
      <c r="O82" s="1051"/>
      <c r="P82" s="1055"/>
      <c r="Q82" s="1055"/>
      <c r="R82" s="1055"/>
      <c r="S82" s="1055"/>
      <c r="T82" s="1055"/>
      <c r="U82" s="1055"/>
      <c r="V82" s="1055"/>
      <c r="W82" s="1055"/>
      <c r="X82" s="1125">
        <v>0</v>
      </c>
      <c r="Y82" s="3942"/>
    </row>
    <row r="83" spans="1:27" s="461" customFormat="1" ht="13.5" hidden="1" customHeight="1">
      <c r="A83" s="4064"/>
      <c r="B83" s="1154" t="s">
        <v>147</v>
      </c>
      <c r="C83" s="4054"/>
      <c r="D83" s="1053">
        <f>M83+O83+P83+Q83+R83+S83+T83+U83+V83+W83</f>
        <v>0</v>
      </c>
      <c r="E83" s="1051">
        <v>0</v>
      </c>
      <c r="F83" s="1051"/>
      <c r="G83" s="1051"/>
      <c r="H83" s="1051"/>
      <c r="I83" s="1051">
        <v>0</v>
      </c>
      <c r="J83" s="1051">
        <v>0</v>
      </c>
      <c r="K83" s="1051">
        <f>306585-161494</f>
        <v>145091</v>
      </c>
      <c r="L83" s="1051">
        <f>1762866+1748664-3437834</f>
        <v>73696</v>
      </c>
      <c r="M83" s="1051"/>
      <c r="N83" s="1051"/>
      <c r="O83" s="1051"/>
      <c r="P83" s="1051">
        <v>0</v>
      </c>
      <c r="Q83" s="1051">
        <v>0</v>
      </c>
      <c r="R83" s="1051">
        <v>0</v>
      </c>
      <c r="S83" s="1051">
        <v>0</v>
      </c>
      <c r="T83" s="1051">
        <v>0</v>
      </c>
      <c r="U83" s="1051"/>
      <c r="V83" s="1051"/>
      <c r="W83" s="1051"/>
      <c r="X83" s="1118">
        <f>SUM(P83:T83)</f>
        <v>0</v>
      </c>
      <c r="Y83" s="3942"/>
    </row>
    <row r="84" spans="1:27" s="461" customFormat="1" ht="13.5" hidden="1" customHeight="1">
      <c r="A84" s="4064"/>
      <c r="B84" s="1163" t="s">
        <v>29</v>
      </c>
      <c r="C84" s="4043" t="s">
        <v>34</v>
      </c>
      <c r="D84" s="1055">
        <f>+D85</f>
        <v>0</v>
      </c>
      <c r="E84" s="1055">
        <f>+E85</f>
        <v>0</v>
      </c>
      <c r="F84" s="1055"/>
      <c r="G84" s="1055"/>
      <c r="H84" s="1055"/>
      <c r="I84" s="1055">
        <f t="shared" ref="I84:X84" si="57">+I85</f>
        <v>0</v>
      </c>
      <c r="J84" s="1055">
        <f t="shared" si="57"/>
        <v>31622</v>
      </c>
      <c r="K84" s="1055">
        <f t="shared" si="57"/>
        <v>0</v>
      </c>
      <c r="L84" s="1055">
        <f t="shared" si="57"/>
        <v>320416</v>
      </c>
      <c r="M84" s="1055">
        <f t="shared" si="57"/>
        <v>0</v>
      </c>
      <c r="N84" s="1055">
        <f t="shared" si="57"/>
        <v>0</v>
      </c>
      <c r="O84" s="1055">
        <f t="shared" si="57"/>
        <v>0</v>
      </c>
      <c r="P84" s="1055">
        <f t="shared" si="57"/>
        <v>0</v>
      </c>
      <c r="Q84" s="1055">
        <f t="shared" si="57"/>
        <v>0</v>
      </c>
      <c r="R84" s="1055">
        <f t="shared" si="57"/>
        <v>0</v>
      </c>
      <c r="S84" s="1055">
        <f t="shared" si="57"/>
        <v>0</v>
      </c>
      <c r="T84" s="1055">
        <f t="shared" si="57"/>
        <v>0</v>
      </c>
      <c r="U84" s="1128"/>
      <c r="V84" s="1128"/>
      <c r="W84" s="1128"/>
      <c r="X84" s="1135" t="str">
        <f t="shared" si="57"/>
        <v>x</v>
      </c>
      <c r="Y84" s="3942"/>
    </row>
    <row r="85" spans="1:27" s="461" customFormat="1" ht="13.5" hidden="1" customHeight="1">
      <c r="A85" s="4064"/>
      <c r="B85" s="1154" t="s">
        <v>46</v>
      </c>
      <c r="C85" s="4044"/>
      <c r="D85" s="1053">
        <f>M85+O85+P85+Q85+R85+S85+T85+U85+V85+W85</f>
        <v>0</v>
      </c>
      <c r="E85" s="1051">
        <v>0</v>
      </c>
      <c r="F85" s="1051"/>
      <c r="G85" s="1051"/>
      <c r="H85" s="1051"/>
      <c r="I85" s="1051">
        <v>0</v>
      </c>
      <c r="J85" s="1051">
        <v>31622</v>
      </c>
      <c r="K85" s="1051">
        <f>493415-493415</f>
        <v>0</v>
      </c>
      <c r="L85" s="1051">
        <f>2837134+2876336-5393054</f>
        <v>320416</v>
      </c>
      <c r="M85" s="1051"/>
      <c r="N85" s="1051"/>
      <c r="O85" s="1051"/>
      <c r="P85" s="1051">
        <v>0</v>
      </c>
      <c r="Q85" s="1051">
        <v>0</v>
      </c>
      <c r="R85" s="1051">
        <v>0</v>
      </c>
      <c r="S85" s="1051">
        <v>0</v>
      </c>
      <c r="T85" s="1051">
        <v>0</v>
      </c>
      <c r="U85" s="805"/>
      <c r="V85" s="805"/>
      <c r="W85" s="805"/>
      <c r="X85" s="1135" t="s">
        <v>75</v>
      </c>
      <c r="Y85" s="3942"/>
    </row>
    <row r="86" spans="1:27" s="576" customFormat="1" ht="16.5" hidden="1" customHeight="1">
      <c r="A86" s="4064"/>
      <c r="B86" s="1068" t="s">
        <v>33</v>
      </c>
      <c r="C86" s="1157"/>
      <c r="D86" s="1056">
        <f>D89+D87</f>
        <v>0</v>
      </c>
      <c r="E86" s="1056">
        <f t="shared" ref="E86:J86" si="58">E89</f>
        <v>0</v>
      </c>
      <c r="F86" s="1056"/>
      <c r="G86" s="1056"/>
      <c r="H86" s="1056"/>
      <c r="I86" s="1056">
        <f t="shared" si="58"/>
        <v>0</v>
      </c>
      <c r="J86" s="1056">
        <f t="shared" si="58"/>
        <v>3720</v>
      </c>
      <c r="K86" s="1056">
        <f t="shared" ref="K86:R86" si="59">K89+K87</f>
        <v>6444</v>
      </c>
      <c r="L86" s="1056">
        <f t="shared" si="59"/>
        <v>89342</v>
      </c>
      <c r="M86" s="1056">
        <f>M89+M87</f>
        <v>0</v>
      </c>
      <c r="N86" s="1056">
        <f t="shared" si="59"/>
        <v>0</v>
      </c>
      <c r="O86" s="1056">
        <f t="shared" si="59"/>
        <v>0</v>
      </c>
      <c r="P86" s="1056">
        <f t="shared" si="59"/>
        <v>0</v>
      </c>
      <c r="Q86" s="1056">
        <f t="shared" si="59"/>
        <v>0</v>
      </c>
      <c r="R86" s="1056">
        <f t="shared" si="59"/>
        <v>0</v>
      </c>
      <c r="S86" s="1056">
        <f>S89+S87</f>
        <v>0</v>
      </c>
      <c r="T86" s="1056">
        <f>T89+T87</f>
        <v>0</v>
      </c>
      <c r="U86" s="1056"/>
      <c r="V86" s="1056"/>
      <c r="W86" s="1056"/>
      <c r="X86" s="3913" t="s">
        <v>75</v>
      </c>
      <c r="Y86" s="3942"/>
    </row>
    <row r="87" spans="1:27" s="461" customFormat="1" ht="13.5" hidden="1" customHeight="1">
      <c r="A87" s="4064"/>
      <c r="B87" s="1124" t="s">
        <v>35</v>
      </c>
      <c r="C87" s="4045" t="s">
        <v>199</v>
      </c>
      <c r="D87" s="1164">
        <f>+D88</f>
        <v>0</v>
      </c>
      <c r="E87" s="1164">
        <f t="shared" ref="E87:T87" si="60">+E88</f>
        <v>0</v>
      </c>
      <c r="F87" s="1164">
        <f t="shared" si="60"/>
        <v>0</v>
      </c>
      <c r="G87" s="1164">
        <f t="shared" si="60"/>
        <v>0</v>
      </c>
      <c r="H87" s="1164">
        <f t="shared" si="60"/>
        <v>0</v>
      </c>
      <c r="I87" s="1164">
        <f t="shared" si="60"/>
        <v>0</v>
      </c>
      <c r="J87" s="1164">
        <f t="shared" si="60"/>
        <v>0</v>
      </c>
      <c r="K87" s="1164">
        <f t="shared" si="60"/>
        <v>6444</v>
      </c>
      <c r="L87" s="1164">
        <f t="shared" si="60"/>
        <v>89342</v>
      </c>
      <c r="M87" s="1164">
        <f t="shared" si="60"/>
        <v>0</v>
      </c>
      <c r="N87" s="1164">
        <f t="shared" si="60"/>
        <v>0</v>
      </c>
      <c r="O87" s="1164">
        <f t="shared" si="60"/>
        <v>0</v>
      </c>
      <c r="P87" s="1164">
        <f t="shared" si="60"/>
        <v>0</v>
      </c>
      <c r="Q87" s="1164">
        <f t="shared" si="60"/>
        <v>0</v>
      </c>
      <c r="R87" s="1164">
        <f t="shared" si="60"/>
        <v>0</v>
      </c>
      <c r="S87" s="1164">
        <f t="shared" si="60"/>
        <v>0</v>
      </c>
      <c r="T87" s="1164">
        <f t="shared" si="60"/>
        <v>0</v>
      </c>
      <c r="U87" s="1164"/>
      <c r="V87" s="1164"/>
      <c r="W87" s="1164"/>
      <c r="X87" s="3914"/>
      <c r="Y87" s="4062"/>
      <c r="AA87" s="228">
        <v>-4922063</v>
      </c>
    </row>
    <row r="88" spans="1:27" s="461" customFormat="1" ht="13.5" hidden="1" customHeight="1">
      <c r="A88" s="4064"/>
      <c r="B88" s="1154" t="s">
        <v>167</v>
      </c>
      <c r="C88" s="4054"/>
      <c r="D88" s="1053">
        <f>M88+O88+P88+Q88+R88+S88+T88+U88+V88+W88</f>
        <v>0</v>
      </c>
      <c r="E88" s="1134">
        <v>0</v>
      </c>
      <c r="F88" s="1134"/>
      <c r="G88" s="1134"/>
      <c r="H88" s="1134"/>
      <c r="I88" s="1134">
        <v>0</v>
      </c>
      <c r="J88" s="1134">
        <v>0</v>
      </c>
      <c r="K88" s="1134">
        <f>142114-135670</f>
        <v>6444</v>
      </c>
      <c r="L88" s="1134">
        <f>817154+840926-1568738</f>
        <v>89342</v>
      </c>
      <c r="M88" s="1051"/>
      <c r="N88" s="1134"/>
      <c r="O88" s="1134"/>
      <c r="P88" s="1134"/>
      <c r="Q88" s="1134">
        <v>0</v>
      </c>
      <c r="R88" s="1134">
        <v>0</v>
      </c>
      <c r="S88" s="1134">
        <v>0</v>
      </c>
      <c r="T88" s="1134">
        <v>0</v>
      </c>
      <c r="U88" s="1134"/>
      <c r="V88" s="1134"/>
      <c r="W88" s="1134"/>
      <c r="X88" s="3914"/>
      <c r="Y88" s="4062"/>
    </row>
    <row r="89" spans="1:27" s="461" customFormat="1" ht="13.5" hidden="1" customHeight="1">
      <c r="A89" s="4064"/>
      <c r="B89" s="1163" t="s">
        <v>29</v>
      </c>
      <c r="C89" s="4043" t="s">
        <v>34</v>
      </c>
      <c r="D89" s="1055">
        <f>+D90</f>
        <v>0</v>
      </c>
      <c r="E89" s="1055">
        <f>+E90</f>
        <v>0</v>
      </c>
      <c r="F89" s="1055"/>
      <c r="G89" s="1055"/>
      <c r="H89" s="1055"/>
      <c r="I89" s="1055">
        <f t="shared" ref="I89:T89" si="61">+I90</f>
        <v>0</v>
      </c>
      <c r="J89" s="1055">
        <f t="shared" si="61"/>
        <v>3720</v>
      </c>
      <c r="K89" s="1055">
        <f t="shared" si="61"/>
        <v>0</v>
      </c>
      <c r="L89" s="1055">
        <f t="shared" si="61"/>
        <v>0</v>
      </c>
      <c r="M89" s="1055">
        <f t="shared" si="61"/>
        <v>0</v>
      </c>
      <c r="N89" s="1055">
        <f t="shared" si="61"/>
        <v>0</v>
      </c>
      <c r="O89" s="1055">
        <f t="shared" si="61"/>
        <v>0</v>
      </c>
      <c r="P89" s="1055">
        <f t="shared" si="61"/>
        <v>0</v>
      </c>
      <c r="Q89" s="1055">
        <f t="shared" si="61"/>
        <v>0</v>
      </c>
      <c r="R89" s="1055">
        <f t="shared" si="61"/>
        <v>0</v>
      </c>
      <c r="S89" s="1055">
        <f t="shared" si="61"/>
        <v>0</v>
      </c>
      <c r="T89" s="1055">
        <f t="shared" si="61"/>
        <v>0</v>
      </c>
      <c r="U89" s="1055"/>
      <c r="V89" s="1055"/>
      <c r="W89" s="1055"/>
      <c r="X89" s="3914"/>
      <c r="Y89" s="4062"/>
    </row>
    <row r="90" spans="1:27" s="461" customFormat="1" ht="13.5" hidden="1" customHeight="1" thickBot="1">
      <c r="A90" s="4065"/>
      <c r="B90" s="1129" t="s">
        <v>46</v>
      </c>
      <c r="C90" s="4047"/>
      <c r="D90" s="1140">
        <f>M90+O90+P90+Q90+R90+S90+T90+U90+V90+W90</f>
        <v>0</v>
      </c>
      <c r="E90" s="1126">
        <v>0</v>
      </c>
      <c r="F90" s="1126"/>
      <c r="G90" s="1126"/>
      <c r="H90" s="1126">
        <f>H111+H115</f>
        <v>0</v>
      </c>
      <c r="I90" s="1126">
        <v>0</v>
      </c>
      <c r="J90" s="1126">
        <v>3720</v>
      </c>
      <c r="K90" s="1126">
        <f>493415-493415</f>
        <v>0</v>
      </c>
      <c r="L90" s="1126">
        <f>2837134+2876336-5713470</f>
        <v>0</v>
      </c>
      <c r="M90" s="1126"/>
      <c r="N90" s="1126"/>
      <c r="O90" s="1126"/>
      <c r="P90" s="1126">
        <v>0</v>
      </c>
      <c r="Q90" s="1126">
        <v>0</v>
      </c>
      <c r="R90" s="1126">
        <v>0</v>
      </c>
      <c r="S90" s="1126">
        <v>0</v>
      </c>
      <c r="T90" s="1126">
        <v>0</v>
      </c>
      <c r="U90" s="1126"/>
      <c r="V90" s="1126"/>
      <c r="W90" s="1126"/>
      <c r="X90" s="3915"/>
      <c r="Y90" s="3899"/>
    </row>
    <row r="91" spans="1:27" s="461" customFormat="1" ht="30.75" customHeight="1">
      <c r="A91" s="4040" t="s">
        <v>79</v>
      </c>
      <c r="B91" s="1131" t="s">
        <v>545</v>
      </c>
      <c r="C91" s="1132" t="s">
        <v>95</v>
      </c>
      <c r="D91" s="1050"/>
      <c r="E91" s="642"/>
      <c r="F91" s="1121"/>
      <c r="G91" s="1121"/>
      <c r="H91" s="1121"/>
      <c r="I91" s="1121"/>
      <c r="J91" s="1121"/>
      <c r="K91" s="1121"/>
      <c r="L91" s="1121"/>
      <c r="M91" s="1121"/>
      <c r="N91" s="1121"/>
      <c r="O91" s="1121"/>
      <c r="P91" s="1121"/>
      <c r="Q91" s="1121"/>
      <c r="R91" s="1121"/>
      <c r="S91" s="1121"/>
      <c r="T91" s="1121"/>
      <c r="U91" s="1121"/>
      <c r="V91" s="1121"/>
      <c r="W91" s="1121"/>
      <c r="X91" s="1122"/>
      <c r="Y91" s="4038" t="s">
        <v>544</v>
      </c>
    </row>
    <row r="92" spans="1:27" s="461" customFormat="1" ht="13.5" customHeight="1">
      <c r="A92" s="4041"/>
      <c r="B92" s="1068" t="s">
        <v>21</v>
      </c>
      <c r="C92" s="1133"/>
      <c r="D92" s="1120">
        <f>+D93+D96</f>
        <v>4273222</v>
      </c>
      <c r="E92" s="1120">
        <f t="shared" ref="E92:H92" si="62">+E93+E96</f>
        <v>0</v>
      </c>
      <c r="F92" s="1120">
        <f t="shared" si="62"/>
        <v>0</v>
      </c>
      <c r="G92" s="1120">
        <f t="shared" si="62"/>
        <v>0</v>
      </c>
      <c r="H92" s="1120">
        <f t="shared" si="62"/>
        <v>0</v>
      </c>
      <c r="I92" s="1120">
        <f>+I93+I96</f>
        <v>0</v>
      </c>
      <c r="J92" s="1120">
        <f t="shared" ref="J92:L92" si="63">+J93+J96</f>
        <v>256207</v>
      </c>
      <c r="K92" s="1120">
        <f t="shared" si="63"/>
        <v>0</v>
      </c>
      <c r="L92" s="1120">
        <f t="shared" si="63"/>
        <v>0</v>
      </c>
      <c r="M92" s="1120">
        <f>+M93+M96</f>
        <v>0</v>
      </c>
      <c r="N92" s="1120">
        <f t="shared" ref="N92:O92" si="64">+N93+N96</f>
        <v>0</v>
      </c>
      <c r="O92" s="1120">
        <f t="shared" si="64"/>
        <v>0</v>
      </c>
      <c r="P92" s="1120">
        <f>+P93+P96</f>
        <v>0</v>
      </c>
      <c r="Q92" s="1120">
        <f t="shared" ref="Q92:R92" si="65">+Q93+Q96</f>
        <v>84809</v>
      </c>
      <c r="R92" s="1120">
        <f t="shared" si="65"/>
        <v>4188413</v>
      </c>
      <c r="S92" s="1120">
        <f>+S93+S96</f>
        <v>0</v>
      </c>
      <c r="T92" s="1120">
        <f>+T93+T96</f>
        <v>0</v>
      </c>
      <c r="U92" s="1120">
        <f t="shared" ref="U92:V92" si="66">+U93+U96</f>
        <v>0</v>
      </c>
      <c r="V92" s="1120">
        <f t="shared" si="66"/>
        <v>0</v>
      </c>
      <c r="W92" s="1120"/>
      <c r="X92" s="1123">
        <f>+X93</f>
        <v>1532217</v>
      </c>
      <c r="Y92" s="3942"/>
    </row>
    <row r="93" spans="1:27" s="461" customFormat="1" ht="13.5" customHeight="1">
      <c r="A93" s="4041"/>
      <c r="B93" s="3413" t="s">
        <v>35</v>
      </c>
      <c r="C93" s="4045" t="s">
        <v>543</v>
      </c>
      <c r="D93" s="1055">
        <f>D95+D94</f>
        <v>1532217</v>
      </c>
      <c r="E93" s="1055">
        <f>E95+E94</f>
        <v>0</v>
      </c>
      <c r="F93" s="1055">
        <f t="shared" ref="F93:L93" si="67">F95+F94</f>
        <v>0</v>
      </c>
      <c r="G93" s="1055">
        <f t="shared" si="67"/>
        <v>0</v>
      </c>
      <c r="H93" s="1055">
        <f t="shared" si="67"/>
        <v>0</v>
      </c>
      <c r="I93" s="1055">
        <f t="shared" si="67"/>
        <v>0</v>
      </c>
      <c r="J93" s="1055">
        <f t="shared" si="67"/>
        <v>256207</v>
      </c>
      <c r="K93" s="1055">
        <f t="shared" si="67"/>
        <v>0</v>
      </c>
      <c r="L93" s="1055">
        <f t="shared" si="67"/>
        <v>0</v>
      </c>
      <c r="M93" s="1055">
        <f>M95+M94</f>
        <v>0</v>
      </c>
      <c r="N93" s="1055">
        <f t="shared" ref="N93:V93" si="68">N95+N94</f>
        <v>0</v>
      </c>
      <c r="O93" s="1055">
        <f t="shared" si="68"/>
        <v>0</v>
      </c>
      <c r="P93" s="1055">
        <f t="shared" si="68"/>
        <v>0</v>
      </c>
      <c r="Q93" s="1055">
        <f t="shared" si="68"/>
        <v>62454</v>
      </c>
      <c r="R93" s="1055">
        <f t="shared" si="68"/>
        <v>1469763</v>
      </c>
      <c r="S93" s="1055">
        <f t="shared" si="68"/>
        <v>0</v>
      </c>
      <c r="T93" s="1055">
        <f t="shared" si="68"/>
        <v>0</v>
      </c>
      <c r="U93" s="1055">
        <f t="shared" si="68"/>
        <v>0</v>
      </c>
      <c r="V93" s="1055">
        <f t="shared" si="68"/>
        <v>0</v>
      </c>
      <c r="W93" s="1055"/>
      <c r="X93" s="1125">
        <f>+X95</f>
        <v>1532217</v>
      </c>
      <c r="Y93" s="3942"/>
    </row>
    <row r="94" spans="1:27" s="461" customFormat="1" ht="13.5" hidden="1" customHeight="1">
      <c r="A94" s="4041"/>
      <c r="B94" s="1077" t="s">
        <v>43</v>
      </c>
      <c r="C94" s="4046"/>
      <c r="D94" s="1051">
        <f>M94+O94+P94+Q94+R94+S94+T94+U94+V94+W94</f>
        <v>0</v>
      </c>
      <c r="E94" s="1051"/>
      <c r="F94" s="1051"/>
      <c r="G94" s="1051"/>
      <c r="H94" s="1051"/>
      <c r="I94" s="1134"/>
      <c r="J94" s="1134"/>
      <c r="K94" s="1134"/>
      <c r="L94" s="1134"/>
      <c r="M94" s="1051"/>
      <c r="N94" s="1134"/>
      <c r="O94" s="1134"/>
      <c r="P94" s="1134">
        <v>0</v>
      </c>
      <c r="Q94" s="1134">
        <v>0</v>
      </c>
      <c r="R94" s="1134">
        <v>0</v>
      </c>
      <c r="S94" s="1134">
        <v>0</v>
      </c>
      <c r="T94" s="1134">
        <v>0</v>
      </c>
      <c r="U94" s="1626"/>
      <c r="V94" s="1626"/>
      <c r="W94" s="1626"/>
      <c r="X94" s="1135" t="s">
        <v>75</v>
      </c>
      <c r="Y94" s="3942"/>
    </row>
    <row r="95" spans="1:27" s="461" customFormat="1" ht="13.5" customHeight="1">
      <c r="A95" s="4041"/>
      <c r="B95" s="1136" t="s">
        <v>147</v>
      </c>
      <c r="C95" s="4054"/>
      <c r="D95" s="2199">
        <f>M95+P95+Q95+R95+S95+T95+U95+V95+W95</f>
        <v>1532217</v>
      </c>
      <c r="E95" s="1053"/>
      <c r="F95" s="1053"/>
      <c r="G95" s="1053"/>
      <c r="H95" s="1053"/>
      <c r="I95" s="1054"/>
      <c r="J95" s="1054">
        <v>256207</v>
      </c>
      <c r="K95" s="1054"/>
      <c r="L95" s="1054"/>
      <c r="M95" s="2200"/>
      <c r="N95" s="1054"/>
      <c r="O95" s="1054"/>
      <c r="P95" s="1054"/>
      <c r="Q95" s="1054">
        <v>62454</v>
      </c>
      <c r="R95" s="1054">
        <v>1469763</v>
      </c>
      <c r="S95" s="1054"/>
      <c r="T95" s="1054"/>
      <c r="U95" s="1054"/>
      <c r="V95" s="1054"/>
      <c r="W95" s="1054"/>
      <c r="X95" s="1118">
        <f>SUM(Q95:W95)</f>
        <v>1532217</v>
      </c>
      <c r="Y95" s="3942"/>
    </row>
    <row r="96" spans="1:27" s="461" customFormat="1" ht="13.5" customHeight="1">
      <c r="A96" s="4041"/>
      <c r="B96" s="3414" t="s">
        <v>29</v>
      </c>
      <c r="C96" s="4043" t="s">
        <v>34</v>
      </c>
      <c r="D96" s="1627">
        <f>+D97</f>
        <v>2741005</v>
      </c>
      <c r="E96" s="1627">
        <f>+E97</f>
        <v>0</v>
      </c>
      <c r="F96" s="1627"/>
      <c r="G96" s="1627"/>
      <c r="H96" s="1627"/>
      <c r="I96" s="1627">
        <f t="shared" ref="I96:X96" si="69">+I97</f>
        <v>0</v>
      </c>
      <c r="J96" s="1627">
        <f t="shared" si="69"/>
        <v>0</v>
      </c>
      <c r="K96" s="1627">
        <f t="shared" si="69"/>
        <v>0</v>
      </c>
      <c r="L96" s="1627">
        <f t="shared" si="69"/>
        <v>0</v>
      </c>
      <c r="M96" s="3415">
        <f t="shared" si="69"/>
        <v>0</v>
      </c>
      <c r="N96" s="1627">
        <f t="shared" si="69"/>
        <v>0</v>
      </c>
      <c r="O96" s="1627">
        <f t="shared" si="69"/>
        <v>0</v>
      </c>
      <c r="P96" s="1627">
        <f t="shared" si="69"/>
        <v>0</v>
      </c>
      <c r="Q96" s="1627">
        <f t="shared" si="69"/>
        <v>22355</v>
      </c>
      <c r="R96" s="1627">
        <f t="shared" si="69"/>
        <v>2718650</v>
      </c>
      <c r="S96" s="1627">
        <f t="shared" si="69"/>
        <v>0</v>
      </c>
      <c r="T96" s="1627">
        <f t="shared" si="69"/>
        <v>0</v>
      </c>
      <c r="U96" s="1627">
        <f t="shared" si="69"/>
        <v>0</v>
      </c>
      <c r="V96" s="1627">
        <f t="shared" si="69"/>
        <v>0</v>
      </c>
      <c r="W96" s="3415"/>
      <c r="X96" s="3416" t="str">
        <f t="shared" si="69"/>
        <v>x</v>
      </c>
      <c r="Y96" s="3942"/>
    </row>
    <row r="97" spans="1:86" s="461" customFormat="1" ht="13.5" customHeight="1">
      <c r="A97" s="4041"/>
      <c r="B97" s="1136" t="s">
        <v>46</v>
      </c>
      <c r="C97" s="4044"/>
      <c r="D97" s="2199">
        <f>M97+P97+Q97+R97+S97+T97+U97+V97+W97</f>
        <v>2741005</v>
      </c>
      <c r="E97" s="1053">
        <f>+F97+G97+H97</f>
        <v>0</v>
      </c>
      <c r="F97" s="1053"/>
      <c r="G97" s="1053"/>
      <c r="H97" s="1053"/>
      <c r="I97" s="1054">
        <f>0+227853-227853</f>
        <v>0</v>
      </c>
      <c r="J97" s="1053"/>
      <c r="K97" s="1053"/>
      <c r="L97" s="1053"/>
      <c r="M97" s="2200">
        <f>+E97+I97+J97+K97+L97+N97+O97</f>
        <v>0</v>
      </c>
      <c r="N97" s="1053"/>
      <c r="O97" s="1053"/>
      <c r="P97" s="1053">
        <v>0</v>
      </c>
      <c r="Q97" s="1053">
        <v>22355</v>
      </c>
      <c r="R97" s="1053">
        <v>2718650</v>
      </c>
      <c r="S97" s="1053"/>
      <c r="T97" s="1053"/>
      <c r="U97" s="1628"/>
      <c r="V97" s="1628"/>
      <c r="W97" s="1628"/>
      <c r="X97" s="3417" t="s">
        <v>75</v>
      </c>
      <c r="Y97" s="3942"/>
    </row>
    <row r="98" spans="1:86" s="461" customFormat="1" ht="13.5" customHeight="1">
      <c r="A98" s="4041"/>
      <c r="B98" s="1068" t="s">
        <v>33</v>
      </c>
      <c r="C98" s="3418"/>
      <c r="D98" s="1056">
        <f>D101+D99</f>
        <v>2741005</v>
      </c>
      <c r="E98" s="1056">
        <f t="shared" ref="E98:L98" si="70">E101+E99</f>
        <v>0</v>
      </c>
      <c r="F98" s="1056">
        <f t="shared" si="70"/>
        <v>0</v>
      </c>
      <c r="G98" s="1056">
        <f t="shared" si="70"/>
        <v>0</v>
      </c>
      <c r="H98" s="1056">
        <f t="shared" si="70"/>
        <v>0</v>
      </c>
      <c r="I98" s="1056">
        <f t="shared" si="70"/>
        <v>0</v>
      </c>
      <c r="J98" s="1056">
        <f t="shared" si="70"/>
        <v>0</v>
      </c>
      <c r="K98" s="1056">
        <f t="shared" si="70"/>
        <v>0</v>
      </c>
      <c r="L98" s="1056">
        <f t="shared" si="70"/>
        <v>0</v>
      </c>
      <c r="M98" s="605">
        <f>M101+M99</f>
        <v>0</v>
      </c>
      <c r="N98" s="1056">
        <f t="shared" ref="N98:R98" si="71">N101+N99</f>
        <v>0</v>
      </c>
      <c r="O98" s="1056">
        <f t="shared" si="71"/>
        <v>0</v>
      </c>
      <c r="P98" s="1056">
        <f t="shared" si="71"/>
        <v>0</v>
      </c>
      <c r="Q98" s="1056">
        <f t="shared" si="71"/>
        <v>22355</v>
      </c>
      <c r="R98" s="1056">
        <f t="shared" si="71"/>
        <v>2718650</v>
      </c>
      <c r="S98" s="1056">
        <f>S101+S99</f>
        <v>0</v>
      </c>
      <c r="T98" s="1056">
        <f>T101+T99</f>
        <v>0</v>
      </c>
      <c r="U98" s="1056">
        <f t="shared" ref="U98:V98" si="72">U101+U99</f>
        <v>0</v>
      </c>
      <c r="V98" s="1056">
        <f t="shared" si="72"/>
        <v>0</v>
      </c>
      <c r="W98" s="1056"/>
      <c r="X98" s="4048" t="s">
        <v>75</v>
      </c>
      <c r="Y98" s="3942"/>
    </row>
    <row r="99" spans="1:86" s="461" customFormat="1" ht="13.5" hidden="1" customHeight="1">
      <c r="A99" s="4041"/>
      <c r="B99" s="1138" t="s">
        <v>35</v>
      </c>
      <c r="C99" s="4045" t="s">
        <v>543</v>
      </c>
      <c r="D99" s="1629">
        <f>+D100</f>
        <v>0</v>
      </c>
      <c r="E99" s="1629">
        <f t="shared" ref="E99:V99" si="73">+E100</f>
        <v>0</v>
      </c>
      <c r="F99" s="1629">
        <f t="shared" si="73"/>
        <v>0</v>
      </c>
      <c r="G99" s="1629">
        <f t="shared" si="73"/>
        <v>0</v>
      </c>
      <c r="H99" s="1629">
        <f t="shared" si="73"/>
        <v>0</v>
      </c>
      <c r="I99" s="1629">
        <f t="shared" si="73"/>
        <v>0</v>
      </c>
      <c r="J99" s="1629">
        <f t="shared" si="73"/>
        <v>0</v>
      </c>
      <c r="K99" s="1629">
        <f t="shared" si="73"/>
        <v>0</v>
      </c>
      <c r="L99" s="1629">
        <f t="shared" si="73"/>
        <v>0</v>
      </c>
      <c r="M99" s="1629">
        <f t="shared" si="73"/>
        <v>0</v>
      </c>
      <c r="N99" s="1629">
        <f t="shared" si="73"/>
        <v>0</v>
      </c>
      <c r="O99" s="1629">
        <f t="shared" si="73"/>
        <v>0</v>
      </c>
      <c r="P99" s="1629">
        <f t="shared" si="73"/>
        <v>0</v>
      </c>
      <c r="Q99" s="1629">
        <f t="shared" si="73"/>
        <v>0</v>
      </c>
      <c r="R99" s="1629">
        <f t="shared" si="73"/>
        <v>0</v>
      </c>
      <c r="S99" s="1629">
        <f t="shared" si="73"/>
        <v>0</v>
      </c>
      <c r="T99" s="1629">
        <f t="shared" si="73"/>
        <v>0</v>
      </c>
      <c r="U99" s="1629">
        <f t="shared" si="73"/>
        <v>0</v>
      </c>
      <c r="V99" s="1629">
        <f t="shared" si="73"/>
        <v>0</v>
      </c>
      <c r="W99" s="1629"/>
      <c r="X99" s="4049"/>
      <c r="Y99" s="3942"/>
    </row>
    <row r="100" spans="1:86" s="461" customFormat="1" ht="13.5" hidden="1" customHeight="1">
      <c r="A100" s="4041"/>
      <c r="B100" s="1136" t="s">
        <v>167</v>
      </c>
      <c r="C100" s="4046"/>
      <c r="D100" s="2199">
        <f>M100+P100+Q100+R100+S100+T100+U100+V100+W100</f>
        <v>0</v>
      </c>
      <c r="E100" s="1054">
        <v>0</v>
      </c>
      <c r="F100" s="1054"/>
      <c r="G100" s="1054"/>
      <c r="H100" s="1054"/>
      <c r="I100" s="1054">
        <v>0</v>
      </c>
      <c r="J100" s="1054">
        <v>0</v>
      </c>
      <c r="K100" s="1054"/>
      <c r="L100" s="1054"/>
      <c r="M100" s="2200">
        <f>+E100+I100+J100+K100+L100+N100+O100</f>
        <v>0</v>
      </c>
      <c r="N100" s="1054"/>
      <c r="O100" s="1054"/>
      <c r="P100" s="1054"/>
      <c r="Q100" s="1054"/>
      <c r="R100" s="1054"/>
      <c r="S100" s="1054"/>
      <c r="T100" s="1054"/>
      <c r="U100" s="1054"/>
      <c r="V100" s="1054"/>
      <c r="W100" s="1054"/>
      <c r="X100" s="4049"/>
      <c r="Y100" s="3942"/>
    </row>
    <row r="101" spans="1:86" s="461" customFormat="1" ht="13.5" customHeight="1">
      <c r="A101" s="4041"/>
      <c r="B101" s="3414" t="s">
        <v>29</v>
      </c>
      <c r="C101" s="4043" t="s">
        <v>34</v>
      </c>
      <c r="D101" s="1627">
        <f>+D102</f>
        <v>2741005</v>
      </c>
      <c r="E101" s="1627">
        <f>+E102</f>
        <v>0</v>
      </c>
      <c r="F101" s="1627"/>
      <c r="G101" s="1627"/>
      <c r="H101" s="1627"/>
      <c r="I101" s="1627">
        <f t="shared" ref="I101:V101" si="74">+I102</f>
        <v>0</v>
      </c>
      <c r="J101" s="1627">
        <f t="shared" si="74"/>
        <v>0</v>
      </c>
      <c r="K101" s="1627">
        <f t="shared" si="74"/>
        <v>0</v>
      </c>
      <c r="L101" s="1627">
        <f t="shared" si="74"/>
        <v>0</v>
      </c>
      <c r="M101" s="3415">
        <f t="shared" si="74"/>
        <v>0</v>
      </c>
      <c r="N101" s="1627">
        <f t="shared" si="74"/>
        <v>0</v>
      </c>
      <c r="O101" s="1627">
        <f t="shared" si="74"/>
        <v>0</v>
      </c>
      <c r="P101" s="1627">
        <f t="shared" si="74"/>
        <v>0</v>
      </c>
      <c r="Q101" s="1627">
        <f t="shared" si="74"/>
        <v>22355</v>
      </c>
      <c r="R101" s="1627">
        <f t="shared" si="74"/>
        <v>2718650</v>
      </c>
      <c r="S101" s="1627">
        <f t="shared" si="74"/>
        <v>0</v>
      </c>
      <c r="T101" s="1627">
        <f t="shared" si="74"/>
        <v>0</v>
      </c>
      <c r="U101" s="1627">
        <f t="shared" si="74"/>
        <v>0</v>
      </c>
      <c r="V101" s="1627">
        <f t="shared" si="74"/>
        <v>0</v>
      </c>
      <c r="W101" s="1627"/>
      <c r="X101" s="4049"/>
      <c r="Y101" s="3942"/>
    </row>
    <row r="102" spans="1:86" s="461" customFormat="1" ht="13.5" customHeight="1" thickBot="1">
      <c r="A102" s="4042"/>
      <c r="B102" s="1151" t="s">
        <v>46</v>
      </c>
      <c r="C102" s="4047"/>
      <c r="D102" s="2218">
        <f>M102+P102+Q102+R102+S102+T102+U102+V102+W102</f>
        <v>2741005</v>
      </c>
      <c r="E102" s="1140">
        <f>+F102+G102+H102</f>
        <v>0</v>
      </c>
      <c r="F102" s="1140"/>
      <c r="G102" s="1140"/>
      <c r="H102" s="1140"/>
      <c r="I102" s="1140">
        <v>0</v>
      </c>
      <c r="J102" s="1140">
        <f>7290734-7290734</f>
        <v>0</v>
      </c>
      <c r="K102" s="1140"/>
      <c r="L102" s="1140"/>
      <c r="M102" s="2219">
        <f>+E102+I102+J102+K102+L102+N102+O102</f>
        <v>0</v>
      </c>
      <c r="N102" s="1140"/>
      <c r="O102" s="1140"/>
      <c r="P102" s="1140"/>
      <c r="Q102" s="1140">
        <v>22355</v>
      </c>
      <c r="R102" s="1140">
        <v>2718650</v>
      </c>
      <c r="S102" s="1140"/>
      <c r="T102" s="1140"/>
      <c r="U102" s="1140"/>
      <c r="V102" s="1140"/>
      <c r="W102" s="1140"/>
      <c r="X102" s="4050"/>
      <c r="Y102" s="3943"/>
    </row>
    <row r="103" spans="1:86" s="461" customFormat="1" ht="13.5" customHeight="1">
      <c r="A103" s="3176"/>
      <c r="B103" s="3177"/>
      <c r="C103" s="3178"/>
      <c r="D103" s="3179"/>
      <c r="E103" s="1346"/>
      <c r="F103" s="1346"/>
      <c r="G103" s="1346"/>
      <c r="H103" s="1346"/>
      <c r="I103" s="1346"/>
      <c r="J103" s="1346"/>
      <c r="K103" s="1346"/>
      <c r="L103" s="1346"/>
      <c r="M103" s="1346"/>
      <c r="N103" s="1346"/>
      <c r="O103" s="1346"/>
      <c r="P103" s="1346"/>
      <c r="Q103" s="1346"/>
      <c r="R103" s="1346"/>
      <c r="S103" s="1346"/>
      <c r="T103" s="1346"/>
      <c r="U103" s="1346"/>
      <c r="V103" s="1346"/>
      <c r="W103" s="1346"/>
      <c r="X103" s="1346"/>
      <c r="Y103" s="3214"/>
    </row>
    <row r="104" spans="1:86" s="461" customFormat="1" ht="13.5" customHeight="1">
      <c r="A104" s="3176"/>
      <c r="B104" s="3177"/>
      <c r="C104" s="3178"/>
      <c r="D104" s="3179"/>
      <c r="E104" s="1346"/>
      <c r="F104" s="1346"/>
      <c r="G104" s="1346"/>
      <c r="H104" s="1346"/>
      <c r="I104" s="1346"/>
      <c r="J104" s="1346"/>
      <c r="K104" s="1346"/>
      <c r="L104" s="1346"/>
      <c r="M104" s="1346"/>
      <c r="N104" s="1346"/>
      <c r="O104" s="1346"/>
      <c r="P104" s="1346"/>
      <c r="Q104" s="1346"/>
      <c r="R104" s="1346"/>
      <c r="S104" s="1346"/>
      <c r="T104" s="1346"/>
      <c r="U104" s="1346"/>
      <c r="V104" s="1346"/>
      <c r="W104" s="1346"/>
      <c r="X104" s="1346"/>
      <c r="Y104" s="3214"/>
    </row>
    <row r="105" spans="1:86" s="461" customFormat="1" ht="13.5" customHeight="1">
      <c r="A105" s="3176"/>
      <c r="B105" s="3177"/>
      <c r="C105" s="3178"/>
      <c r="D105" s="3179"/>
      <c r="E105" s="1346"/>
      <c r="F105" s="1346"/>
      <c r="G105" s="1346"/>
      <c r="H105" s="1346"/>
      <c r="I105" s="1346"/>
      <c r="J105" s="1346"/>
      <c r="K105" s="1346"/>
      <c r="L105" s="1346"/>
      <c r="M105" s="1346"/>
      <c r="N105" s="1346"/>
      <c r="O105" s="1346"/>
      <c r="P105" s="1346"/>
      <c r="Q105" s="1346"/>
      <c r="R105" s="1346"/>
      <c r="S105" s="1346"/>
      <c r="T105" s="1346"/>
      <c r="U105" s="1346"/>
      <c r="V105" s="1346"/>
      <c r="W105" s="1346"/>
      <c r="X105" s="1346"/>
      <c r="Y105" s="3214"/>
    </row>
    <row r="106" spans="1:86" ht="6.75" customHeight="1">
      <c r="L106" s="462"/>
    </row>
    <row r="107" spans="1:86" ht="18" customHeight="1">
      <c r="A107" s="1081" t="s">
        <v>282</v>
      </c>
      <c r="E107" s="228"/>
      <c r="F107" s="461"/>
      <c r="G107" s="1082"/>
      <c r="L107" s="462"/>
      <c r="Y107" s="3221"/>
      <c r="Z107" s="461"/>
      <c r="AA107" s="461"/>
      <c r="AB107" s="461"/>
      <c r="AC107" s="461"/>
      <c r="AD107" s="461"/>
      <c r="AE107" s="461"/>
      <c r="AF107" s="461"/>
      <c r="AG107" s="461"/>
      <c r="AH107" s="461"/>
      <c r="AI107" s="461"/>
      <c r="AJ107" s="461"/>
      <c r="AK107" s="461"/>
      <c r="AL107" s="461"/>
      <c r="AM107" s="461"/>
      <c r="AN107" s="461"/>
      <c r="AO107" s="461"/>
      <c r="AP107" s="461"/>
      <c r="AQ107" s="461"/>
      <c r="AR107" s="461"/>
      <c r="AS107" s="461"/>
      <c r="AT107" s="461"/>
      <c r="AU107" s="461"/>
      <c r="AV107" s="461"/>
      <c r="AW107" s="461"/>
      <c r="AX107" s="461"/>
      <c r="AY107" s="461"/>
      <c r="AZ107" s="461"/>
      <c r="BA107" s="461"/>
      <c r="BB107" s="461"/>
      <c r="BC107" s="461"/>
      <c r="BD107" s="461"/>
      <c r="BE107" s="461"/>
      <c r="BF107" s="461"/>
      <c r="BG107" s="461"/>
      <c r="BH107" s="461"/>
      <c r="BI107" s="461"/>
      <c r="BJ107" s="461"/>
      <c r="BK107" s="461"/>
      <c r="BL107" s="461"/>
      <c r="BM107" s="461"/>
      <c r="BN107" s="461"/>
      <c r="BO107" s="461"/>
      <c r="BP107" s="461"/>
      <c r="BQ107" s="461"/>
      <c r="BR107" s="461"/>
      <c r="BS107" s="461"/>
      <c r="BT107" s="461"/>
      <c r="BU107" s="461"/>
      <c r="BV107" s="461"/>
      <c r="BW107" s="461"/>
      <c r="BX107" s="461"/>
      <c r="BY107" s="461"/>
      <c r="BZ107" s="461"/>
      <c r="CA107" s="461"/>
      <c r="CB107" s="461"/>
      <c r="CC107" s="461"/>
      <c r="CD107" s="461"/>
      <c r="CE107" s="461"/>
      <c r="CF107" s="461"/>
      <c r="CG107" s="461"/>
      <c r="CH107" s="461"/>
    </row>
    <row r="108" spans="1:86">
      <c r="E108" s="228"/>
      <c r="F108" s="461"/>
      <c r="L108" s="462"/>
      <c r="Y108" s="3221"/>
    </row>
    <row r="109" spans="1:86">
      <c r="E109" s="1150"/>
      <c r="F109" s="461"/>
      <c r="L109" s="462"/>
      <c r="Y109" s="3221"/>
    </row>
    <row r="110" spans="1:86">
      <c r="E110" s="228"/>
      <c r="F110" s="461"/>
      <c r="L110" s="462"/>
      <c r="Y110" s="3221"/>
    </row>
    <row r="111" spans="1:86">
      <c r="E111" s="1150"/>
      <c r="F111" s="461"/>
      <c r="L111" s="462"/>
      <c r="Y111" s="3221"/>
    </row>
    <row r="112" spans="1:86">
      <c r="E112" s="228"/>
      <c r="F112" s="461"/>
      <c r="L112" s="462"/>
      <c r="Y112" s="3221"/>
    </row>
    <row r="113" spans="5:25">
      <c r="E113" s="1165"/>
      <c r="F113" s="461"/>
      <c r="L113" s="462"/>
      <c r="Y113" s="3221"/>
    </row>
    <row r="114" spans="5:25">
      <c r="E114" s="228"/>
      <c r="F114" s="461"/>
      <c r="L114" s="462"/>
      <c r="Y114" s="3221"/>
    </row>
    <row r="115" spans="5:25">
      <c r="E115" s="1166"/>
      <c r="F115" s="461"/>
      <c r="L115" s="462"/>
      <c r="Y115" s="3221"/>
    </row>
    <row r="116" spans="5:25">
      <c r="E116" s="228"/>
      <c r="F116" s="461"/>
      <c r="L116" s="462"/>
      <c r="Y116" s="3221"/>
    </row>
    <row r="117" spans="5:25">
      <c r="E117" s="228"/>
      <c r="F117" s="461"/>
      <c r="L117" s="462"/>
      <c r="Y117" s="3221"/>
    </row>
    <row r="118" spans="5:25">
      <c r="E118" s="228"/>
      <c r="F118" s="461"/>
      <c r="L118" s="462"/>
      <c r="Y118" s="3221"/>
    </row>
    <row r="119" spans="5:25">
      <c r="E119" s="1166"/>
      <c r="L119" s="462"/>
      <c r="Y119" s="3221"/>
    </row>
    <row r="120" spans="5:25">
      <c r="E120" s="228"/>
      <c r="L120" s="462"/>
      <c r="Y120" s="3221"/>
    </row>
    <row r="121" spans="5:25">
      <c r="E121" s="228"/>
      <c r="L121" s="462"/>
      <c r="Y121" s="3221"/>
    </row>
    <row r="122" spans="5:25">
      <c r="E122" s="228"/>
      <c r="F122" s="461"/>
      <c r="L122" s="462"/>
      <c r="Y122" s="3221"/>
    </row>
    <row r="123" spans="5:25">
      <c r="E123" s="1150"/>
      <c r="F123" s="461"/>
      <c r="L123" s="462"/>
      <c r="Y123" s="3221"/>
    </row>
    <row r="124" spans="5:25">
      <c r="E124" s="228"/>
      <c r="F124" s="461"/>
      <c r="L124" s="462"/>
      <c r="Y124" s="3221"/>
    </row>
    <row r="125" spans="5:25">
      <c r="E125" s="1150"/>
      <c r="F125" s="461"/>
      <c r="L125" s="462"/>
      <c r="Y125" s="3221"/>
    </row>
    <row r="126" spans="5:25">
      <c r="E126" s="228"/>
      <c r="F126" s="461"/>
      <c r="L126" s="462"/>
      <c r="Y126" s="3221"/>
    </row>
    <row r="127" spans="5:25">
      <c r="E127" s="1165"/>
      <c r="F127" s="461"/>
      <c r="L127" s="462"/>
      <c r="Y127" s="3221"/>
    </row>
    <row r="128" spans="5:25">
      <c r="E128" s="228"/>
      <c r="F128" s="461"/>
      <c r="L128" s="462"/>
      <c r="Y128" s="3221"/>
    </row>
    <row r="129" spans="5:25">
      <c r="E129" s="1166"/>
      <c r="F129" s="461"/>
      <c r="L129" s="462"/>
      <c r="Y129" s="3221"/>
    </row>
    <row r="130" spans="5:25">
      <c r="E130" s="228"/>
      <c r="F130" s="461"/>
      <c r="L130" s="462"/>
      <c r="Y130" s="3221"/>
    </row>
    <row r="131" spans="5:25">
      <c r="E131" s="228"/>
      <c r="F131" s="461"/>
      <c r="L131" s="462"/>
      <c r="Y131" s="3221"/>
    </row>
    <row r="132" spans="5:25">
      <c r="E132" s="228"/>
      <c r="F132" s="461"/>
      <c r="L132" s="462"/>
      <c r="Y132" s="3221"/>
    </row>
    <row r="133" spans="5:25">
      <c r="E133" s="1166"/>
      <c r="L133" s="462"/>
      <c r="Y133" s="3221"/>
    </row>
    <row r="134" spans="5:25">
      <c r="E134" s="228"/>
      <c r="L134" s="462"/>
      <c r="Y134" s="3221"/>
    </row>
    <row r="135" spans="5:25">
      <c r="E135" s="228"/>
      <c r="L135" s="462"/>
      <c r="Y135" s="3221"/>
    </row>
    <row r="136" spans="5:25">
      <c r="E136" s="228"/>
      <c r="F136" s="461"/>
      <c r="L136" s="462"/>
      <c r="Y136" s="3221"/>
    </row>
    <row r="137" spans="5:25">
      <c r="E137" s="1150"/>
      <c r="F137" s="461"/>
      <c r="L137" s="462"/>
      <c r="Y137" s="3221"/>
    </row>
    <row r="138" spans="5:25">
      <c r="E138" s="228"/>
      <c r="F138" s="461"/>
      <c r="L138" s="462"/>
      <c r="Y138" s="3221"/>
    </row>
    <row r="139" spans="5:25">
      <c r="E139" s="1150"/>
      <c r="F139" s="461"/>
      <c r="L139" s="462"/>
      <c r="Y139" s="3221"/>
    </row>
    <row r="140" spans="5:25">
      <c r="E140" s="228"/>
      <c r="F140" s="461"/>
      <c r="L140" s="462"/>
      <c r="Y140" s="3221"/>
    </row>
    <row r="141" spans="5:25">
      <c r="E141" s="1165"/>
      <c r="F141" s="461"/>
      <c r="L141" s="462"/>
      <c r="Y141" s="3221"/>
    </row>
    <row r="142" spans="5:25">
      <c r="E142" s="228"/>
      <c r="F142" s="461"/>
      <c r="L142" s="462"/>
      <c r="Y142" s="3221"/>
    </row>
    <row r="143" spans="5:25">
      <c r="E143" s="1166"/>
      <c r="F143" s="461"/>
      <c r="L143" s="462"/>
      <c r="Y143" s="3221"/>
    </row>
    <row r="144" spans="5:25">
      <c r="E144" s="228"/>
      <c r="F144" s="461"/>
      <c r="L144" s="462"/>
      <c r="Y144" s="3221"/>
    </row>
    <row r="145" spans="5:25">
      <c r="E145" s="228"/>
      <c r="F145" s="461"/>
      <c r="L145" s="462"/>
      <c r="Y145" s="3221"/>
    </row>
    <row r="146" spans="5:25">
      <c r="E146" s="228"/>
      <c r="F146" s="461"/>
      <c r="L146" s="462"/>
      <c r="Y146" s="3221"/>
    </row>
    <row r="147" spans="5:25">
      <c r="E147" s="1166"/>
      <c r="L147" s="462"/>
      <c r="Y147" s="3221"/>
    </row>
    <row r="148" spans="5:25">
      <c r="E148" s="228"/>
      <c r="L148" s="462"/>
      <c r="Y148" s="3221"/>
    </row>
    <row r="149" spans="5:25">
      <c r="E149" s="228"/>
      <c r="L149" s="462"/>
      <c r="Y149" s="3221"/>
    </row>
    <row r="150" spans="5:25">
      <c r="E150" s="228"/>
      <c r="F150" s="461"/>
      <c r="L150" s="462"/>
      <c r="Y150" s="3221"/>
    </row>
    <row r="151" spans="5:25">
      <c r="E151" s="1150"/>
      <c r="F151" s="461"/>
      <c r="L151" s="462"/>
      <c r="Y151" s="3221"/>
    </row>
    <row r="152" spans="5:25">
      <c r="E152" s="228"/>
      <c r="F152" s="461"/>
      <c r="L152" s="462"/>
      <c r="Y152" s="3221"/>
    </row>
    <row r="153" spans="5:25">
      <c r="E153" s="1150"/>
      <c r="F153" s="461"/>
      <c r="L153" s="462"/>
      <c r="Y153" s="3221"/>
    </row>
    <row r="154" spans="5:25">
      <c r="E154" s="228"/>
      <c r="F154" s="461"/>
      <c r="L154" s="462"/>
      <c r="Y154" s="3221"/>
    </row>
    <row r="155" spans="5:25">
      <c r="E155" s="1165"/>
      <c r="F155" s="461"/>
      <c r="L155" s="462"/>
      <c r="Y155" s="3221"/>
    </row>
    <row r="156" spans="5:25">
      <c r="E156" s="228"/>
      <c r="F156" s="461"/>
      <c r="L156" s="462"/>
      <c r="Y156" s="3221"/>
    </row>
    <row r="157" spans="5:25">
      <c r="E157" s="1166"/>
      <c r="F157" s="461"/>
      <c r="L157" s="462"/>
      <c r="Y157" s="3221"/>
    </row>
    <row r="158" spans="5:25">
      <c r="E158" s="228"/>
      <c r="F158" s="461"/>
      <c r="L158" s="462"/>
      <c r="Y158" s="3221"/>
    </row>
    <row r="159" spans="5:25">
      <c r="E159" s="228"/>
      <c r="F159" s="461"/>
      <c r="L159" s="462"/>
      <c r="Y159" s="3221"/>
    </row>
    <row r="160" spans="5:25">
      <c r="E160" s="228"/>
      <c r="F160" s="461"/>
      <c r="L160" s="462"/>
      <c r="Y160" s="3221"/>
    </row>
    <row r="161" spans="5:25">
      <c r="E161" s="1166"/>
      <c r="L161" s="462"/>
      <c r="Y161" s="3221"/>
    </row>
    <row r="162" spans="5:25">
      <c r="E162" s="228"/>
      <c r="L162" s="462"/>
      <c r="Y162" s="3221"/>
    </row>
    <row r="163" spans="5:25">
      <c r="E163" s="228"/>
      <c r="L163" s="462"/>
      <c r="Y163" s="3221"/>
    </row>
    <row r="164" spans="5:25">
      <c r="E164" s="228"/>
      <c r="F164" s="461"/>
      <c r="L164" s="462"/>
      <c r="Y164" s="3221"/>
    </row>
    <row r="165" spans="5:25">
      <c r="E165" s="1150"/>
      <c r="F165" s="461"/>
      <c r="L165" s="462"/>
      <c r="Y165" s="3221"/>
    </row>
    <row r="166" spans="5:25">
      <c r="E166" s="228"/>
      <c r="F166" s="461"/>
      <c r="L166" s="462"/>
      <c r="Y166" s="3221"/>
    </row>
    <row r="167" spans="5:25">
      <c r="E167" s="1150"/>
      <c r="F167" s="461"/>
      <c r="L167" s="462"/>
      <c r="Y167" s="3221"/>
    </row>
    <row r="168" spans="5:25">
      <c r="E168" s="228"/>
      <c r="F168" s="461"/>
      <c r="L168" s="462"/>
      <c r="Y168" s="3221"/>
    </row>
    <row r="169" spans="5:25">
      <c r="E169" s="1165"/>
      <c r="F169" s="461"/>
      <c r="L169" s="462"/>
      <c r="Y169" s="3221"/>
    </row>
    <row r="170" spans="5:25">
      <c r="E170" s="228"/>
      <c r="F170" s="461"/>
      <c r="L170" s="462"/>
      <c r="Y170" s="3221"/>
    </row>
    <row r="171" spans="5:25">
      <c r="E171" s="1166"/>
      <c r="F171" s="461"/>
      <c r="L171" s="462"/>
      <c r="Y171" s="3221"/>
    </row>
    <row r="172" spans="5:25">
      <c r="E172" s="228"/>
      <c r="F172" s="461"/>
      <c r="L172" s="462"/>
      <c r="Y172" s="3221"/>
    </row>
    <row r="173" spans="5:25">
      <c r="E173" s="228"/>
      <c r="F173" s="461"/>
      <c r="L173" s="462"/>
      <c r="Y173" s="3221"/>
    </row>
    <row r="174" spans="5:25">
      <c r="E174" s="228"/>
      <c r="F174" s="461"/>
      <c r="L174" s="462"/>
      <c r="Y174" s="3221"/>
    </row>
    <row r="175" spans="5:25">
      <c r="E175" s="1166"/>
      <c r="L175" s="462"/>
      <c r="Y175" s="3221"/>
    </row>
    <row r="176" spans="5:25">
      <c r="E176" s="228"/>
      <c r="L176" s="462"/>
      <c r="Y176" s="3221"/>
    </row>
    <row r="177" spans="5:25">
      <c r="E177" s="228"/>
      <c r="L177" s="462"/>
      <c r="Y177" s="3221"/>
    </row>
    <row r="178" spans="5:25">
      <c r="E178" s="228"/>
      <c r="F178" s="461"/>
      <c r="L178" s="462"/>
      <c r="Y178" s="3221"/>
    </row>
    <row r="179" spans="5:25">
      <c r="E179" s="1150"/>
      <c r="F179" s="461"/>
      <c r="L179" s="462"/>
      <c r="Y179" s="3221"/>
    </row>
    <row r="180" spans="5:25">
      <c r="E180" s="228"/>
      <c r="F180" s="461"/>
      <c r="L180" s="462"/>
      <c r="Y180" s="3221"/>
    </row>
    <row r="181" spans="5:25">
      <c r="E181" s="1150"/>
      <c r="F181" s="461"/>
      <c r="L181" s="462"/>
      <c r="Y181" s="3221"/>
    </row>
    <row r="182" spans="5:25">
      <c r="E182" s="228"/>
      <c r="F182" s="461"/>
      <c r="L182" s="462"/>
      <c r="Y182" s="3221"/>
    </row>
    <row r="183" spans="5:25">
      <c r="E183" s="1165"/>
      <c r="F183" s="461"/>
      <c r="L183" s="462"/>
      <c r="Y183" s="3221"/>
    </row>
    <row r="184" spans="5:25">
      <c r="E184" s="228"/>
      <c r="F184" s="461"/>
      <c r="L184" s="462"/>
      <c r="Y184" s="3221"/>
    </row>
    <row r="185" spans="5:25">
      <c r="E185" s="1166"/>
      <c r="F185" s="461"/>
      <c r="L185" s="462"/>
      <c r="Y185" s="3221"/>
    </row>
    <row r="186" spans="5:25">
      <c r="E186" s="228"/>
      <c r="F186" s="461"/>
      <c r="L186" s="462"/>
      <c r="Y186" s="3221"/>
    </row>
    <row r="187" spans="5:25">
      <c r="E187" s="228"/>
      <c r="F187" s="461"/>
      <c r="L187" s="462"/>
      <c r="Y187" s="3221"/>
    </row>
    <row r="188" spans="5:25">
      <c r="E188" s="228"/>
      <c r="F188" s="461"/>
      <c r="L188" s="462"/>
      <c r="Y188" s="3221"/>
    </row>
    <row r="189" spans="5:25">
      <c r="E189" s="1166"/>
      <c r="L189" s="462"/>
      <c r="Y189" s="3221"/>
    </row>
    <row r="190" spans="5:25">
      <c r="E190" s="228"/>
      <c r="L190" s="462"/>
      <c r="Y190" s="3221"/>
    </row>
    <row r="191" spans="5:25">
      <c r="E191" s="228"/>
      <c r="L191" s="462"/>
      <c r="Y191" s="3221"/>
    </row>
    <row r="192" spans="5:25">
      <c r="E192" s="228"/>
      <c r="F192" s="461"/>
      <c r="L192" s="462"/>
      <c r="Y192" s="3221"/>
    </row>
    <row r="193" spans="5:25">
      <c r="E193" s="1150"/>
      <c r="F193" s="461"/>
      <c r="L193" s="462"/>
      <c r="Y193" s="3221"/>
    </row>
    <row r="194" spans="5:25">
      <c r="E194" s="228"/>
      <c r="F194" s="461"/>
      <c r="L194" s="462"/>
      <c r="Y194" s="3221"/>
    </row>
    <row r="195" spans="5:25">
      <c r="E195" s="1150"/>
      <c r="F195" s="461"/>
      <c r="L195" s="462"/>
      <c r="Y195" s="3221"/>
    </row>
    <row r="196" spans="5:25">
      <c r="E196" s="228"/>
      <c r="F196" s="461"/>
      <c r="L196" s="462"/>
      <c r="Y196" s="3221"/>
    </row>
    <row r="197" spans="5:25">
      <c r="E197" s="1165"/>
      <c r="F197" s="461"/>
      <c r="L197" s="462"/>
      <c r="Y197" s="3221"/>
    </row>
    <row r="198" spans="5:25">
      <c r="E198" s="228"/>
      <c r="F198" s="461"/>
      <c r="L198" s="462"/>
      <c r="Y198" s="3221"/>
    </row>
    <row r="199" spans="5:25">
      <c r="E199" s="1166"/>
      <c r="F199" s="461"/>
      <c r="L199" s="462"/>
      <c r="Y199" s="3221"/>
    </row>
    <row r="200" spans="5:25">
      <c r="E200" s="228"/>
      <c r="F200" s="461"/>
      <c r="L200" s="462"/>
      <c r="Y200" s="3221"/>
    </row>
    <row r="201" spans="5:25">
      <c r="E201" s="228"/>
      <c r="F201" s="461"/>
      <c r="L201" s="462"/>
      <c r="Y201" s="3221"/>
    </row>
    <row r="202" spans="5:25">
      <c r="E202" s="228"/>
      <c r="F202" s="461"/>
      <c r="L202" s="462"/>
      <c r="Y202" s="3221"/>
    </row>
    <row r="203" spans="5:25">
      <c r="E203" s="1166"/>
      <c r="L203" s="462"/>
      <c r="Y203" s="3221"/>
    </row>
    <row r="204" spans="5:25">
      <c r="E204" s="228"/>
      <c r="L204" s="462"/>
      <c r="Y204" s="3221"/>
    </row>
    <row r="205" spans="5:25">
      <c r="E205" s="228"/>
      <c r="L205" s="462"/>
      <c r="Y205" s="3221"/>
    </row>
    <row r="206" spans="5:25">
      <c r="E206" s="228"/>
      <c r="F206" s="461"/>
      <c r="L206" s="462"/>
      <c r="Y206" s="3221"/>
    </row>
    <row r="207" spans="5:25">
      <c r="E207" s="1150"/>
      <c r="F207" s="461"/>
      <c r="L207" s="462"/>
      <c r="Y207" s="3221"/>
    </row>
    <row r="208" spans="5:25">
      <c r="E208" s="228"/>
      <c r="F208" s="461"/>
      <c r="L208" s="462"/>
      <c r="Y208" s="3221"/>
    </row>
    <row r="209" spans="5:25">
      <c r="E209" s="1150"/>
      <c r="F209" s="461"/>
      <c r="L209" s="462"/>
      <c r="Y209" s="3221"/>
    </row>
    <row r="210" spans="5:25">
      <c r="E210" s="228"/>
      <c r="F210" s="461"/>
      <c r="L210" s="462"/>
      <c r="Y210" s="3221"/>
    </row>
    <row r="211" spans="5:25">
      <c r="E211" s="1165"/>
      <c r="F211" s="461"/>
      <c r="L211" s="462"/>
      <c r="Y211" s="3221"/>
    </row>
    <row r="212" spans="5:25">
      <c r="E212" s="228"/>
      <c r="F212" s="461"/>
      <c r="L212" s="462"/>
      <c r="Y212" s="3221"/>
    </row>
    <row r="213" spans="5:25">
      <c r="E213" s="1166"/>
      <c r="F213" s="461"/>
      <c r="L213" s="462"/>
      <c r="Y213" s="3221"/>
    </row>
    <row r="214" spans="5:25">
      <c r="E214" s="228"/>
      <c r="F214" s="461"/>
      <c r="L214" s="462"/>
      <c r="Y214" s="3221"/>
    </row>
    <row r="215" spans="5:25">
      <c r="E215" s="228"/>
      <c r="F215" s="461"/>
      <c r="L215" s="462"/>
      <c r="Y215" s="3221"/>
    </row>
    <row r="216" spans="5:25">
      <c r="E216" s="228"/>
      <c r="F216" s="461"/>
      <c r="L216" s="462"/>
      <c r="Y216" s="3221"/>
    </row>
    <row r="217" spans="5:25">
      <c r="E217" s="1166"/>
      <c r="L217" s="462"/>
      <c r="Y217" s="3221"/>
    </row>
    <row r="218" spans="5:25">
      <c r="E218" s="228"/>
      <c r="L218" s="462"/>
      <c r="Y218" s="3221"/>
    </row>
    <row r="219" spans="5:25">
      <c r="E219" s="228"/>
      <c r="L219" s="462"/>
      <c r="Y219" s="3221"/>
    </row>
    <row r="220" spans="5:25">
      <c r="E220" s="228"/>
      <c r="F220" s="461"/>
      <c r="L220" s="462"/>
      <c r="Y220" s="3221"/>
    </row>
    <row r="221" spans="5:25">
      <c r="E221" s="1150"/>
      <c r="F221" s="461"/>
      <c r="L221" s="462"/>
      <c r="Y221" s="3221"/>
    </row>
    <row r="222" spans="5:25">
      <c r="E222" s="228"/>
      <c r="F222" s="461"/>
      <c r="L222" s="462"/>
      <c r="Y222" s="3221"/>
    </row>
    <row r="223" spans="5:25">
      <c r="E223" s="1150"/>
      <c r="F223" s="461"/>
      <c r="L223" s="462"/>
      <c r="Y223" s="3221"/>
    </row>
    <row r="224" spans="5:25">
      <c r="E224" s="228"/>
      <c r="F224" s="461"/>
      <c r="L224" s="462"/>
      <c r="Y224" s="3221"/>
    </row>
    <row r="225" spans="5:25">
      <c r="E225" s="1165"/>
      <c r="F225" s="461"/>
      <c r="L225" s="462"/>
      <c r="Y225" s="3221"/>
    </row>
    <row r="226" spans="5:25">
      <c r="E226" s="228"/>
      <c r="F226" s="461"/>
      <c r="L226" s="462"/>
      <c r="Y226" s="3221"/>
    </row>
    <row r="227" spans="5:25">
      <c r="E227" s="1166"/>
      <c r="F227" s="461"/>
      <c r="L227" s="462"/>
      <c r="Y227" s="3221"/>
    </row>
    <row r="228" spans="5:25">
      <c r="E228" s="228"/>
      <c r="F228" s="461"/>
      <c r="L228" s="462"/>
      <c r="Y228" s="3221"/>
    </row>
    <row r="229" spans="5:25">
      <c r="E229" s="228"/>
      <c r="F229" s="461"/>
      <c r="L229" s="462"/>
      <c r="Y229" s="3221"/>
    </row>
    <row r="230" spans="5:25">
      <c r="E230" s="228"/>
      <c r="F230" s="461"/>
      <c r="L230" s="462"/>
      <c r="Y230" s="3221"/>
    </row>
    <row r="231" spans="5:25">
      <c r="E231" s="1166"/>
      <c r="L231" s="462"/>
      <c r="Y231" s="3221"/>
    </row>
    <row r="232" spans="5:25">
      <c r="E232" s="228"/>
      <c r="L232" s="462"/>
      <c r="Y232" s="3221"/>
    </row>
    <row r="233" spans="5:25">
      <c r="E233" s="228"/>
      <c r="L233" s="462"/>
      <c r="Y233" s="3221"/>
    </row>
    <row r="234" spans="5:25">
      <c r="E234" s="228"/>
      <c r="F234" s="461"/>
      <c r="L234" s="462"/>
      <c r="Y234" s="3221"/>
    </row>
    <row r="439" spans="1:25" ht="12" thickBot="1"/>
    <row r="440" spans="1:25" ht="33.75">
      <c r="A440" s="1168"/>
      <c r="B440" s="590" t="s">
        <v>83</v>
      </c>
      <c r="C440" s="590"/>
      <c r="D440" s="1169"/>
      <c r="E440" s="1169"/>
      <c r="F440" s="1169"/>
      <c r="G440" s="1169"/>
      <c r="H440" s="1169"/>
      <c r="I440" s="1169"/>
      <c r="J440" s="1169"/>
      <c r="K440" s="1169"/>
      <c r="L440" s="1170"/>
      <c r="M440" s="1170"/>
      <c r="N440" s="1170"/>
      <c r="O440" s="1170"/>
      <c r="P440" s="1170"/>
      <c r="Q440" s="1170"/>
      <c r="R440" s="1170"/>
      <c r="S440" s="1170"/>
      <c r="T440" s="1170"/>
      <c r="U440" s="1170"/>
      <c r="V440" s="1170"/>
      <c r="W440" s="1170"/>
      <c r="X440" s="1170"/>
      <c r="Y440" s="1171"/>
    </row>
    <row r="441" spans="1:25">
      <c r="A441" s="1172"/>
      <c r="M441" s="1091"/>
      <c r="N441" s="1091"/>
      <c r="O441" s="1091"/>
      <c r="P441" s="1091"/>
      <c r="Q441" s="1091"/>
      <c r="R441" s="1091"/>
      <c r="S441" s="1091"/>
      <c r="T441" s="1091"/>
      <c r="U441" s="1091"/>
      <c r="V441" s="1091"/>
      <c r="W441" s="1091"/>
      <c r="X441" s="1091"/>
      <c r="Y441" s="1173"/>
    </row>
    <row r="442" spans="1:25">
      <c r="A442" s="1172"/>
      <c r="M442" s="1091"/>
      <c r="N442" s="1091"/>
      <c r="O442" s="1091"/>
      <c r="P442" s="1091"/>
      <c r="Q442" s="1091"/>
      <c r="R442" s="1091"/>
      <c r="S442" s="1091"/>
      <c r="T442" s="1091"/>
      <c r="U442" s="1091"/>
      <c r="V442" s="1091"/>
      <c r="W442" s="1091"/>
      <c r="X442" s="1091"/>
      <c r="Y442" s="1173"/>
    </row>
    <row r="443" spans="1:25">
      <c r="A443" s="1172"/>
      <c r="M443" s="1091"/>
      <c r="N443" s="1091"/>
      <c r="O443" s="1091"/>
      <c r="P443" s="1091"/>
      <c r="Q443" s="1091"/>
      <c r="R443" s="1091"/>
      <c r="S443" s="1091"/>
      <c r="T443" s="1091"/>
      <c r="U443" s="1091"/>
      <c r="V443" s="1091"/>
      <c r="W443" s="1091"/>
      <c r="X443" s="1091"/>
      <c r="Y443" s="1173"/>
    </row>
    <row r="444" spans="1:25">
      <c r="A444" s="1172"/>
      <c r="M444" s="1091"/>
      <c r="N444" s="1091"/>
      <c r="O444" s="1091"/>
      <c r="P444" s="1091"/>
      <c r="Q444" s="1091"/>
      <c r="R444" s="1091"/>
      <c r="S444" s="1091"/>
      <c r="T444" s="1091"/>
      <c r="U444" s="1091"/>
      <c r="V444" s="1091"/>
      <c r="W444" s="1091"/>
      <c r="X444" s="1091"/>
      <c r="Y444" s="1173"/>
    </row>
    <row r="445" spans="1:25">
      <c r="A445" s="1172"/>
      <c r="M445" s="1091"/>
      <c r="N445" s="1091"/>
      <c r="O445" s="1091"/>
      <c r="P445" s="1091"/>
      <c r="Q445" s="1091"/>
      <c r="R445" s="1091"/>
      <c r="S445" s="1091"/>
      <c r="T445" s="1091"/>
      <c r="U445" s="1091"/>
      <c r="V445" s="1091"/>
      <c r="W445" s="1091"/>
      <c r="X445" s="1091"/>
      <c r="Y445" s="1173"/>
    </row>
    <row r="446" spans="1:25">
      <c r="A446" s="1172"/>
      <c r="M446" s="1091"/>
      <c r="N446" s="1091"/>
      <c r="O446" s="1091"/>
      <c r="P446" s="1091"/>
      <c r="Q446" s="1091"/>
      <c r="R446" s="1091"/>
      <c r="S446" s="1091"/>
      <c r="T446" s="1091"/>
      <c r="U446" s="1091"/>
      <c r="V446" s="1091"/>
      <c r="W446" s="1091"/>
      <c r="X446" s="1091"/>
      <c r="Y446" s="1173"/>
    </row>
    <row r="447" spans="1:25">
      <c r="A447" s="1172"/>
      <c r="M447" s="1091"/>
      <c r="N447" s="1091"/>
      <c r="O447" s="1091"/>
      <c r="P447" s="1091"/>
      <c r="Q447" s="1091"/>
      <c r="R447" s="1091"/>
      <c r="S447" s="1091"/>
      <c r="T447" s="1091"/>
      <c r="U447" s="1091"/>
      <c r="V447" s="1091"/>
      <c r="W447" s="1091"/>
      <c r="X447" s="1091"/>
      <c r="Y447" s="1173"/>
    </row>
    <row r="448" spans="1:25">
      <c r="A448" s="1172"/>
      <c r="M448" s="1091"/>
      <c r="N448" s="1091"/>
      <c r="O448" s="1091"/>
      <c r="P448" s="1091"/>
      <c r="Q448" s="1091"/>
      <c r="R448" s="1091"/>
      <c r="S448" s="1091"/>
      <c r="T448" s="1091"/>
      <c r="U448" s="1091"/>
      <c r="V448" s="1091"/>
      <c r="W448" s="1091"/>
      <c r="X448" s="1091"/>
      <c r="Y448" s="1173"/>
    </row>
    <row r="449" spans="1:25">
      <c r="A449" s="1172"/>
      <c r="M449" s="1091"/>
      <c r="N449" s="1091"/>
      <c r="O449" s="1091"/>
      <c r="P449" s="1091"/>
      <c r="Q449" s="1091"/>
      <c r="R449" s="1091"/>
      <c r="S449" s="1091"/>
      <c r="T449" s="1091"/>
      <c r="U449" s="1091"/>
      <c r="V449" s="1091"/>
      <c r="W449" s="1091"/>
      <c r="X449" s="1091"/>
      <c r="Y449" s="1173"/>
    </row>
    <row r="450" spans="1:25">
      <c r="A450" s="1172"/>
      <c r="M450" s="1091"/>
      <c r="N450" s="1091"/>
      <c r="O450" s="1091"/>
      <c r="P450" s="1091"/>
      <c r="Q450" s="1091"/>
      <c r="R450" s="1091"/>
      <c r="S450" s="1091"/>
      <c r="T450" s="1091"/>
      <c r="U450" s="1091"/>
      <c r="V450" s="1091"/>
      <c r="W450" s="1091"/>
      <c r="X450" s="1091"/>
      <c r="Y450" s="1173"/>
    </row>
    <row r="451" spans="1:25" ht="12" thickBot="1">
      <c r="A451" s="1174"/>
      <c r="B451" s="1175"/>
      <c r="C451" s="1175"/>
      <c r="D451" s="1175"/>
      <c r="E451" s="1175"/>
      <c r="F451" s="1175"/>
      <c r="G451" s="1175"/>
      <c r="H451" s="1175"/>
      <c r="I451" s="1175"/>
      <c r="J451" s="1175"/>
      <c r="K451" s="1175"/>
      <c r="L451" s="1176"/>
      <c r="M451" s="1176"/>
      <c r="N451" s="1176"/>
      <c r="O451" s="1176"/>
      <c r="P451" s="1176"/>
      <c r="Q451" s="1176"/>
      <c r="R451" s="1176"/>
      <c r="S451" s="1176"/>
      <c r="T451" s="1176"/>
      <c r="U451" s="1176"/>
      <c r="V451" s="1176"/>
      <c r="W451" s="1176"/>
      <c r="X451" s="1176"/>
      <c r="Y451" s="1177"/>
    </row>
  </sheetData>
  <mergeCells count="59">
    <mergeCell ref="A91:A102"/>
    <mergeCell ref="Y91:Y102"/>
    <mergeCell ref="C93:C95"/>
    <mergeCell ref="C96:C97"/>
    <mergeCell ref="X98:X102"/>
    <mergeCell ref="C99:C100"/>
    <mergeCell ref="C101:C102"/>
    <mergeCell ref="A79:A90"/>
    <mergeCell ref="Y79:Y90"/>
    <mergeCell ref="C81:C83"/>
    <mergeCell ref="C84:C85"/>
    <mergeCell ref="C87:C88"/>
    <mergeCell ref="C89:C90"/>
    <mergeCell ref="X86:X90"/>
    <mergeCell ref="A67:A78"/>
    <mergeCell ref="Y67:Y78"/>
    <mergeCell ref="C69:C70"/>
    <mergeCell ref="C72:C73"/>
    <mergeCell ref="C75:C76"/>
    <mergeCell ref="C77:C78"/>
    <mergeCell ref="X74:X78"/>
    <mergeCell ref="A55:A66"/>
    <mergeCell ref="Y55:Y66"/>
    <mergeCell ref="C57:C58"/>
    <mergeCell ref="C60:C61"/>
    <mergeCell ref="C63:C64"/>
    <mergeCell ref="C65:C66"/>
    <mergeCell ref="X62:X66"/>
    <mergeCell ref="A43:A54"/>
    <mergeCell ref="Y43:Y54"/>
    <mergeCell ref="C45:C46"/>
    <mergeCell ref="C47:C49"/>
    <mergeCell ref="C51:C52"/>
    <mergeCell ref="C53:C54"/>
    <mergeCell ref="X50:X54"/>
    <mergeCell ref="Y22:Y30"/>
    <mergeCell ref="A31:A42"/>
    <mergeCell ref="Y31:Y42"/>
    <mergeCell ref="C36:C37"/>
    <mergeCell ref="C39:C40"/>
    <mergeCell ref="C41:C42"/>
    <mergeCell ref="X38:X42"/>
    <mergeCell ref="A22:A30"/>
    <mergeCell ref="X28:X30"/>
    <mergeCell ref="C33:C35"/>
    <mergeCell ref="C24:C30"/>
    <mergeCell ref="B4:B6"/>
    <mergeCell ref="C4:C6"/>
    <mergeCell ref="D4:D6"/>
    <mergeCell ref="Y4:Y6"/>
    <mergeCell ref="Y11:Y21"/>
    <mergeCell ref="C12:C16"/>
    <mergeCell ref="C18:C21"/>
    <mergeCell ref="X4:X6"/>
    <mergeCell ref="X17:X21"/>
    <mergeCell ref="M4:M5"/>
    <mergeCell ref="O4:O5"/>
    <mergeCell ref="P4:P5"/>
    <mergeCell ref="Q4:W5"/>
  </mergeCells>
  <printOptions horizontalCentered="1"/>
  <pageMargins left="0.15748031496062992" right="0.15748031496062992" top="0.47244094488188981" bottom="0.39370078740157483" header="0.15748031496062992" footer="0.15748031496062992"/>
  <pageSetup paperSize="9" scale="69" firstPageNumber="39" orientation="landscape" useFirstPageNumber="1" r:id="rId1"/>
  <headerFooter alignWithMargins="0">
    <oddHeader>&amp;C&amp;"Arial,Kursywa"Wieloletnia prognoza finansowa Województwa Zachodniopomorskiego na lata 2017 - 2038&amp;"Arial,Normalny"
______________________________________________________________________________________________________________________________________</oddHeader>
    <oddFooter>&amp;C&amp;8&amp;P</oddFooter>
  </headerFooter>
  <rowBreaks count="1" manualBreakCount="1">
    <brk id="107" max="17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</sheetPr>
  <dimension ref="A1:BX255"/>
  <sheetViews>
    <sheetView showGridLines="0" view="pageBreakPreview" zoomScaleNormal="100" zoomScaleSheetLayoutView="100" workbookViewId="0">
      <pane xSplit="3" ySplit="8" topLeftCell="D9" activePane="bottomRight" state="frozen"/>
      <selection pane="topRight" activeCell="D1" sqref="D1"/>
      <selection pane="bottomLeft" activeCell="A9" sqref="A9"/>
      <selection pane="bottomRight" activeCell="D9" sqref="D9"/>
    </sheetView>
  </sheetViews>
  <sheetFormatPr defaultColWidth="9.140625" defaultRowHeight="12" outlineLevelRow="1"/>
  <cols>
    <col min="1" max="1" width="3.7109375" style="1081" customWidth="1"/>
    <col min="2" max="2" width="57.140625" style="462" customWidth="1"/>
    <col min="3" max="3" width="9.7109375" style="462" customWidth="1"/>
    <col min="4" max="4" width="14.140625" style="462" customWidth="1"/>
    <col min="5" max="5" width="12" style="462" hidden="1" customWidth="1"/>
    <col min="6" max="6" width="11.7109375" style="462" hidden="1" customWidth="1"/>
    <col min="7" max="7" width="10.140625" style="462" hidden="1" customWidth="1"/>
    <col min="8" max="8" width="12.28515625" style="462" hidden="1" customWidth="1"/>
    <col min="9" max="10" width="10.140625" style="462" hidden="1" customWidth="1"/>
    <col min="11" max="11" width="12.5703125" style="462" hidden="1" customWidth="1"/>
    <col min="12" max="12" width="12.7109375" style="462" hidden="1" customWidth="1"/>
    <col min="13" max="13" width="12.5703125" style="462" customWidth="1"/>
    <col min="14" max="14" width="10" style="1091" hidden="1" customWidth="1"/>
    <col min="15" max="15" width="10.140625" style="462" hidden="1" customWidth="1"/>
    <col min="16" max="16" width="12.140625" style="462" customWidth="1"/>
    <col min="17" max="17" width="10.7109375" style="462" customWidth="1"/>
    <col min="18" max="21" width="10.28515625" style="462" customWidth="1"/>
    <col min="22" max="22" width="10.5703125" style="462" customWidth="1"/>
    <col min="23" max="23" width="10.140625" style="462" customWidth="1"/>
    <col min="24" max="24" width="11.7109375" style="462" customWidth="1"/>
    <col min="25" max="25" width="15.7109375" style="1085" customWidth="1"/>
    <col min="26" max="26" width="15.140625" style="462" hidden="1" customWidth="1"/>
    <col min="27" max="27" width="11.7109375" style="462" hidden="1" customWidth="1"/>
    <col min="28" max="41" width="0" style="462" hidden="1" customWidth="1"/>
    <col min="42" max="16384" width="9.140625" style="462"/>
  </cols>
  <sheetData>
    <row r="1" spans="1:76" ht="16.5" customHeight="1">
      <c r="F1" s="1082"/>
      <c r="N1" s="462"/>
      <c r="P1" s="4068"/>
      <c r="Q1" s="4068"/>
      <c r="R1" s="4068"/>
      <c r="S1" s="457" t="s">
        <v>402</v>
      </c>
      <c r="T1" s="451"/>
      <c r="U1" s="451"/>
      <c r="V1" s="451"/>
      <c r="W1" s="451"/>
      <c r="X1" s="6"/>
      <c r="Y1" s="7"/>
    </row>
    <row r="2" spans="1:76" ht="15" hidden="1" customHeight="1">
      <c r="F2" s="1082"/>
      <c r="N2" s="458"/>
      <c r="O2" s="456"/>
      <c r="P2" s="456"/>
      <c r="Q2" s="456"/>
      <c r="R2" s="456"/>
      <c r="S2" s="456"/>
      <c r="T2" s="456"/>
      <c r="U2" s="456"/>
      <c r="V2" s="456"/>
      <c r="W2" s="456"/>
      <c r="X2" s="6"/>
      <c r="Y2" s="7"/>
    </row>
    <row r="3" spans="1:76" ht="9" customHeight="1">
      <c r="D3" s="1082"/>
      <c r="F3" s="1082"/>
      <c r="N3" s="458"/>
      <c r="O3" s="458"/>
      <c r="P3" s="458"/>
      <c r="Q3" s="458"/>
      <c r="R3" s="458"/>
      <c r="S3" s="458"/>
      <c r="T3" s="458"/>
      <c r="U3" s="458"/>
      <c r="V3" s="458"/>
      <c r="W3" s="458"/>
      <c r="X3" s="6"/>
      <c r="Y3" s="7"/>
    </row>
    <row r="4" spans="1:76" s="1084" customFormat="1" ht="40.5" customHeight="1" thickBot="1">
      <c r="A4" s="4069" t="s">
        <v>289</v>
      </c>
      <c r="B4" s="4069"/>
      <c r="C4" s="4069"/>
      <c r="D4" s="4069"/>
      <c r="E4" s="4069"/>
      <c r="F4" s="4069"/>
      <c r="G4" s="4069"/>
      <c r="H4" s="4069"/>
      <c r="I4" s="4069"/>
      <c r="J4" s="4069"/>
      <c r="K4" s="4069"/>
      <c r="L4" s="4069"/>
      <c r="M4" s="4069"/>
      <c r="N4" s="4069"/>
      <c r="O4" s="4069"/>
      <c r="P4" s="4069"/>
      <c r="Q4" s="4069"/>
      <c r="R4" s="4069"/>
      <c r="S4" s="4069"/>
      <c r="T4" s="4069"/>
      <c r="U4" s="4069"/>
      <c r="V4" s="4069"/>
      <c r="W4" s="4069"/>
      <c r="X4" s="4069"/>
      <c r="Y4" s="4069"/>
      <c r="Z4" s="1083"/>
      <c r="AA4" s="1083"/>
      <c r="AB4" s="1083"/>
      <c r="AC4" s="1083"/>
      <c r="AD4" s="1083"/>
      <c r="AE4" s="1083"/>
      <c r="AF4" s="1083"/>
      <c r="AG4" s="1083"/>
      <c r="AH4" s="1083"/>
      <c r="AI4" s="1083"/>
      <c r="AJ4" s="1083"/>
      <c r="AK4" s="1083"/>
      <c r="AL4" s="1083"/>
      <c r="AM4" s="1083"/>
      <c r="AN4" s="1083"/>
      <c r="AO4" s="1083"/>
      <c r="AP4" s="1083"/>
      <c r="AQ4" s="1083"/>
      <c r="AR4" s="1083"/>
      <c r="AS4" s="1083"/>
      <c r="AT4" s="1083"/>
      <c r="AU4" s="1083"/>
      <c r="AV4" s="461"/>
      <c r="AW4" s="461"/>
      <c r="AX4" s="461"/>
      <c r="AY4" s="461"/>
      <c r="AZ4" s="461"/>
      <c r="BA4" s="461"/>
      <c r="BB4" s="461"/>
      <c r="BC4" s="461"/>
      <c r="BD4" s="461"/>
      <c r="BE4" s="461"/>
      <c r="BF4" s="461"/>
      <c r="BG4" s="461"/>
      <c r="BH4" s="461"/>
      <c r="BI4" s="461"/>
      <c r="BJ4" s="461"/>
      <c r="BK4" s="461"/>
      <c r="BL4" s="461"/>
      <c r="BM4" s="461"/>
      <c r="BN4" s="461"/>
      <c r="BO4" s="461"/>
      <c r="BP4" s="461"/>
      <c r="BQ4" s="461"/>
      <c r="BR4" s="461"/>
      <c r="BS4" s="461"/>
      <c r="BT4" s="461"/>
      <c r="BU4" s="461"/>
      <c r="BV4" s="461"/>
      <c r="BW4" s="461"/>
      <c r="BX4" s="461"/>
    </row>
    <row r="5" spans="1:76" ht="60" customHeight="1">
      <c r="A5" s="2323"/>
      <c r="B5" s="3918" t="s">
        <v>89</v>
      </c>
      <c r="C5" s="4071" t="s">
        <v>85</v>
      </c>
      <c r="D5" s="4074" t="s">
        <v>86</v>
      </c>
      <c r="E5" s="3582" t="s">
        <v>2</v>
      </c>
      <c r="F5" s="3595"/>
      <c r="G5" s="3595"/>
      <c r="H5" s="3595"/>
      <c r="I5" s="3595"/>
      <c r="J5" s="3595"/>
      <c r="K5" s="3595"/>
      <c r="L5" s="2324"/>
      <c r="M5" s="3698" t="s">
        <v>338</v>
      </c>
      <c r="N5" s="425"/>
      <c r="O5" s="3877" t="s">
        <v>347</v>
      </c>
      <c r="P5" s="3692" t="s">
        <v>494</v>
      </c>
      <c r="Q5" s="3694" t="s">
        <v>495</v>
      </c>
      <c r="R5" s="3694"/>
      <c r="S5" s="3694"/>
      <c r="T5" s="3694"/>
      <c r="U5" s="3694"/>
      <c r="V5" s="3694"/>
      <c r="W5" s="3695"/>
      <c r="X5" s="4032" t="s">
        <v>488</v>
      </c>
      <c r="Y5" s="4077" t="s">
        <v>87</v>
      </c>
      <c r="Z5" s="461"/>
      <c r="AA5" s="461"/>
      <c r="AB5" s="461"/>
      <c r="AC5" s="461"/>
      <c r="AD5" s="461"/>
      <c r="AE5" s="461"/>
      <c r="AF5" s="461"/>
      <c r="AG5" s="461"/>
      <c r="AH5" s="461"/>
      <c r="AI5" s="461"/>
      <c r="AJ5" s="461"/>
      <c r="AK5" s="461"/>
      <c r="AL5" s="461"/>
      <c r="AM5" s="461"/>
      <c r="AN5" s="461"/>
      <c r="AO5" s="461"/>
      <c r="AP5" s="461"/>
      <c r="AQ5" s="461"/>
      <c r="AR5" s="461"/>
      <c r="AS5" s="461"/>
      <c r="AT5" s="461"/>
      <c r="AU5" s="461"/>
      <c r="AV5" s="461"/>
      <c r="AW5" s="461"/>
      <c r="AX5" s="461"/>
      <c r="AY5" s="461"/>
      <c r="AZ5" s="461"/>
      <c r="BA5" s="461"/>
      <c r="BB5" s="461"/>
      <c r="BC5" s="461"/>
      <c r="BD5" s="461"/>
      <c r="BE5" s="461"/>
      <c r="BF5" s="461"/>
      <c r="BG5" s="461"/>
      <c r="BH5" s="461"/>
      <c r="BI5" s="461"/>
      <c r="BJ5" s="461"/>
      <c r="BK5" s="461"/>
      <c r="BL5" s="461"/>
      <c r="BM5" s="461"/>
      <c r="BN5" s="461"/>
      <c r="BO5" s="461"/>
      <c r="BP5" s="461"/>
      <c r="BQ5" s="461"/>
      <c r="BR5" s="461"/>
      <c r="BS5" s="461"/>
      <c r="BT5" s="461"/>
      <c r="BU5" s="461"/>
      <c r="BV5" s="461"/>
      <c r="BW5" s="461"/>
      <c r="BX5" s="461"/>
    </row>
    <row r="6" spans="1:76" ht="27" customHeight="1">
      <c r="A6" s="1630" t="s">
        <v>88</v>
      </c>
      <c r="B6" s="3919"/>
      <c r="C6" s="4072"/>
      <c r="D6" s="4075"/>
      <c r="E6" s="1631"/>
      <c r="F6" s="1632"/>
      <c r="G6" s="1632"/>
      <c r="H6" s="1632"/>
      <c r="I6" s="1632"/>
      <c r="J6" s="1632"/>
      <c r="K6" s="1632"/>
      <c r="L6" s="1633"/>
      <c r="M6" s="3700"/>
      <c r="N6" s="332"/>
      <c r="O6" s="3878"/>
      <c r="P6" s="3693"/>
      <c r="Q6" s="3696"/>
      <c r="R6" s="3696"/>
      <c r="S6" s="3696"/>
      <c r="T6" s="3696"/>
      <c r="U6" s="3696"/>
      <c r="V6" s="3696"/>
      <c r="W6" s="3697"/>
      <c r="X6" s="4033"/>
      <c r="Y6" s="4078"/>
      <c r="Z6" s="461"/>
      <c r="AA6" s="461"/>
      <c r="AB6" s="461"/>
      <c r="AC6" s="461"/>
      <c r="AD6" s="461"/>
      <c r="AE6" s="461"/>
      <c r="AF6" s="461"/>
      <c r="AG6" s="461"/>
      <c r="AH6" s="461"/>
      <c r="AI6" s="461"/>
      <c r="AJ6" s="461"/>
      <c r="AK6" s="461"/>
      <c r="AL6" s="461"/>
      <c r="AM6" s="461"/>
      <c r="AN6" s="461"/>
      <c r="AO6" s="461"/>
      <c r="AP6" s="461"/>
      <c r="AQ6" s="461"/>
      <c r="AR6" s="461"/>
      <c r="AS6" s="461"/>
      <c r="AT6" s="461"/>
      <c r="AU6" s="461"/>
      <c r="AV6" s="461"/>
      <c r="AW6" s="461"/>
      <c r="AX6" s="461"/>
      <c r="AY6" s="461"/>
      <c r="AZ6" s="461"/>
      <c r="BA6" s="461"/>
      <c r="BB6" s="461"/>
      <c r="BC6" s="461"/>
      <c r="BD6" s="461"/>
      <c r="BE6" s="461"/>
      <c r="BF6" s="461"/>
      <c r="BG6" s="461"/>
      <c r="BH6" s="461"/>
      <c r="BI6" s="461"/>
      <c r="BJ6" s="461"/>
      <c r="BK6" s="461"/>
      <c r="BL6" s="461"/>
      <c r="BM6" s="461"/>
      <c r="BN6" s="461"/>
      <c r="BO6" s="461"/>
      <c r="BP6" s="461"/>
      <c r="BQ6" s="461"/>
      <c r="BR6" s="461"/>
      <c r="BS6" s="461"/>
      <c r="BT6" s="461"/>
      <c r="BU6" s="461"/>
      <c r="BV6" s="461"/>
      <c r="BW6" s="461"/>
      <c r="BX6" s="461"/>
    </row>
    <row r="7" spans="1:76">
      <c r="A7" s="1634"/>
      <c r="B7" s="4070"/>
      <c r="C7" s="4073"/>
      <c r="D7" s="4076"/>
      <c r="E7" s="1635" t="s">
        <v>5</v>
      </c>
      <c r="F7" s="1636" t="s">
        <v>6</v>
      </c>
      <c r="G7" s="1636" t="s">
        <v>7</v>
      </c>
      <c r="H7" s="1636" t="s">
        <v>8</v>
      </c>
      <c r="I7" s="1637" t="s">
        <v>9</v>
      </c>
      <c r="J7" s="1637" t="s">
        <v>10</v>
      </c>
      <c r="K7" s="1637" t="s">
        <v>11</v>
      </c>
      <c r="L7" s="1637" t="s">
        <v>12</v>
      </c>
      <c r="M7" s="1638" t="s">
        <v>493</v>
      </c>
      <c r="N7" s="1637" t="s">
        <v>13</v>
      </c>
      <c r="O7" s="1637" t="s">
        <v>14</v>
      </c>
      <c r="P7" s="1637" t="s">
        <v>15</v>
      </c>
      <c r="Q7" s="1637" t="s">
        <v>16</v>
      </c>
      <c r="R7" s="1637" t="s">
        <v>17</v>
      </c>
      <c r="S7" s="1637" t="s">
        <v>259</v>
      </c>
      <c r="T7" s="1637" t="s">
        <v>263</v>
      </c>
      <c r="U7" s="1637" t="s">
        <v>324</v>
      </c>
      <c r="V7" s="1637" t="s">
        <v>325</v>
      </c>
      <c r="W7" s="1637" t="s">
        <v>323</v>
      </c>
      <c r="X7" s="4080"/>
      <c r="Y7" s="4079"/>
      <c r="Z7" s="461"/>
      <c r="AA7" s="461"/>
      <c r="AB7" s="461"/>
      <c r="AC7" s="461"/>
      <c r="AD7" s="461"/>
      <c r="AE7" s="461"/>
      <c r="AF7" s="461"/>
      <c r="AG7" s="461"/>
      <c r="AH7" s="461"/>
      <c r="AI7" s="461"/>
      <c r="AJ7" s="461"/>
      <c r="AK7" s="461"/>
      <c r="AL7" s="461"/>
      <c r="AM7" s="461"/>
      <c r="AN7" s="461"/>
      <c r="AO7" s="461"/>
      <c r="AP7" s="461"/>
      <c r="AQ7" s="461"/>
      <c r="AR7" s="461"/>
      <c r="AS7" s="461"/>
      <c r="AT7" s="461"/>
      <c r="AU7" s="461"/>
      <c r="AV7" s="461"/>
      <c r="AW7" s="461"/>
      <c r="AX7" s="461"/>
      <c r="AY7" s="461"/>
      <c r="AZ7" s="461"/>
      <c r="BA7" s="461"/>
      <c r="BB7" s="461"/>
      <c r="BC7" s="461"/>
      <c r="BD7" s="461"/>
      <c r="BE7" s="461"/>
      <c r="BF7" s="461"/>
      <c r="BG7" s="461"/>
      <c r="BH7" s="461"/>
      <c r="BI7" s="461"/>
      <c r="BJ7" s="461"/>
      <c r="BK7" s="461"/>
      <c r="BL7" s="461"/>
      <c r="BM7" s="461"/>
      <c r="BN7" s="461"/>
      <c r="BO7" s="461"/>
      <c r="BP7" s="461"/>
      <c r="BQ7" s="461"/>
      <c r="BR7" s="461"/>
      <c r="BS7" s="461"/>
      <c r="BT7" s="461"/>
      <c r="BU7" s="461"/>
      <c r="BV7" s="461"/>
      <c r="BW7" s="461"/>
      <c r="BX7" s="461"/>
    </row>
    <row r="8" spans="1:76">
      <c r="A8" s="1639">
        <v>1</v>
      </c>
      <c r="B8" s="1640">
        <v>2</v>
      </c>
      <c r="C8" s="1641">
        <v>3</v>
      </c>
      <c r="D8" s="1641">
        <v>4</v>
      </c>
      <c r="E8" s="1642"/>
      <c r="F8" s="1642"/>
      <c r="G8" s="1642"/>
      <c r="H8" s="1642"/>
      <c r="I8" s="1643"/>
      <c r="J8" s="1643"/>
      <c r="K8" s="1643"/>
      <c r="L8" s="1643"/>
      <c r="M8" s="1643">
        <v>5</v>
      </c>
      <c r="N8" s="1643" t="s">
        <v>326</v>
      </c>
      <c r="O8" s="1643" t="s">
        <v>326</v>
      </c>
      <c r="P8" s="1643">
        <v>6</v>
      </c>
      <c r="Q8" s="1643">
        <v>7</v>
      </c>
      <c r="R8" s="1643">
        <v>8</v>
      </c>
      <c r="S8" s="1643">
        <v>9</v>
      </c>
      <c r="T8" s="1643">
        <v>10</v>
      </c>
      <c r="U8" s="1643">
        <v>11</v>
      </c>
      <c r="V8" s="1643">
        <v>12</v>
      </c>
      <c r="W8" s="1643">
        <v>13</v>
      </c>
      <c r="X8" s="1644">
        <v>14</v>
      </c>
      <c r="Y8" s="1643">
        <v>15</v>
      </c>
      <c r="Z8" s="461"/>
      <c r="AA8" s="461"/>
      <c r="AB8" s="461"/>
      <c r="AC8" s="461"/>
      <c r="AD8" s="461"/>
      <c r="AE8" s="461"/>
      <c r="AF8" s="461"/>
      <c r="AG8" s="461"/>
      <c r="AH8" s="461"/>
      <c r="AI8" s="461"/>
      <c r="AJ8" s="461"/>
      <c r="AK8" s="461"/>
      <c r="AL8" s="461"/>
      <c r="AM8" s="461"/>
      <c r="AN8" s="461"/>
      <c r="AO8" s="461"/>
      <c r="AP8" s="461"/>
      <c r="AQ8" s="461"/>
      <c r="AR8" s="461"/>
      <c r="AS8" s="461"/>
      <c r="AT8" s="461"/>
      <c r="AU8" s="461"/>
      <c r="AV8" s="461"/>
      <c r="AW8" s="461"/>
      <c r="AX8" s="461"/>
      <c r="AY8" s="461"/>
      <c r="AZ8" s="461"/>
      <c r="BA8" s="461"/>
      <c r="BB8" s="461"/>
      <c r="BC8" s="461"/>
      <c r="BD8" s="461"/>
      <c r="BE8" s="461"/>
      <c r="BF8" s="461"/>
      <c r="BG8" s="461"/>
      <c r="BH8" s="461"/>
      <c r="BI8" s="461"/>
      <c r="BJ8" s="461"/>
      <c r="BK8" s="461"/>
      <c r="BL8" s="461"/>
      <c r="BM8" s="461"/>
      <c r="BN8" s="461"/>
      <c r="BO8" s="461"/>
      <c r="BP8" s="461"/>
      <c r="BQ8" s="461"/>
      <c r="BR8" s="461"/>
      <c r="BS8" s="461"/>
      <c r="BT8" s="461"/>
      <c r="BU8" s="461"/>
      <c r="BV8" s="461"/>
      <c r="BW8" s="461"/>
      <c r="BX8" s="461"/>
    </row>
    <row r="9" spans="1:76" s="3214" customFormat="1" ht="16.5" customHeight="1">
      <c r="A9" s="1645"/>
      <c r="B9" s="1646" t="s">
        <v>90</v>
      </c>
      <c r="C9" s="288"/>
      <c r="D9" s="289">
        <f>+D10+D11</f>
        <v>60099700</v>
      </c>
      <c r="E9" s="289">
        <f t="shared" ref="E9:R9" si="0">+E10+E11</f>
        <v>0</v>
      </c>
      <c r="F9" s="289">
        <f t="shared" si="0"/>
        <v>0</v>
      </c>
      <c r="G9" s="289">
        <f t="shared" si="0"/>
        <v>0</v>
      </c>
      <c r="H9" s="289">
        <f t="shared" si="0"/>
        <v>0</v>
      </c>
      <c r="I9" s="289">
        <f>+I10+I11</f>
        <v>0</v>
      </c>
      <c r="J9" s="289">
        <f t="shared" si="0"/>
        <v>629249</v>
      </c>
      <c r="K9" s="289">
        <f>+K10+K11</f>
        <v>5990094</v>
      </c>
      <c r="L9" s="289">
        <f t="shared" si="0"/>
        <v>4311439</v>
      </c>
      <c r="M9" s="289">
        <f>+M10+M11</f>
        <v>21064787</v>
      </c>
      <c r="N9" s="289">
        <f t="shared" si="0"/>
        <v>3104767</v>
      </c>
      <c r="O9" s="289">
        <f t="shared" si="0"/>
        <v>7029238</v>
      </c>
      <c r="P9" s="289">
        <f t="shared" si="0"/>
        <v>9098496</v>
      </c>
      <c r="Q9" s="289">
        <f t="shared" si="0"/>
        <v>10033675</v>
      </c>
      <c r="R9" s="289">
        <f t="shared" si="0"/>
        <v>6652263</v>
      </c>
      <c r="S9" s="289">
        <f t="shared" ref="S9:X9" si="1">+S10+S11</f>
        <v>3729040</v>
      </c>
      <c r="T9" s="289">
        <f t="shared" si="1"/>
        <v>2720411</v>
      </c>
      <c r="U9" s="289">
        <f t="shared" si="1"/>
        <v>2720411</v>
      </c>
      <c r="V9" s="289">
        <f t="shared" si="1"/>
        <v>2720411</v>
      </c>
      <c r="W9" s="289">
        <f t="shared" si="1"/>
        <v>1360206</v>
      </c>
      <c r="X9" s="195">
        <f t="shared" si="1"/>
        <v>29936417</v>
      </c>
      <c r="Y9" s="1647"/>
      <c r="Z9" s="468">
        <f>P9+Q9+R9+S9+T9+U9+V9+W9</f>
        <v>39034913</v>
      </c>
    </row>
    <row r="10" spans="1:76" s="3214" customFormat="1" ht="13.5" customHeight="1">
      <c r="A10" s="1648"/>
      <c r="B10" s="1646" t="s">
        <v>91</v>
      </c>
      <c r="C10" s="288"/>
      <c r="D10" s="289">
        <f t="shared" ref="D10:W10" si="2">+D35+D104+D131+D138</f>
        <v>25156056</v>
      </c>
      <c r="E10" s="289">
        <f t="shared" si="2"/>
        <v>0</v>
      </c>
      <c r="F10" s="289">
        <f t="shared" si="2"/>
        <v>0</v>
      </c>
      <c r="G10" s="289">
        <f t="shared" si="2"/>
        <v>0</v>
      </c>
      <c r="H10" s="289">
        <f t="shared" si="2"/>
        <v>0</v>
      </c>
      <c r="I10" s="289">
        <f t="shared" si="2"/>
        <v>0</v>
      </c>
      <c r="J10" s="289">
        <f t="shared" si="2"/>
        <v>0</v>
      </c>
      <c r="K10" s="289">
        <f t="shared" si="2"/>
        <v>0</v>
      </c>
      <c r="L10" s="289">
        <f t="shared" si="2"/>
        <v>0</v>
      </c>
      <c r="M10" s="289">
        <f t="shared" si="2"/>
        <v>2071007</v>
      </c>
      <c r="N10" s="289">
        <f t="shared" si="2"/>
        <v>0</v>
      </c>
      <c r="O10" s="289">
        <f t="shared" si="2"/>
        <v>2071007</v>
      </c>
      <c r="P10" s="289">
        <f t="shared" si="2"/>
        <v>3889275</v>
      </c>
      <c r="Q10" s="289">
        <f t="shared" si="2"/>
        <v>3900000</v>
      </c>
      <c r="R10" s="289">
        <f t="shared" si="2"/>
        <v>3274335</v>
      </c>
      <c r="S10" s="289">
        <f t="shared" si="2"/>
        <v>2500000</v>
      </c>
      <c r="T10" s="289">
        <f t="shared" si="2"/>
        <v>2720411</v>
      </c>
      <c r="U10" s="289">
        <f t="shared" si="2"/>
        <v>2720411</v>
      </c>
      <c r="V10" s="289">
        <f t="shared" si="2"/>
        <v>2720411</v>
      </c>
      <c r="W10" s="289">
        <f t="shared" si="2"/>
        <v>1360206</v>
      </c>
      <c r="X10" s="195">
        <f>SUM(Q10:W10)</f>
        <v>19195774</v>
      </c>
      <c r="Y10" s="1647"/>
      <c r="Z10" s="468"/>
    </row>
    <row r="11" spans="1:76" s="3214" customFormat="1" ht="13.5" customHeight="1" thickBot="1">
      <c r="A11" s="1648"/>
      <c r="B11" s="293" t="s">
        <v>20</v>
      </c>
      <c r="C11" s="1313"/>
      <c r="D11" s="291">
        <f t="shared" ref="D11:W11" si="3">D165+D69+D80+D91+D119+D54+D152</f>
        <v>34943644</v>
      </c>
      <c r="E11" s="291">
        <f t="shared" si="3"/>
        <v>0</v>
      </c>
      <c r="F11" s="291">
        <f t="shared" si="3"/>
        <v>0</v>
      </c>
      <c r="G11" s="291">
        <f t="shared" si="3"/>
        <v>0</v>
      </c>
      <c r="H11" s="291">
        <f t="shared" si="3"/>
        <v>0</v>
      </c>
      <c r="I11" s="291">
        <f t="shared" si="3"/>
        <v>0</v>
      </c>
      <c r="J11" s="291">
        <f t="shared" si="3"/>
        <v>629249</v>
      </c>
      <c r="K11" s="291">
        <f t="shared" si="3"/>
        <v>5990094</v>
      </c>
      <c r="L11" s="291">
        <f t="shared" si="3"/>
        <v>4311439</v>
      </c>
      <c r="M11" s="291">
        <f t="shared" si="3"/>
        <v>18993780</v>
      </c>
      <c r="N11" s="291">
        <f t="shared" si="3"/>
        <v>3104767</v>
      </c>
      <c r="O11" s="291">
        <f t="shared" si="3"/>
        <v>4958231</v>
      </c>
      <c r="P11" s="291">
        <f t="shared" si="3"/>
        <v>5209221</v>
      </c>
      <c r="Q11" s="291">
        <f t="shared" si="3"/>
        <v>6133675</v>
      </c>
      <c r="R11" s="291">
        <f t="shared" si="3"/>
        <v>3377928</v>
      </c>
      <c r="S11" s="291">
        <f t="shared" si="3"/>
        <v>1229040</v>
      </c>
      <c r="T11" s="291">
        <f t="shared" si="3"/>
        <v>0</v>
      </c>
      <c r="U11" s="291">
        <f t="shared" si="3"/>
        <v>0</v>
      </c>
      <c r="V11" s="291">
        <f t="shared" si="3"/>
        <v>0</v>
      </c>
      <c r="W11" s="291">
        <f t="shared" si="3"/>
        <v>0</v>
      </c>
      <c r="X11" s="197">
        <f>SUM(Q11:W11)</f>
        <v>10740643</v>
      </c>
      <c r="Y11" s="1649"/>
    </row>
    <row r="12" spans="1:76" s="1655" customFormat="1" ht="14.25" customHeight="1">
      <c r="A12" s="1650"/>
      <c r="B12" s="103" t="s">
        <v>21</v>
      </c>
      <c r="C12" s="239"/>
      <c r="D12" s="134">
        <f>+D13+D18</f>
        <v>60099700</v>
      </c>
      <c r="E12" s="302">
        <f t="shared" ref="E12:X12" si="4">+E13+E18</f>
        <v>0</v>
      </c>
      <c r="F12" s="302">
        <f>+F13+F18</f>
        <v>0</v>
      </c>
      <c r="G12" s="302">
        <f>+G13+G18</f>
        <v>0</v>
      </c>
      <c r="H12" s="302">
        <f>+H13+H18</f>
        <v>0</v>
      </c>
      <c r="I12" s="302">
        <f t="shared" si="4"/>
        <v>0</v>
      </c>
      <c r="J12" s="302">
        <f t="shared" si="4"/>
        <v>629249</v>
      </c>
      <c r="K12" s="302">
        <f>+K13+K18</f>
        <v>5990094</v>
      </c>
      <c r="L12" s="302">
        <f t="shared" si="4"/>
        <v>4311439</v>
      </c>
      <c r="M12" s="302">
        <f>+M13+M18</f>
        <v>21064787</v>
      </c>
      <c r="N12" s="302">
        <f t="shared" si="4"/>
        <v>3104767</v>
      </c>
      <c r="O12" s="302">
        <f t="shared" si="4"/>
        <v>7029238</v>
      </c>
      <c r="P12" s="302">
        <f t="shared" si="4"/>
        <v>9098496</v>
      </c>
      <c r="Q12" s="302">
        <f t="shared" si="4"/>
        <v>10033675</v>
      </c>
      <c r="R12" s="302">
        <f t="shared" si="4"/>
        <v>6652263</v>
      </c>
      <c r="S12" s="302">
        <f>+S13+S18</f>
        <v>3729040</v>
      </c>
      <c r="T12" s="302">
        <f>+T13+T18</f>
        <v>2720411</v>
      </c>
      <c r="U12" s="302">
        <f>+U13+U18</f>
        <v>2720411</v>
      </c>
      <c r="V12" s="302">
        <f>+V13+V18</f>
        <v>2720411</v>
      </c>
      <c r="W12" s="302">
        <f>+W13+W18</f>
        <v>1360206</v>
      </c>
      <c r="X12" s="1651">
        <f t="shared" si="4"/>
        <v>29936417</v>
      </c>
      <c r="Y12" s="1652"/>
      <c r="Z12" s="1653"/>
      <c r="AA12" s="557"/>
      <c r="AB12" s="1654"/>
      <c r="AC12" s="1654"/>
      <c r="AD12" s="1654"/>
      <c r="AE12" s="1654"/>
      <c r="AF12" s="1654"/>
      <c r="AG12" s="1654"/>
      <c r="AH12" s="1654"/>
      <c r="AI12" s="1654"/>
      <c r="AJ12" s="1654"/>
      <c r="AK12" s="1654"/>
      <c r="AL12" s="1654"/>
      <c r="AM12" s="1654"/>
      <c r="AN12" s="1654"/>
      <c r="AO12" s="1654"/>
      <c r="AP12" s="1654"/>
      <c r="AQ12" s="1654"/>
      <c r="AR12" s="1654"/>
      <c r="AS12" s="1654"/>
      <c r="AT12" s="1654"/>
      <c r="AU12" s="1654"/>
      <c r="AV12" s="1654"/>
      <c r="AW12" s="1654"/>
      <c r="AX12" s="1654"/>
      <c r="AY12" s="1654"/>
      <c r="AZ12" s="1654"/>
      <c r="BA12" s="1654"/>
      <c r="BB12" s="1654"/>
      <c r="BC12" s="1654"/>
      <c r="BD12" s="1654"/>
      <c r="BE12" s="1654"/>
      <c r="BF12" s="1654"/>
      <c r="BG12" s="1654"/>
      <c r="BH12" s="1654"/>
      <c r="BI12" s="1654"/>
      <c r="BJ12" s="1654"/>
      <c r="BK12" s="1654"/>
      <c r="BL12" s="1654"/>
      <c r="BM12" s="1654"/>
      <c r="BN12" s="1654"/>
      <c r="BO12" s="1654"/>
      <c r="BP12" s="1654"/>
      <c r="BQ12" s="1654"/>
      <c r="BR12" s="1654"/>
      <c r="BS12" s="1654"/>
      <c r="BT12" s="1654"/>
      <c r="BU12" s="1654"/>
      <c r="BV12" s="1654"/>
      <c r="BW12" s="1654"/>
      <c r="BX12" s="1654"/>
    </row>
    <row r="13" spans="1:76" s="346" customFormat="1" ht="14.25" customHeight="1">
      <c r="A13" s="1656"/>
      <c r="B13" s="1657" t="s">
        <v>22</v>
      </c>
      <c r="C13" s="1658"/>
      <c r="D13" s="1659">
        <f>SUM(D14:D17)</f>
        <v>25701523</v>
      </c>
      <c r="E13" s="1659">
        <f>SUM(E14:E17)</f>
        <v>0</v>
      </c>
      <c r="F13" s="1659">
        <f>SUM(F14:F17)</f>
        <v>0</v>
      </c>
      <c r="G13" s="1659">
        <f>SUM(G14:G17)</f>
        <v>0</v>
      </c>
      <c r="H13" s="1659">
        <f>SUM(H14:H17)</f>
        <v>0</v>
      </c>
      <c r="I13" s="1659">
        <f>+I14+I15+I16+I17</f>
        <v>0</v>
      </c>
      <c r="J13" s="1659">
        <f t="shared" ref="J13:X13" si="5">SUM(J14:J17)</f>
        <v>0</v>
      </c>
      <c r="K13" s="1659">
        <f t="shared" si="5"/>
        <v>3801777</v>
      </c>
      <c r="L13" s="1659">
        <f t="shared" si="5"/>
        <v>3261339</v>
      </c>
      <c r="M13" s="1659">
        <f t="shared" si="5"/>
        <v>8119592</v>
      </c>
      <c r="N13" s="1659">
        <f t="shared" si="5"/>
        <v>0</v>
      </c>
      <c r="O13" s="1659">
        <f t="shared" si="5"/>
        <v>1056476</v>
      </c>
      <c r="P13" s="1659">
        <f t="shared" si="5"/>
        <v>3453867</v>
      </c>
      <c r="Q13" s="1659">
        <f t="shared" si="5"/>
        <v>6444915</v>
      </c>
      <c r="R13" s="1659">
        <f t="shared" si="5"/>
        <v>2629912</v>
      </c>
      <c r="S13" s="1659">
        <f t="shared" si="5"/>
        <v>1590288</v>
      </c>
      <c r="T13" s="1659">
        <f t="shared" si="5"/>
        <v>989414</v>
      </c>
      <c r="U13" s="1659">
        <f t="shared" si="5"/>
        <v>989414</v>
      </c>
      <c r="V13" s="1659">
        <f t="shared" si="5"/>
        <v>989414</v>
      </c>
      <c r="W13" s="1659">
        <f t="shared" si="5"/>
        <v>494707</v>
      </c>
      <c r="X13" s="1660">
        <f t="shared" si="5"/>
        <v>14128064</v>
      </c>
      <c r="Y13" s="3219"/>
      <c r="AA13" s="3214"/>
    </row>
    <row r="14" spans="1:76" s="346" customFormat="1" ht="14.25" hidden="1" customHeight="1">
      <c r="A14" s="1661"/>
      <c r="B14" s="1662" t="s">
        <v>23</v>
      </c>
      <c r="C14" s="1663"/>
      <c r="D14" s="1664">
        <f t="shared" ref="D14:X14" si="6">+D37+D106+D121+D140+D154</f>
        <v>0</v>
      </c>
      <c r="E14" s="1664">
        <f t="shared" si="6"/>
        <v>0</v>
      </c>
      <c r="F14" s="1664">
        <f t="shared" si="6"/>
        <v>0</v>
      </c>
      <c r="G14" s="1664">
        <f t="shared" si="6"/>
        <v>0</v>
      </c>
      <c r="H14" s="1664">
        <f t="shared" si="6"/>
        <v>0</v>
      </c>
      <c r="I14" s="1664">
        <f t="shared" si="6"/>
        <v>0</v>
      </c>
      <c r="J14" s="1664">
        <f t="shared" si="6"/>
        <v>0</v>
      </c>
      <c r="K14" s="1664">
        <f t="shared" si="6"/>
        <v>0</v>
      </c>
      <c r="L14" s="1664">
        <f t="shared" si="6"/>
        <v>0</v>
      </c>
      <c r="M14" s="1664">
        <f t="shared" si="6"/>
        <v>0</v>
      </c>
      <c r="N14" s="1664">
        <f t="shared" si="6"/>
        <v>0</v>
      </c>
      <c r="O14" s="1664">
        <f t="shared" si="6"/>
        <v>0</v>
      </c>
      <c r="P14" s="1664">
        <f t="shared" si="6"/>
        <v>0</v>
      </c>
      <c r="Q14" s="1664">
        <f t="shared" si="6"/>
        <v>0</v>
      </c>
      <c r="R14" s="1664">
        <f t="shared" si="6"/>
        <v>0</v>
      </c>
      <c r="S14" s="1664">
        <f t="shared" si="6"/>
        <v>0</v>
      </c>
      <c r="T14" s="1664">
        <f t="shared" si="6"/>
        <v>0</v>
      </c>
      <c r="U14" s="1664">
        <f t="shared" si="6"/>
        <v>0</v>
      </c>
      <c r="V14" s="1664">
        <f t="shared" si="6"/>
        <v>0</v>
      </c>
      <c r="W14" s="1664">
        <f t="shared" si="6"/>
        <v>0</v>
      </c>
      <c r="X14" s="1665">
        <f t="shared" si="6"/>
        <v>0</v>
      </c>
      <c r="Y14" s="3219"/>
      <c r="Z14" s="638"/>
      <c r="AA14" s="1666"/>
    </row>
    <row r="15" spans="1:76" s="346" customFormat="1" ht="13.5" customHeight="1" outlineLevel="1">
      <c r="A15" s="1661"/>
      <c r="B15" s="1667" t="s">
        <v>24</v>
      </c>
      <c r="C15" s="1663"/>
      <c r="D15" s="1664">
        <f>D168+D38+D56+D141+D155</f>
        <v>9149279</v>
      </c>
      <c r="E15" s="1664">
        <f t="shared" ref="E15:L15" si="7">+E168+E38+E56</f>
        <v>0</v>
      </c>
      <c r="F15" s="1664">
        <f t="shared" si="7"/>
        <v>0</v>
      </c>
      <c r="G15" s="1664">
        <f t="shared" si="7"/>
        <v>0</v>
      </c>
      <c r="H15" s="1664">
        <f t="shared" si="7"/>
        <v>0</v>
      </c>
      <c r="I15" s="1664">
        <f t="shared" si="7"/>
        <v>0</v>
      </c>
      <c r="J15" s="1664">
        <f t="shared" si="7"/>
        <v>0</v>
      </c>
      <c r="K15" s="1664">
        <f t="shared" si="7"/>
        <v>0</v>
      </c>
      <c r="L15" s="1664">
        <f t="shared" si="7"/>
        <v>0</v>
      </c>
      <c r="M15" s="1664">
        <f t="shared" ref="M15:W15" si="8">M168+M38+M56+M141+M155</f>
        <v>753226</v>
      </c>
      <c r="N15" s="1664">
        <f t="shared" si="8"/>
        <v>0</v>
      </c>
      <c r="O15" s="1664">
        <f t="shared" si="8"/>
        <v>753226</v>
      </c>
      <c r="P15" s="1664">
        <f t="shared" si="8"/>
        <v>1414530</v>
      </c>
      <c r="Q15" s="1664">
        <f t="shared" si="8"/>
        <v>1418000</v>
      </c>
      <c r="R15" s="1664">
        <f t="shared" si="8"/>
        <v>1191324</v>
      </c>
      <c r="S15" s="1664">
        <f t="shared" si="8"/>
        <v>909250</v>
      </c>
      <c r="T15" s="1664">
        <f t="shared" si="8"/>
        <v>989414</v>
      </c>
      <c r="U15" s="1664">
        <f t="shared" si="8"/>
        <v>989414</v>
      </c>
      <c r="V15" s="1664">
        <f t="shared" si="8"/>
        <v>989414</v>
      </c>
      <c r="W15" s="1664">
        <f t="shared" si="8"/>
        <v>494707</v>
      </c>
      <c r="X15" s="1665">
        <f>X168+X38+X56+X141+X155</f>
        <v>6981523</v>
      </c>
      <c r="Y15" s="3219"/>
      <c r="Z15" s="638">
        <f>D15-D25</f>
        <v>0</v>
      </c>
      <c r="AA15" s="1666"/>
    </row>
    <row r="16" spans="1:76" s="346" customFormat="1" ht="12.75" hidden="1" outlineLevel="1">
      <c r="A16" s="1661"/>
      <c r="B16" s="1662" t="s">
        <v>25</v>
      </c>
      <c r="C16" s="1663"/>
      <c r="D16" s="1664">
        <f>+D39+D93+D107+D122+D57</f>
        <v>0</v>
      </c>
      <c r="E16" s="1664">
        <f t="shared" ref="E16:L16" si="9">+E39+E93+E107+E122+E57+E141+E155</f>
        <v>0</v>
      </c>
      <c r="F16" s="1664">
        <f t="shared" si="9"/>
        <v>0</v>
      </c>
      <c r="G16" s="1664">
        <f t="shared" si="9"/>
        <v>0</v>
      </c>
      <c r="H16" s="1664">
        <f t="shared" si="9"/>
        <v>0</v>
      </c>
      <c r="I16" s="1664">
        <f t="shared" si="9"/>
        <v>0</v>
      </c>
      <c r="J16" s="1664">
        <f t="shared" si="9"/>
        <v>0</v>
      </c>
      <c r="K16" s="1664">
        <f t="shared" si="9"/>
        <v>0</v>
      </c>
      <c r="L16" s="1664">
        <f t="shared" si="9"/>
        <v>0</v>
      </c>
      <c r="M16" s="1664">
        <f t="shared" ref="M16:X16" si="10">+M39+M93+M107+M122+M57</f>
        <v>0</v>
      </c>
      <c r="N16" s="1664">
        <f t="shared" si="10"/>
        <v>0</v>
      </c>
      <c r="O16" s="1664">
        <f t="shared" si="10"/>
        <v>0</v>
      </c>
      <c r="P16" s="1664">
        <f t="shared" si="10"/>
        <v>0</v>
      </c>
      <c r="Q16" s="1664">
        <f t="shared" si="10"/>
        <v>0</v>
      </c>
      <c r="R16" s="1664">
        <f t="shared" si="10"/>
        <v>0</v>
      </c>
      <c r="S16" s="1664">
        <f t="shared" si="10"/>
        <v>0</v>
      </c>
      <c r="T16" s="1664">
        <f t="shared" si="10"/>
        <v>0</v>
      </c>
      <c r="U16" s="1664">
        <f t="shared" si="10"/>
        <v>0</v>
      </c>
      <c r="V16" s="1664">
        <f t="shared" si="10"/>
        <v>0</v>
      </c>
      <c r="W16" s="1664">
        <f t="shared" si="10"/>
        <v>0</v>
      </c>
      <c r="X16" s="1665">
        <f t="shared" si="10"/>
        <v>0</v>
      </c>
      <c r="Y16" s="3219"/>
      <c r="Z16" s="638">
        <f>D16-D26</f>
        <v>0</v>
      </c>
      <c r="AA16" s="1666"/>
    </row>
    <row r="17" spans="1:27" s="346" customFormat="1" ht="14.25" customHeight="1" outlineLevel="1">
      <c r="A17" s="1661"/>
      <c r="B17" s="1662" t="s">
        <v>27</v>
      </c>
      <c r="C17" s="1668"/>
      <c r="D17" s="1664">
        <f t="shared" ref="D17:W17" si="11">+D71+D82</f>
        <v>16552244</v>
      </c>
      <c r="E17" s="1664">
        <f t="shared" si="11"/>
        <v>0</v>
      </c>
      <c r="F17" s="1664">
        <f t="shared" si="11"/>
        <v>0</v>
      </c>
      <c r="G17" s="1664">
        <f t="shared" si="11"/>
        <v>0</v>
      </c>
      <c r="H17" s="1664">
        <f t="shared" si="11"/>
        <v>0</v>
      </c>
      <c r="I17" s="1664">
        <f t="shared" si="11"/>
        <v>0</v>
      </c>
      <c r="J17" s="1664">
        <f t="shared" si="11"/>
        <v>0</v>
      </c>
      <c r="K17" s="1664">
        <f t="shared" si="11"/>
        <v>3801777</v>
      </c>
      <c r="L17" s="1664">
        <f t="shared" si="11"/>
        <v>3261339</v>
      </c>
      <c r="M17" s="1664">
        <f t="shared" si="11"/>
        <v>7366366</v>
      </c>
      <c r="N17" s="1664">
        <f t="shared" si="11"/>
        <v>0</v>
      </c>
      <c r="O17" s="1664">
        <f t="shared" si="11"/>
        <v>303250</v>
      </c>
      <c r="P17" s="1664">
        <f t="shared" si="11"/>
        <v>2039337</v>
      </c>
      <c r="Q17" s="1664">
        <f t="shared" si="11"/>
        <v>5026915</v>
      </c>
      <c r="R17" s="1664">
        <f t="shared" si="11"/>
        <v>1438588</v>
      </c>
      <c r="S17" s="1664">
        <f t="shared" si="11"/>
        <v>681038</v>
      </c>
      <c r="T17" s="1664">
        <f t="shared" si="11"/>
        <v>0</v>
      </c>
      <c r="U17" s="1664">
        <f t="shared" si="11"/>
        <v>0</v>
      </c>
      <c r="V17" s="1664">
        <f t="shared" si="11"/>
        <v>0</v>
      </c>
      <c r="W17" s="1664">
        <f t="shared" si="11"/>
        <v>0</v>
      </c>
      <c r="X17" s="1665">
        <f>+X71+X82</f>
        <v>7146541</v>
      </c>
      <c r="Y17" s="3219"/>
      <c r="Z17" s="638">
        <f>D17-D27</f>
        <v>0</v>
      </c>
      <c r="AA17" s="1666"/>
    </row>
    <row r="18" spans="1:27" s="346" customFormat="1" ht="14.25" customHeight="1" outlineLevel="1">
      <c r="A18" s="1656"/>
      <c r="B18" s="1669" t="s">
        <v>29</v>
      </c>
      <c r="C18" s="1670"/>
      <c r="D18" s="1671">
        <f>+D20+D21+D22+D19</f>
        <v>34398177</v>
      </c>
      <c r="E18" s="1671">
        <f t="shared" ref="E18:T18" si="12">+E20+E21+E22+E19</f>
        <v>0</v>
      </c>
      <c r="F18" s="1671">
        <f t="shared" si="12"/>
        <v>0</v>
      </c>
      <c r="G18" s="1671">
        <f t="shared" si="12"/>
        <v>0</v>
      </c>
      <c r="H18" s="1671">
        <f t="shared" si="12"/>
        <v>0</v>
      </c>
      <c r="I18" s="1671">
        <f t="shared" si="12"/>
        <v>0</v>
      </c>
      <c r="J18" s="1671">
        <f t="shared" si="12"/>
        <v>629249</v>
      </c>
      <c r="K18" s="1671">
        <f t="shared" si="12"/>
        <v>2188317</v>
      </c>
      <c r="L18" s="1671">
        <f t="shared" si="12"/>
        <v>1050100</v>
      </c>
      <c r="M18" s="1671">
        <f>+M20+M21+M22+M19</f>
        <v>12945195</v>
      </c>
      <c r="N18" s="1671">
        <f t="shared" si="12"/>
        <v>3104767</v>
      </c>
      <c r="O18" s="1671">
        <f t="shared" si="12"/>
        <v>5972762</v>
      </c>
      <c r="P18" s="1671">
        <f t="shared" si="12"/>
        <v>5644629</v>
      </c>
      <c r="Q18" s="1671">
        <f t="shared" si="12"/>
        <v>3588760</v>
      </c>
      <c r="R18" s="1671">
        <f t="shared" si="12"/>
        <v>4022351</v>
      </c>
      <c r="S18" s="1671">
        <f t="shared" si="12"/>
        <v>2138752</v>
      </c>
      <c r="T18" s="1671">
        <f t="shared" si="12"/>
        <v>1730997</v>
      </c>
      <c r="U18" s="1671">
        <f>+U20+U21+U22+U19</f>
        <v>1730997</v>
      </c>
      <c r="V18" s="1671">
        <f>+V20+V21+V22+V19</f>
        <v>1730997</v>
      </c>
      <c r="W18" s="1671">
        <f>+W20+W21+W22+W19</f>
        <v>865499</v>
      </c>
      <c r="X18" s="1672">
        <f>+X20+X21+X22+X19</f>
        <v>15808353</v>
      </c>
      <c r="Y18" s="3219"/>
      <c r="Z18" s="1666">
        <f>D20-D31</f>
        <v>0</v>
      </c>
      <c r="AA18" s="1666"/>
    </row>
    <row r="19" spans="1:27" s="346" customFormat="1" ht="14.25" hidden="1" customHeight="1" outlineLevel="1">
      <c r="A19" s="1656"/>
      <c r="B19" s="1662" t="s">
        <v>23</v>
      </c>
      <c r="C19" s="1658"/>
      <c r="D19" s="1664">
        <f t="shared" ref="D19:W19" si="13">+D109+D41</f>
        <v>0</v>
      </c>
      <c r="E19" s="1664">
        <f t="shared" si="13"/>
        <v>0</v>
      </c>
      <c r="F19" s="1664">
        <f t="shared" si="13"/>
        <v>0</v>
      </c>
      <c r="G19" s="1664">
        <f t="shared" si="13"/>
        <v>0</v>
      </c>
      <c r="H19" s="1664">
        <f t="shared" si="13"/>
        <v>0</v>
      </c>
      <c r="I19" s="1664">
        <f t="shared" si="13"/>
        <v>0</v>
      </c>
      <c r="J19" s="1664">
        <f t="shared" si="13"/>
        <v>0</v>
      </c>
      <c r="K19" s="1664">
        <f t="shared" si="13"/>
        <v>0</v>
      </c>
      <c r="L19" s="1664">
        <f t="shared" si="13"/>
        <v>0</v>
      </c>
      <c r="M19" s="1664">
        <f t="shared" si="13"/>
        <v>0</v>
      </c>
      <c r="N19" s="1664">
        <f t="shared" si="13"/>
        <v>0</v>
      </c>
      <c r="O19" s="1664">
        <f t="shared" si="13"/>
        <v>0</v>
      </c>
      <c r="P19" s="1664">
        <f t="shared" si="13"/>
        <v>0</v>
      </c>
      <c r="Q19" s="1664">
        <f t="shared" si="13"/>
        <v>0</v>
      </c>
      <c r="R19" s="1664">
        <f t="shared" si="13"/>
        <v>0</v>
      </c>
      <c r="S19" s="1664">
        <f t="shared" si="13"/>
        <v>0</v>
      </c>
      <c r="T19" s="1664">
        <f t="shared" si="13"/>
        <v>0</v>
      </c>
      <c r="U19" s="1664">
        <f t="shared" si="13"/>
        <v>0</v>
      </c>
      <c r="V19" s="1664">
        <f t="shared" si="13"/>
        <v>0</v>
      </c>
      <c r="W19" s="1664">
        <f t="shared" si="13"/>
        <v>0</v>
      </c>
      <c r="X19" s="1665">
        <f>+X109</f>
        <v>0</v>
      </c>
      <c r="Y19" s="3219"/>
      <c r="Z19" s="1666"/>
      <c r="AA19" s="1666"/>
    </row>
    <row r="20" spans="1:27" s="346" customFormat="1" ht="14.25" customHeight="1" outlineLevel="1">
      <c r="A20" s="1656"/>
      <c r="B20" s="1667" t="s">
        <v>32</v>
      </c>
      <c r="C20" s="1663"/>
      <c r="D20" s="1664">
        <f>D170+D42+D95+D59+D143+D157</f>
        <v>16006777</v>
      </c>
      <c r="E20" s="1664">
        <f t="shared" ref="E20:L20" si="14">E170+E42+E95+E59</f>
        <v>0</v>
      </c>
      <c r="F20" s="1664">
        <f t="shared" si="14"/>
        <v>0</v>
      </c>
      <c r="G20" s="1664">
        <f t="shared" si="14"/>
        <v>0</v>
      </c>
      <c r="H20" s="1664">
        <f t="shared" si="14"/>
        <v>0</v>
      </c>
      <c r="I20" s="1664">
        <f t="shared" si="14"/>
        <v>0</v>
      </c>
      <c r="J20" s="1664">
        <f t="shared" si="14"/>
        <v>0</v>
      </c>
      <c r="K20" s="1664">
        <f t="shared" si="14"/>
        <v>0</v>
      </c>
      <c r="L20" s="1664">
        <f t="shared" si="14"/>
        <v>0</v>
      </c>
      <c r="M20" s="1664">
        <f t="shared" ref="M20:W20" si="15">M170+M42+M95+M59+M143+M157</f>
        <v>1317781</v>
      </c>
      <c r="N20" s="1664">
        <f t="shared" si="15"/>
        <v>0</v>
      </c>
      <c r="O20" s="1664">
        <f t="shared" si="15"/>
        <v>1317781</v>
      </c>
      <c r="P20" s="1664">
        <f t="shared" si="15"/>
        <v>2474745</v>
      </c>
      <c r="Q20" s="1664">
        <f t="shared" si="15"/>
        <v>2482000</v>
      </c>
      <c r="R20" s="1664">
        <f t="shared" si="15"/>
        <v>2083011</v>
      </c>
      <c r="S20" s="1664">
        <f t="shared" si="15"/>
        <v>1590750</v>
      </c>
      <c r="T20" s="1664">
        <f t="shared" si="15"/>
        <v>1730997</v>
      </c>
      <c r="U20" s="1664">
        <f t="shared" si="15"/>
        <v>1730997</v>
      </c>
      <c r="V20" s="1664">
        <f t="shared" si="15"/>
        <v>1730997</v>
      </c>
      <c r="W20" s="1664">
        <f t="shared" si="15"/>
        <v>865499</v>
      </c>
      <c r="X20" s="1665">
        <f>X170+X42+X95+X59+X143+X157</f>
        <v>12214251</v>
      </c>
      <c r="Y20" s="3219"/>
      <c r="Z20" s="638"/>
      <c r="AA20" s="1666"/>
    </row>
    <row r="21" spans="1:27" s="346" customFormat="1" ht="14.25" hidden="1" customHeight="1" outlineLevel="1">
      <c r="A21" s="1656"/>
      <c r="B21" s="1662" t="s">
        <v>25</v>
      </c>
      <c r="C21" s="1673"/>
      <c r="D21" s="1664">
        <f>+D43+D96+D110+D124+D60</f>
        <v>0</v>
      </c>
      <c r="E21" s="1664">
        <f t="shared" ref="E21:L21" si="16">+E43+E96+E110+E124+E60+E143+E157</f>
        <v>0</v>
      </c>
      <c r="F21" s="1664">
        <f t="shared" si="16"/>
        <v>0</v>
      </c>
      <c r="G21" s="1664">
        <f t="shared" si="16"/>
        <v>0</v>
      </c>
      <c r="H21" s="1664">
        <f t="shared" si="16"/>
        <v>0</v>
      </c>
      <c r="I21" s="1664">
        <f t="shared" si="16"/>
        <v>0</v>
      </c>
      <c r="J21" s="1664">
        <f t="shared" si="16"/>
        <v>0</v>
      </c>
      <c r="K21" s="1664">
        <f t="shared" si="16"/>
        <v>0</v>
      </c>
      <c r="L21" s="1664">
        <f t="shared" si="16"/>
        <v>0</v>
      </c>
      <c r="M21" s="1664">
        <f t="shared" ref="M21:X21" si="17">+M43+M96+M110+M124+M60</f>
        <v>0</v>
      </c>
      <c r="N21" s="1664">
        <f t="shared" si="17"/>
        <v>0</v>
      </c>
      <c r="O21" s="1664">
        <f t="shared" si="17"/>
        <v>0</v>
      </c>
      <c r="P21" s="1664">
        <f t="shared" si="17"/>
        <v>0</v>
      </c>
      <c r="Q21" s="1664">
        <f t="shared" si="17"/>
        <v>0</v>
      </c>
      <c r="R21" s="1664">
        <f t="shared" si="17"/>
        <v>0</v>
      </c>
      <c r="S21" s="1664">
        <f t="shared" si="17"/>
        <v>0</v>
      </c>
      <c r="T21" s="1664">
        <f t="shared" si="17"/>
        <v>0</v>
      </c>
      <c r="U21" s="1664">
        <f t="shared" si="17"/>
        <v>0</v>
      </c>
      <c r="V21" s="1664">
        <f t="shared" si="17"/>
        <v>0</v>
      </c>
      <c r="W21" s="1664">
        <f t="shared" si="17"/>
        <v>0</v>
      </c>
      <c r="X21" s="1665">
        <f t="shared" si="17"/>
        <v>0</v>
      </c>
      <c r="Y21" s="3219"/>
      <c r="Z21" s="638"/>
      <c r="AA21" s="1666"/>
    </row>
    <row r="22" spans="1:27" s="346" customFormat="1" ht="14.25" customHeight="1" outlineLevel="1">
      <c r="A22" s="1656"/>
      <c r="B22" s="1667" t="s">
        <v>31</v>
      </c>
      <c r="C22" s="1673"/>
      <c r="D22" s="1664">
        <f t="shared" ref="D22:X22" si="18">D73+D84+D133</f>
        <v>18391400</v>
      </c>
      <c r="E22" s="1664">
        <f t="shared" si="18"/>
        <v>0</v>
      </c>
      <c r="F22" s="1664">
        <f t="shared" si="18"/>
        <v>0</v>
      </c>
      <c r="G22" s="1664">
        <f t="shared" si="18"/>
        <v>0</v>
      </c>
      <c r="H22" s="1664">
        <f t="shared" si="18"/>
        <v>0</v>
      </c>
      <c r="I22" s="1664">
        <f t="shared" si="18"/>
        <v>0</v>
      </c>
      <c r="J22" s="1664">
        <f t="shared" si="18"/>
        <v>629249</v>
      </c>
      <c r="K22" s="1664">
        <f t="shared" si="18"/>
        <v>2188317</v>
      </c>
      <c r="L22" s="1664">
        <f t="shared" si="18"/>
        <v>1050100</v>
      </c>
      <c r="M22" s="1664">
        <f t="shared" si="18"/>
        <v>11627414</v>
      </c>
      <c r="N22" s="1664">
        <f t="shared" si="18"/>
        <v>3104767</v>
      </c>
      <c r="O22" s="1664">
        <f t="shared" si="18"/>
        <v>4654981</v>
      </c>
      <c r="P22" s="1664">
        <f t="shared" si="18"/>
        <v>3169884</v>
      </c>
      <c r="Q22" s="1664">
        <f t="shared" si="18"/>
        <v>1106760</v>
      </c>
      <c r="R22" s="1664">
        <f t="shared" si="18"/>
        <v>1939340</v>
      </c>
      <c r="S22" s="1664">
        <f t="shared" si="18"/>
        <v>548002</v>
      </c>
      <c r="T22" s="1664">
        <f t="shared" si="18"/>
        <v>0</v>
      </c>
      <c r="U22" s="1664">
        <f t="shared" si="18"/>
        <v>0</v>
      </c>
      <c r="V22" s="1664">
        <f t="shared" si="18"/>
        <v>0</v>
      </c>
      <c r="W22" s="1664">
        <f t="shared" si="18"/>
        <v>0</v>
      </c>
      <c r="X22" s="1665">
        <f t="shared" si="18"/>
        <v>3594102</v>
      </c>
      <c r="Y22" s="3224"/>
      <c r="Z22" s="638"/>
      <c r="AA22" s="1666"/>
    </row>
    <row r="23" spans="1:27" s="346" customFormat="1" ht="14.25" customHeight="1" outlineLevel="1">
      <c r="A23" s="1648"/>
      <c r="B23" s="103" t="s">
        <v>33</v>
      </c>
      <c r="C23" s="116"/>
      <c r="D23" s="1674">
        <f>+D24+D30</f>
        <v>60099700</v>
      </c>
      <c r="E23" s="1674">
        <f t="shared" ref="E23:N23" si="19">+E24+E30</f>
        <v>0</v>
      </c>
      <c r="F23" s="1674">
        <f>+F24+F30</f>
        <v>0</v>
      </c>
      <c r="G23" s="1674">
        <f>+G24+G30</f>
        <v>0</v>
      </c>
      <c r="H23" s="1674">
        <f>+H24+H30</f>
        <v>0</v>
      </c>
      <c r="I23" s="1674">
        <f t="shared" si="19"/>
        <v>0</v>
      </c>
      <c r="J23" s="1674">
        <f t="shared" si="19"/>
        <v>3544011</v>
      </c>
      <c r="K23" s="1674">
        <f t="shared" si="19"/>
        <v>8207133</v>
      </c>
      <c r="L23" s="1674">
        <f t="shared" si="19"/>
        <v>6670133</v>
      </c>
      <c r="M23" s="1674">
        <f>+M24+M30</f>
        <v>20795535</v>
      </c>
      <c r="N23" s="1674">
        <f t="shared" si="19"/>
        <v>0</v>
      </c>
      <c r="O23" s="1674">
        <f t="shared" ref="O23:W23" si="20">+O24+O30</f>
        <v>2374257</v>
      </c>
      <c r="P23" s="1674">
        <f t="shared" si="20"/>
        <v>10624377</v>
      </c>
      <c r="Q23" s="1674">
        <f t="shared" si="20"/>
        <v>8400484</v>
      </c>
      <c r="R23" s="1674">
        <f t="shared" si="20"/>
        <v>3274335</v>
      </c>
      <c r="S23" s="1674">
        <f t="shared" si="20"/>
        <v>7483531</v>
      </c>
      <c r="T23" s="1674">
        <f t="shared" si="20"/>
        <v>2720411</v>
      </c>
      <c r="U23" s="1674">
        <f t="shared" si="20"/>
        <v>2720411</v>
      </c>
      <c r="V23" s="1674">
        <f t="shared" si="20"/>
        <v>2720411</v>
      </c>
      <c r="W23" s="1674">
        <f t="shared" si="20"/>
        <v>1360206</v>
      </c>
      <c r="X23" s="4085" t="s">
        <v>75</v>
      </c>
      <c r="Y23" s="3225"/>
      <c r="Z23" s="1666">
        <f>D33-D22-D19</f>
        <v>0</v>
      </c>
    </row>
    <row r="24" spans="1:27" s="346" customFormat="1" ht="14.25" customHeight="1" outlineLevel="1">
      <c r="A24" s="1656"/>
      <c r="B24" s="1657" t="s">
        <v>22</v>
      </c>
      <c r="C24" s="1658"/>
      <c r="D24" s="1659">
        <f t="shared" ref="D24:P24" si="21">SUM(D25:D29)</f>
        <v>25701523</v>
      </c>
      <c r="E24" s="1659">
        <f t="shared" si="21"/>
        <v>0</v>
      </c>
      <c r="F24" s="1659">
        <f t="shared" si="21"/>
        <v>0</v>
      </c>
      <c r="G24" s="1659">
        <f t="shared" si="21"/>
        <v>0</v>
      </c>
      <c r="H24" s="1659">
        <f t="shared" si="21"/>
        <v>0</v>
      </c>
      <c r="I24" s="1659">
        <f t="shared" si="21"/>
        <v>0</v>
      </c>
      <c r="J24" s="1659">
        <f t="shared" si="21"/>
        <v>0</v>
      </c>
      <c r="K24" s="1659">
        <f t="shared" si="21"/>
        <v>3801777</v>
      </c>
      <c r="L24" s="1659">
        <f t="shared" si="21"/>
        <v>3261339</v>
      </c>
      <c r="M24" s="1659">
        <f>SUM(M25:M29)</f>
        <v>8119593</v>
      </c>
      <c r="N24" s="1659">
        <f t="shared" si="21"/>
        <v>0</v>
      </c>
      <c r="O24" s="1659">
        <f t="shared" si="21"/>
        <v>1056476</v>
      </c>
      <c r="P24" s="1659">
        <f t="shared" si="21"/>
        <v>3453867</v>
      </c>
      <c r="Q24" s="1659">
        <f t="shared" ref="Q24:W24" si="22">SUM(Q25:Q29)</f>
        <v>4860541</v>
      </c>
      <c r="R24" s="1659">
        <f t="shared" si="22"/>
        <v>1191324</v>
      </c>
      <c r="S24" s="1659">
        <f t="shared" si="22"/>
        <v>4613250</v>
      </c>
      <c r="T24" s="1659">
        <f t="shared" si="22"/>
        <v>989414</v>
      </c>
      <c r="U24" s="1659">
        <f t="shared" si="22"/>
        <v>989414</v>
      </c>
      <c r="V24" s="1659">
        <f t="shared" si="22"/>
        <v>989414</v>
      </c>
      <c r="W24" s="1659">
        <f t="shared" si="22"/>
        <v>494707</v>
      </c>
      <c r="X24" s="4086"/>
      <c r="Y24" s="3219"/>
      <c r="Z24" s="1666"/>
    </row>
    <row r="25" spans="1:27" s="346" customFormat="1" ht="14.25" customHeight="1" outlineLevel="1">
      <c r="A25" s="1661"/>
      <c r="B25" s="1667" t="s">
        <v>24</v>
      </c>
      <c r="C25" s="1668"/>
      <c r="D25" s="1664">
        <f>+D173+D46+D63+D146+D160</f>
        <v>9149279</v>
      </c>
      <c r="E25" s="1664">
        <f t="shared" ref="E25:L25" si="23">+E173+E46+E63</f>
        <v>0</v>
      </c>
      <c r="F25" s="1664">
        <f t="shared" si="23"/>
        <v>0</v>
      </c>
      <c r="G25" s="1664">
        <f t="shared" si="23"/>
        <v>0</v>
      </c>
      <c r="H25" s="1664">
        <f t="shared" si="23"/>
        <v>0</v>
      </c>
      <c r="I25" s="1664">
        <f t="shared" si="23"/>
        <v>0</v>
      </c>
      <c r="J25" s="1664">
        <f t="shared" si="23"/>
        <v>0</v>
      </c>
      <c r="K25" s="1664">
        <f t="shared" si="23"/>
        <v>0</v>
      </c>
      <c r="L25" s="1664">
        <f t="shared" si="23"/>
        <v>0</v>
      </c>
      <c r="M25" s="1664">
        <f t="shared" ref="M25:W25" si="24">+M173+M46+M63+M146+M160</f>
        <v>753226</v>
      </c>
      <c r="N25" s="1664">
        <f t="shared" si="24"/>
        <v>0</v>
      </c>
      <c r="O25" s="1664">
        <f t="shared" si="24"/>
        <v>753226</v>
      </c>
      <c r="P25" s="1664">
        <f t="shared" si="24"/>
        <v>1414530</v>
      </c>
      <c r="Q25" s="1664">
        <f t="shared" si="24"/>
        <v>1418000</v>
      </c>
      <c r="R25" s="1664">
        <f t="shared" si="24"/>
        <v>1191324</v>
      </c>
      <c r="S25" s="1664">
        <f t="shared" si="24"/>
        <v>909250</v>
      </c>
      <c r="T25" s="1664">
        <f t="shared" si="24"/>
        <v>989414</v>
      </c>
      <c r="U25" s="1664">
        <f t="shared" si="24"/>
        <v>989414</v>
      </c>
      <c r="V25" s="1664">
        <f t="shared" si="24"/>
        <v>989414</v>
      </c>
      <c r="W25" s="1664">
        <f t="shared" si="24"/>
        <v>494707</v>
      </c>
      <c r="X25" s="4086"/>
      <c r="Y25" s="3219"/>
      <c r="Z25" s="1666">
        <f>D25-D15</f>
        <v>0</v>
      </c>
    </row>
    <row r="26" spans="1:27" s="346" customFormat="1" ht="14.25" hidden="1" customHeight="1" outlineLevel="1">
      <c r="A26" s="1661"/>
      <c r="B26" s="1662" t="s">
        <v>25</v>
      </c>
      <c r="C26" s="1663"/>
      <c r="D26" s="1664">
        <f>+D47+D99+D113+D127+D64</f>
        <v>0</v>
      </c>
      <c r="E26" s="1664">
        <f t="shared" ref="E26:L26" si="25">+E47+E99+E113+E127+E64+E146+E160</f>
        <v>0</v>
      </c>
      <c r="F26" s="1664">
        <f t="shared" si="25"/>
        <v>0</v>
      </c>
      <c r="G26" s="1664">
        <f t="shared" si="25"/>
        <v>0</v>
      </c>
      <c r="H26" s="1664">
        <f t="shared" si="25"/>
        <v>0</v>
      </c>
      <c r="I26" s="1664">
        <f t="shared" si="25"/>
        <v>0</v>
      </c>
      <c r="J26" s="1664">
        <f t="shared" si="25"/>
        <v>0</v>
      </c>
      <c r="K26" s="1664">
        <f t="shared" si="25"/>
        <v>0</v>
      </c>
      <c r="L26" s="1664">
        <f t="shared" si="25"/>
        <v>0</v>
      </c>
      <c r="M26" s="1664">
        <f t="shared" ref="M26:W26" si="26">+M47+M99+M113+M127+M64</f>
        <v>0</v>
      </c>
      <c r="N26" s="1664">
        <f t="shared" si="26"/>
        <v>0</v>
      </c>
      <c r="O26" s="1664">
        <f t="shared" si="26"/>
        <v>0</v>
      </c>
      <c r="P26" s="1664">
        <f t="shared" si="26"/>
        <v>0</v>
      </c>
      <c r="Q26" s="1664">
        <f t="shared" si="26"/>
        <v>0</v>
      </c>
      <c r="R26" s="1664">
        <f t="shared" si="26"/>
        <v>0</v>
      </c>
      <c r="S26" s="1664">
        <f t="shared" si="26"/>
        <v>0</v>
      </c>
      <c r="T26" s="1664">
        <f t="shared" si="26"/>
        <v>0</v>
      </c>
      <c r="U26" s="1664">
        <f t="shared" si="26"/>
        <v>0</v>
      </c>
      <c r="V26" s="1664">
        <f t="shared" si="26"/>
        <v>0</v>
      </c>
      <c r="W26" s="1664">
        <f t="shared" si="26"/>
        <v>0</v>
      </c>
      <c r="X26" s="4086"/>
      <c r="Y26" s="3219"/>
      <c r="Z26" s="1666">
        <f>D26-D16</f>
        <v>0</v>
      </c>
    </row>
    <row r="27" spans="1:27" s="346" customFormat="1" ht="14.25" customHeight="1" outlineLevel="1">
      <c r="A27" s="1661"/>
      <c r="B27" s="1662" t="s">
        <v>76</v>
      </c>
      <c r="C27" s="1663"/>
      <c r="D27" s="1664">
        <f t="shared" ref="D27:W27" si="27">+D76+D87</f>
        <v>16552244</v>
      </c>
      <c r="E27" s="1664">
        <f t="shared" si="27"/>
        <v>0</v>
      </c>
      <c r="F27" s="1664">
        <f t="shared" si="27"/>
        <v>0</v>
      </c>
      <c r="G27" s="1664">
        <f t="shared" si="27"/>
        <v>0</v>
      </c>
      <c r="H27" s="1664">
        <f t="shared" si="27"/>
        <v>0</v>
      </c>
      <c r="I27" s="1664">
        <f t="shared" si="27"/>
        <v>0</v>
      </c>
      <c r="J27" s="1664">
        <f t="shared" si="27"/>
        <v>0</v>
      </c>
      <c r="K27" s="1664">
        <f t="shared" si="27"/>
        <v>3801777</v>
      </c>
      <c r="L27" s="1664">
        <f t="shared" si="27"/>
        <v>3261339</v>
      </c>
      <c r="M27" s="1664">
        <f t="shared" si="27"/>
        <v>7366366</v>
      </c>
      <c r="N27" s="1664">
        <f t="shared" si="27"/>
        <v>0</v>
      </c>
      <c r="O27" s="1664">
        <f t="shared" si="27"/>
        <v>303250</v>
      </c>
      <c r="P27" s="1664">
        <f t="shared" si="27"/>
        <v>2039337</v>
      </c>
      <c r="Q27" s="1664">
        <f t="shared" si="27"/>
        <v>3442541</v>
      </c>
      <c r="R27" s="1664">
        <f t="shared" si="27"/>
        <v>0</v>
      </c>
      <c r="S27" s="1664">
        <f t="shared" si="27"/>
        <v>3704000</v>
      </c>
      <c r="T27" s="1664">
        <f t="shared" si="27"/>
        <v>0</v>
      </c>
      <c r="U27" s="1664">
        <f t="shared" si="27"/>
        <v>0</v>
      </c>
      <c r="V27" s="1664">
        <f t="shared" si="27"/>
        <v>0</v>
      </c>
      <c r="W27" s="1664">
        <f t="shared" si="27"/>
        <v>0</v>
      </c>
      <c r="X27" s="4086"/>
      <c r="Y27" s="3219"/>
      <c r="Z27" s="1666">
        <f>D27-D17</f>
        <v>0</v>
      </c>
    </row>
    <row r="28" spans="1:27" s="346" customFormat="1" ht="14.25" hidden="1" customHeight="1" outlineLevel="1">
      <c r="A28" s="1661"/>
      <c r="B28" s="1662" t="s">
        <v>36</v>
      </c>
      <c r="C28" s="1663"/>
      <c r="D28" s="1664">
        <f t="shared" ref="D28:W28" si="28">+D114+D48</f>
        <v>0</v>
      </c>
      <c r="E28" s="1664">
        <f t="shared" si="28"/>
        <v>0</v>
      </c>
      <c r="F28" s="1664">
        <f t="shared" si="28"/>
        <v>0</v>
      </c>
      <c r="G28" s="1664">
        <f t="shared" si="28"/>
        <v>0</v>
      </c>
      <c r="H28" s="1664">
        <f t="shared" si="28"/>
        <v>0</v>
      </c>
      <c r="I28" s="1664">
        <f t="shared" si="28"/>
        <v>0</v>
      </c>
      <c r="J28" s="1664">
        <f t="shared" si="28"/>
        <v>0</v>
      </c>
      <c r="K28" s="1664">
        <f t="shared" si="28"/>
        <v>0</v>
      </c>
      <c r="L28" s="1664">
        <f t="shared" si="28"/>
        <v>0</v>
      </c>
      <c r="M28" s="1664">
        <f t="shared" si="28"/>
        <v>0</v>
      </c>
      <c r="N28" s="1664">
        <f t="shared" si="28"/>
        <v>0</v>
      </c>
      <c r="O28" s="1664">
        <f t="shared" si="28"/>
        <v>0</v>
      </c>
      <c r="P28" s="1664">
        <f t="shared" si="28"/>
        <v>0</v>
      </c>
      <c r="Q28" s="1664">
        <f t="shared" si="28"/>
        <v>0</v>
      </c>
      <c r="R28" s="1664">
        <f t="shared" si="28"/>
        <v>0</v>
      </c>
      <c r="S28" s="1664">
        <f t="shared" si="28"/>
        <v>0</v>
      </c>
      <c r="T28" s="1664">
        <f t="shared" si="28"/>
        <v>0</v>
      </c>
      <c r="U28" s="1664">
        <f t="shared" si="28"/>
        <v>0</v>
      </c>
      <c r="V28" s="1664">
        <f t="shared" si="28"/>
        <v>0</v>
      </c>
      <c r="W28" s="1664">
        <f t="shared" si="28"/>
        <v>0</v>
      </c>
      <c r="X28" s="4086"/>
      <c r="Y28" s="3219"/>
    </row>
    <row r="29" spans="1:27" s="346" customFormat="1" ht="12.75" hidden="1" customHeight="1" outlineLevel="1">
      <c r="A29" s="1661"/>
      <c r="B29" s="1675" t="s">
        <v>23</v>
      </c>
      <c r="C29" s="1676"/>
      <c r="D29" s="1677">
        <v>0</v>
      </c>
      <c r="E29" s="1677">
        <v>0</v>
      </c>
      <c r="F29" s="1677">
        <v>0</v>
      </c>
      <c r="G29" s="1677">
        <v>0</v>
      </c>
      <c r="H29" s="1677">
        <v>0</v>
      </c>
      <c r="I29" s="1677">
        <v>0</v>
      </c>
      <c r="J29" s="1677">
        <v>0</v>
      </c>
      <c r="K29" s="1677">
        <v>0</v>
      </c>
      <c r="L29" s="1677">
        <v>0</v>
      </c>
      <c r="M29" s="1677">
        <v>1</v>
      </c>
      <c r="N29" s="1677">
        <v>0</v>
      </c>
      <c r="O29" s="1677">
        <v>0</v>
      </c>
      <c r="P29" s="1677">
        <v>0</v>
      </c>
      <c r="Q29" s="1677">
        <v>0</v>
      </c>
      <c r="R29" s="1677"/>
      <c r="S29" s="1677"/>
      <c r="T29" s="1677"/>
      <c r="U29" s="1677"/>
      <c r="V29" s="1677"/>
      <c r="W29" s="1677"/>
      <c r="X29" s="4086"/>
      <c r="Y29" s="3219"/>
    </row>
    <row r="30" spans="1:27" s="346" customFormat="1" ht="14.25" customHeight="1" outlineLevel="1">
      <c r="A30" s="1656"/>
      <c r="B30" s="1669" t="s">
        <v>29</v>
      </c>
      <c r="C30" s="1678"/>
      <c r="D30" s="1671">
        <f>+D31+D33+D32</f>
        <v>34398177</v>
      </c>
      <c r="E30" s="1671">
        <f>+E31+E33+E32</f>
        <v>0</v>
      </c>
      <c r="F30" s="1671">
        <f>+F31+F33+F32</f>
        <v>0</v>
      </c>
      <c r="G30" s="1671">
        <f>+G31+G33+G32</f>
        <v>0</v>
      </c>
      <c r="H30" s="1671">
        <f>+H31+H33+H32</f>
        <v>0</v>
      </c>
      <c r="I30" s="1671">
        <f t="shared" ref="I30:P30" si="29">SUM(I31:I33)</f>
        <v>0</v>
      </c>
      <c r="J30" s="1671">
        <f t="shared" si="29"/>
        <v>3544011</v>
      </c>
      <c r="K30" s="1671">
        <f t="shared" si="29"/>
        <v>4405356</v>
      </c>
      <c r="L30" s="1671">
        <f t="shared" si="29"/>
        <v>3408794</v>
      </c>
      <c r="M30" s="1671">
        <f>SUM(M31:M33)</f>
        <v>12675942</v>
      </c>
      <c r="N30" s="1671">
        <f t="shared" si="29"/>
        <v>0</v>
      </c>
      <c r="O30" s="1671">
        <f t="shared" si="29"/>
        <v>1317781</v>
      </c>
      <c r="P30" s="1671">
        <f t="shared" si="29"/>
        <v>7170510</v>
      </c>
      <c r="Q30" s="1671">
        <f t="shared" ref="Q30:W30" si="30">SUM(Q31:Q33)</f>
        <v>3539943</v>
      </c>
      <c r="R30" s="1671">
        <f t="shared" si="30"/>
        <v>2083011</v>
      </c>
      <c r="S30" s="1671">
        <f t="shared" si="30"/>
        <v>2870281</v>
      </c>
      <c r="T30" s="1671">
        <f t="shared" si="30"/>
        <v>1730997</v>
      </c>
      <c r="U30" s="1671">
        <f t="shared" si="30"/>
        <v>1730997</v>
      </c>
      <c r="V30" s="1671">
        <f t="shared" si="30"/>
        <v>1730997</v>
      </c>
      <c r="W30" s="1671">
        <f t="shared" si="30"/>
        <v>865499</v>
      </c>
      <c r="X30" s="4086"/>
      <c r="Y30" s="3219"/>
    </row>
    <row r="31" spans="1:27" s="346" customFormat="1" ht="14.25" customHeight="1" outlineLevel="1">
      <c r="A31" s="1661"/>
      <c r="B31" s="1667" t="s">
        <v>32</v>
      </c>
      <c r="C31" s="1679"/>
      <c r="D31" s="1664">
        <f>D176+D101+D50+D66+D149+D163</f>
        <v>16006777</v>
      </c>
      <c r="E31" s="1664">
        <f t="shared" ref="E31:L31" si="31">E176+E101+E50+E66</f>
        <v>0</v>
      </c>
      <c r="F31" s="1664">
        <f t="shared" si="31"/>
        <v>0</v>
      </c>
      <c r="G31" s="1664">
        <f t="shared" si="31"/>
        <v>0</v>
      </c>
      <c r="H31" s="1664">
        <f t="shared" si="31"/>
        <v>0</v>
      </c>
      <c r="I31" s="1664">
        <f t="shared" si="31"/>
        <v>0</v>
      </c>
      <c r="J31" s="1664">
        <f t="shared" si="31"/>
        <v>0</v>
      </c>
      <c r="K31" s="1664">
        <f t="shared" si="31"/>
        <v>0</v>
      </c>
      <c r="L31" s="1664">
        <f t="shared" si="31"/>
        <v>0</v>
      </c>
      <c r="M31" s="1664">
        <f t="shared" ref="M31:W31" si="32">M176+M101+M50+M66+M149+M163</f>
        <v>1317781</v>
      </c>
      <c r="N31" s="1664">
        <f t="shared" si="32"/>
        <v>0</v>
      </c>
      <c r="O31" s="1664">
        <f t="shared" si="32"/>
        <v>1317781</v>
      </c>
      <c r="P31" s="1664">
        <f t="shared" si="32"/>
        <v>2474745</v>
      </c>
      <c r="Q31" s="1664">
        <f t="shared" si="32"/>
        <v>2482000</v>
      </c>
      <c r="R31" s="1664">
        <f t="shared" si="32"/>
        <v>2083011</v>
      </c>
      <c r="S31" s="1664">
        <f t="shared" si="32"/>
        <v>1590750</v>
      </c>
      <c r="T31" s="1664">
        <f t="shared" si="32"/>
        <v>1730997</v>
      </c>
      <c r="U31" s="1664">
        <f t="shared" si="32"/>
        <v>1730997</v>
      </c>
      <c r="V31" s="1664">
        <f t="shared" si="32"/>
        <v>1730997</v>
      </c>
      <c r="W31" s="1664">
        <f t="shared" si="32"/>
        <v>865499</v>
      </c>
      <c r="X31" s="4086"/>
      <c r="Y31" s="3219"/>
      <c r="Z31" s="1666">
        <f>D31-D20</f>
        <v>0</v>
      </c>
    </row>
    <row r="32" spans="1:27" s="346" customFormat="1" ht="14.25" hidden="1" customHeight="1" outlineLevel="1">
      <c r="A32" s="1661"/>
      <c r="B32" s="1662" t="s">
        <v>25</v>
      </c>
      <c r="C32" s="1679"/>
      <c r="D32" s="1664">
        <f>+D51+D102+D116+D129+D67</f>
        <v>0</v>
      </c>
      <c r="E32" s="1664">
        <f t="shared" ref="E32:L32" si="33">+E51+E102+E116+E129+E67+E149+E163</f>
        <v>0</v>
      </c>
      <c r="F32" s="1664">
        <f t="shared" si="33"/>
        <v>0</v>
      </c>
      <c r="G32" s="1664">
        <f t="shared" si="33"/>
        <v>0</v>
      </c>
      <c r="H32" s="1664">
        <f t="shared" si="33"/>
        <v>0</v>
      </c>
      <c r="I32" s="1664">
        <f t="shared" si="33"/>
        <v>0</v>
      </c>
      <c r="J32" s="1664">
        <f t="shared" si="33"/>
        <v>0</v>
      </c>
      <c r="K32" s="1664">
        <f t="shared" si="33"/>
        <v>0</v>
      </c>
      <c r="L32" s="1664">
        <f t="shared" si="33"/>
        <v>0</v>
      </c>
      <c r="M32" s="1664">
        <f t="shared" ref="M32:W32" si="34">+M51+M102+M116+M129+M67</f>
        <v>0</v>
      </c>
      <c r="N32" s="1664">
        <f t="shared" si="34"/>
        <v>0</v>
      </c>
      <c r="O32" s="1664">
        <f t="shared" si="34"/>
        <v>0</v>
      </c>
      <c r="P32" s="1664">
        <f t="shared" si="34"/>
        <v>0</v>
      </c>
      <c r="Q32" s="1664">
        <f t="shared" si="34"/>
        <v>0</v>
      </c>
      <c r="R32" s="1664">
        <f t="shared" si="34"/>
        <v>0</v>
      </c>
      <c r="S32" s="1664">
        <f t="shared" si="34"/>
        <v>0</v>
      </c>
      <c r="T32" s="1664">
        <f t="shared" si="34"/>
        <v>0</v>
      </c>
      <c r="U32" s="1664">
        <f t="shared" si="34"/>
        <v>0</v>
      </c>
      <c r="V32" s="1664">
        <f t="shared" si="34"/>
        <v>0</v>
      </c>
      <c r="W32" s="1664">
        <f t="shared" si="34"/>
        <v>0</v>
      </c>
      <c r="X32" s="4086"/>
      <c r="Y32" s="3219"/>
      <c r="Z32" s="1666">
        <f>D32-D21</f>
        <v>0</v>
      </c>
      <c r="AA32" s="1666"/>
    </row>
    <row r="33" spans="1:26" s="346" customFormat="1" ht="14.25" customHeight="1" collapsed="1" thickBot="1">
      <c r="A33" s="1680"/>
      <c r="B33" s="1681" t="s">
        <v>31</v>
      </c>
      <c r="C33" s="1682"/>
      <c r="D33" s="1683">
        <f t="shared" ref="D33:W33" si="35">+D78+D89+D117+D52+D136</f>
        <v>18391400</v>
      </c>
      <c r="E33" s="1683">
        <f t="shared" si="35"/>
        <v>0</v>
      </c>
      <c r="F33" s="1683">
        <f t="shared" si="35"/>
        <v>0</v>
      </c>
      <c r="G33" s="1683">
        <f t="shared" si="35"/>
        <v>0</v>
      </c>
      <c r="H33" s="1683">
        <f t="shared" si="35"/>
        <v>0</v>
      </c>
      <c r="I33" s="1683">
        <f t="shared" si="35"/>
        <v>0</v>
      </c>
      <c r="J33" s="1683">
        <f t="shared" si="35"/>
        <v>3544011</v>
      </c>
      <c r="K33" s="1683">
        <f t="shared" si="35"/>
        <v>4405356</v>
      </c>
      <c r="L33" s="1683">
        <f t="shared" si="35"/>
        <v>3408794</v>
      </c>
      <c r="M33" s="1683">
        <f t="shared" si="35"/>
        <v>11358161</v>
      </c>
      <c r="N33" s="1683">
        <f t="shared" si="35"/>
        <v>0</v>
      </c>
      <c r="O33" s="1683">
        <f t="shared" si="35"/>
        <v>0</v>
      </c>
      <c r="P33" s="1683">
        <f t="shared" si="35"/>
        <v>4695765</v>
      </c>
      <c r="Q33" s="1683">
        <f t="shared" si="35"/>
        <v>1057943</v>
      </c>
      <c r="R33" s="1683">
        <f t="shared" si="35"/>
        <v>0</v>
      </c>
      <c r="S33" s="1683">
        <f t="shared" si="35"/>
        <v>1279531</v>
      </c>
      <c r="T33" s="1683">
        <f t="shared" si="35"/>
        <v>0</v>
      </c>
      <c r="U33" s="1683">
        <f t="shared" si="35"/>
        <v>0</v>
      </c>
      <c r="V33" s="1683">
        <f t="shared" si="35"/>
        <v>0</v>
      </c>
      <c r="W33" s="1683">
        <f t="shared" si="35"/>
        <v>0</v>
      </c>
      <c r="X33" s="4087"/>
      <c r="Y33" s="3220"/>
      <c r="Z33" s="1666">
        <f>D33-D22-D19</f>
        <v>0</v>
      </c>
    </row>
    <row r="34" spans="1:26" s="243" customFormat="1" hidden="1">
      <c r="A34" s="4081"/>
      <c r="B34" s="1684"/>
      <c r="C34" s="1685" t="s">
        <v>125</v>
      </c>
      <c r="D34" s="1685"/>
      <c r="E34" s="1686"/>
      <c r="F34" s="1686"/>
      <c r="G34" s="1686"/>
      <c r="H34" s="1686"/>
      <c r="I34" s="1687"/>
      <c r="J34" s="1687"/>
      <c r="K34" s="1687"/>
      <c r="L34" s="1687"/>
      <c r="M34" s="1687"/>
      <c r="N34" s="1687"/>
      <c r="O34" s="1687"/>
      <c r="P34" s="1687"/>
      <c r="Q34" s="1687"/>
      <c r="R34" s="1687"/>
      <c r="S34" s="1687"/>
      <c r="T34" s="1687"/>
      <c r="U34" s="1687"/>
      <c r="V34" s="1687"/>
      <c r="W34" s="1687"/>
      <c r="X34" s="1688"/>
      <c r="Y34" s="4066" t="s">
        <v>200</v>
      </c>
    </row>
    <row r="35" spans="1:26" s="243" customFormat="1" ht="14.25" hidden="1" customHeight="1">
      <c r="A35" s="4081"/>
      <c r="B35" s="1049" t="s">
        <v>21</v>
      </c>
      <c r="C35" s="1689"/>
      <c r="D35" s="1690">
        <f>+D36+D40</f>
        <v>0</v>
      </c>
      <c r="E35" s="1691">
        <f>+E36+E40</f>
        <v>0</v>
      </c>
      <c r="F35" s="1691"/>
      <c r="G35" s="1691"/>
      <c r="H35" s="1691">
        <f t="shared" ref="H35:O35" si="36">+H36+H40</f>
        <v>0</v>
      </c>
      <c r="I35" s="1691">
        <f t="shared" si="36"/>
        <v>0</v>
      </c>
      <c r="J35" s="1691">
        <f t="shared" si="36"/>
        <v>0</v>
      </c>
      <c r="K35" s="1691">
        <f t="shared" si="36"/>
        <v>0</v>
      </c>
      <c r="L35" s="1692">
        <f t="shared" si="36"/>
        <v>0</v>
      </c>
      <c r="M35" s="1691">
        <f>+M36+M40</f>
        <v>0</v>
      </c>
      <c r="N35" s="1691">
        <f t="shared" si="36"/>
        <v>0</v>
      </c>
      <c r="O35" s="1691">
        <f t="shared" si="36"/>
        <v>0</v>
      </c>
      <c r="P35" s="1691"/>
      <c r="Q35" s="1691"/>
      <c r="R35" s="1691"/>
      <c r="S35" s="1691"/>
      <c r="T35" s="1691"/>
      <c r="U35" s="1691"/>
      <c r="V35" s="1691"/>
      <c r="W35" s="1691"/>
      <c r="X35" s="1693">
        <f>+X36+X40</f>
        <v>0</v>
      </c>
      <c r="Y35" s="4066"/>
    </row>
    <row r="36" spans="1:26" s="243" customFormat="1" ht="12.95" hidden="1" customHeight="1">
      <c r="A36" s="4081"/>
      <c r="B36" s="1694" t="s">
        <v>22</v>
      </c>
      <c r="C36" s="4083"/>
      <c r="D36" s="1695">
        <f t="shared" ref="D36:O36" si="37">+D37+D39+D38</f>
        <v>0</v>
      </c>
      <c r="E36" s="1695">
        <f t="shared" si="37"/>
        <v>0</v>
      </c>
      <c r="F36" s="1695">
        <f t="shared" si="37"/>
        <v>0</v>
      </c>
      <c r="G36" s="1695">
        <f t="shared" si="37"/>
        <v>0</v>
      </c>
      <c r="H36" s="1695">
        <f t="shared" si="37"/>
        <v>0</v>
      </c>
      <c r="I36" s="1695">
        <f t="shared" si="37"/>
        <v>0</v>
      </c>
      <c r="J36" s="1695">
        <f t="shared" si="37"/>
        <v>0</v>
      </c>
      <c r="K36" s="1695">
        <f t="shared" si="37"/>
        <v>0</v>
      </c>
      <c r="L36" s="1696">
        <f t="shared" si="37"/>
        <v>0</v>
      </c>
      <c r="M36" s="1697">
        <f>+M37+M39+M38</f>
        <v>0</v>
      </c>
      <c r="N36" s="1695">
        <f t="shared" si="37"/>
        <v>0</v>
      </c>
      <c r="O36" s="1695">
        <f t="shared" si="37"/>
        <v>0</v>
      </c>
      <c r="P36" s="1695"/>
      <c r="Q36" s="1695"/>
      <c r="R36" s="1695"/>
      <c r="S36" s="1695"/>
      <c r="T36" s="1695"/>
      <c r="U36" s="1695"/>
      <c r="V36" s="1695"/>
      <c r="W36" s="1695"/>
      <c r="X36" s="1698">
        <f>+X37+X39+X38</f>
        <v>0</v>
      </c>
      <c r="Y36" s="4066"/>
    </row>
    <row r="37" spans="1:26" s="243" customFormat="1" ht="12.95" hidden="1" customHeight="1">
      <c r="A37" s="4081"/>
      <c r="B37" s="1699" t="s">
        <v>23</v>
      </c>
      <c r="C37" s="4083"/>
      <c r="D37" s="1700">
        <f>M37+O37+P37+Q37+R37+S37+T37</f>
        <v>0</v>
      </c>
      <c r="E37" s="1701"/>
      <c r="F37" s="1701"/>
      <c r="G37" s="1701"/>
      <c r="H37" s="1701"/>
      <c r="I37" s="1701"/>
      <c r="J37" s="1701"/>
      <c r="K37" s="1701">
        <v>0</v>
      </c>
      <c r="L37" s="1702">
        <v>0</v>
      </c>
      <c r="M37" s="1701">
        <f>E37+I37+J37+K37+L37+N37</f>
        <v>0</v>
      </c>
      <c r="N37" s="1701"/>
      <c r="O37" s="1701">
        <v>0</v>
      </c>
      <c r="P37" s="1701"/>
      <c r="Q37" s="1701"/>
      <c r="R37" s="1701"/>
      <c r="S37" s="1701"/>
      <c r="T37" s="1701"/>
      <c r="U37" s="1701"/>
      <c r="V37" s="1701"/>
      <c r="W37" s="1701"/>
      <c r="X37" s="1703">
        <f>SUM(P37:T37)</f>
        <v>0</v>
      </c>
      <c r="Y37" s="4066"/>
      <c r="Z37" s="1704"/>
    </row>
    <row r="38" spans="1:26" s="493" customFormat="1" ht="12.95" hidden="1" customHeight="1">
      <c r="A38" s="4081"/>
      <c r="B38" s="1705" t="s">
        <v>24</v>
      </c>
      <c r="C38" s="4083"/>
      <c r="D38" s="1700">
        <f>M38+O38+P38+Q38+R38+S38+T38</f>
        <v>0</v>
      </c>
      <c r="E38" s="1701">
        <v>0</v>
      </c>
      <c r="F38" s="1701"/>
      <c r="G38" s="1701"/>
      <c r="H38" s="1701"/>
      <c r="I38" s="1701">
        <v>0</v>
      </c>
      <c r="J38" s="1701"/>
      <c r="K38" s="1701"/>
      <c r="L38" s="1702"/>
      <c r="M38" s="1701">
        <f>E38+I38+J38+K38+L38+N38</f>
        <v>0</v>
      </c>
      <c r="N38" s="1701"/>
      <c r="O38" s="1701"/>
      <c r="P38" s="1701"/>
      <c r="Q38" s="1701"/>
      <c r="R38" s="1701"/>
      <c r="S38" s="1701"/>
      <c r="T38" s="1701"/>
      <c r="U38" s="1701"/>
      <c r="V38" s="1701"/>
      <c r="W38" s="1701"/>
      <c r="X38" s="1703">
        <f>SUM(P38:T38)</f>
        <v>0</v>
      </c>
      <c r="Y38" s="4066"/>
      <c r="Z38" s="500"/>
    </row>
    <row r="39" spans="1:26" s="493" customFormat="1" ht="12.95" hidden="1" customHeight="1">
      <c r="A39" s="4081"/>
      <c r="B39" s="1699" t="s">
        <v>25</v>
      </c>
      <c r="C39" s="4083"/>
      <c r="D39" s="1700">
        <f>M39+O39+P39+Q39+R39+S39+T39</f>
        <v>0</v>
      </c>
      <c r="E39" s="1706"/>
      <c r="F39" s="1706"/>
      <c r="G39" s="1706"/>
      <c r="H39" s="1706"/>
      <c r="I39" s="1701"/>
      <c r="J39" s="1701">
        <v>0</v>
      </c>
      <c r="K39" s="1701">
        <v>0</v>
      </c>
      <c r="L39" s="1702">
        <v>0</v>
      </c>
      <c r="M39" s="1701">
        <f>E39+I39+J39+K39+L39+N39</f>
        <v>0</v>
      </c>
      <c r="N39" s="1701">
        <v>0</v>
      </c>
      <c r="O39" s="1701">
        <v>0</v>
      </c>
      <c r="P39" s="1701"/>
      <c r="Q39" s="1701"/>
      <c r="R39" s="1701"/>
      <c r="S39" s="1701"/>
      <c r="T39" s="1701"/>
      <c r="U39" s="1701"/>
      <c r="V39" s="1701"/>
      <c r="W39" s="1701"/>
      <c r="X39" s="1703">
        <f>SUM(P39:T39)</f>
        <v>0</v>
      </c>
      <c r="Y39" s="4066"/>
    </row>
    <row r="40" spans="1:26" s="243" customFormat="1" ht="12.95" hidden="1" customHeight="1">
      <c r="A40" s="4081"/>
      <c r="B40" s="1707" t="s">
        <v>29</v>
      </c>
      <c r="C40" s="4083"/>
      <c r="D40" s="1695">
        <f>D42+D43+D41</f>
        <v>0</v>
      </c>
      <c r="E40" s="1695">
        <f>E42+E43+E41</f>
        <v>0</v>
      </c>
      <c r="F40" s="1695">
        <f t="shared" ref="F40:O40" si="38">F42+F43+F41</f>
        <v>0</v>
      </c>
      <c r="G40" s="1695">
        <f t="shared" si="38"/>
        <v>0</v>
      </c>
      <c r="H40" s="1695">
        <f t="shared" si="38"/>
        <v>0</v>
      </c>
      <c r="I40" s="1695">
        <f t="shared" si="38"/>
        <v>0</v>
      </c>
      <c r="J40" s="1695">
        <f t="shared" si="38"/>
        <v>0</v>
      </c>
      <c r="K40" s="1695">
        <f t="shared" si="38"/>
        <v>0</v>
      </c>
      <c r="L40" s="1696">
        <f t="shared" si="38"/>
        <v>0</v>
      </c>
      <c r="M40" s="1697">
        <f t="shared" si="38"/>
        <v>0</v>
      </c>
      <c r="N40" s="1695">
        <f t="shared" si="38"/>
        <v>0</v>
      </c>
      <c r="O40" s="1695">
        <f t="shared" si="38"/>
        <v>0</v>
      </c>
      <c r="P40" s="1695"/>
      <c r="Q40" s="1695"/>
      <c r="R40" s="1695"/>
      <c r="S40" s="1695"/>
      <c r="T40" s="1695"/>
      <c r="U40" s="1695"/>
      <c r="V40" s="1695"/>
      <c r="W40" s="1695"/>
      <c r="X40" s="1698">
        <f>X42+X43+X41</f>
        <v>0</v>
      </c>
      <c r="Y40" s="4066"/>
    </row>
    <row r="41" spans="1:26" s="243" customFormat="1" ht="12.95" hidden="1" customHeight="1">
      <c r="A41" s="4081"/>
      <c r="B41" s="1699" t="s">
        <v>23</v>
      </c>
      <c r="C41" s="4083"/>
      <c r="D41" s="1700">
        <f>M41+O41+P41+Q41+R41+S41+T41</f>
        <v>0</v>
      </c>
      <c r="E41" s="1701"/>
      <c r="F41" s="1701"/>
      <c r="G41" s="1701"/>
      <c r="H41" s="1701"/>
      <c r="I41" s="1701"/>
      <c r="J41" s="1283">
        <v>0</v>
      </c>
      <c r="K41" s="1283">
        <v>0</v>
      </c>
      <c r="L41" s="1708"/>
      <c r="M41" s="1701">
        <f>E41+I41+J41+K41+L41+N41</f>
        <v>0</v>
      </c>
      <c r="N41" s="1709"/>
      <c r="O41" s="2220">
        <v>0</v>
      </c>
      <c r="P41" s="1697"/>
      <c r="Q41" s="1695"/>
      <c r="R41" s="1695"/>
      <c r="S41" s="1695"/>
      <c r="T41" s="1695"/>
      <c r="U41" s="1695"/>
      <c r="V41" s="1695"/>
      <c r="W41" s="1695"/>
      <c r="X41" s="1703">
        <f>SUM(P41:T41)</f>
        <v>0</v>
      </c>
      <c r="Y41" s="4066"/>
    </row>
    <row r="42" spans="1:26" s="243" customFormat="1" ht="12.95" hidden="1" customHeight="1">
      <c r="A42" s="4081"/>
      <c r="B42" s="1699" t="s">
        <v>32</v>
      </c>
      <c r="C42" s="4083"/>
      <c r="D42" s="1700">
        <f>M42+O42+P42+Q42+R42+S42+T42</f>
        <v>0</v>
      </c>
      <c r="E42" s="1706">
        <v>0</v>
      </c>
      <c r="F42" s="1706"/>
      <c r="G42" s="1706"/>
      <c r="H42" s="1706"/>
      <c r="I42" s="1701">
        <v>0</v>
      </c>
      <c r="J42" s="1710"/>
      <c r="K42" s="1710"/>
      <c r="L42" s="1711"/>
      <c r="M42" s="1701">
        <f>E42+I42+J42+K42+L42+N42</f>
        <v>0</v>
      </c>
      <c r="N42" s="1710"/>
      <c r="O42" s="1710"/>
      <c r="P42" s="1697"/>
      <c r="Q42" s="1697"/>
      <c r="R42" s="1697"/>
      <c r="S42" s="1697"/>
      <c r="T42" s="1697"/>
      <c r="U42" s="1697"/>
      <c r="V42" s="1697"/>
      <c r="W42" s="1697"/>
      <c r="X42" s="1703">
        <f>SUM(P42:T42)</f>
        <v>0</v>
      </c>
      <c r="Y42" s="4066"/>
    </row>
    <row r="43" spans="1:26" s="243" customFormat="1" ht="12.95" hidden="1" customHeight="1">
      <c r="A43" s="4081"/>
      <c r="B43" s="1699" t="s">
        <v>25</v>
      </c>
      <c r="C43" s="4083"/>
      <c r="D43" s="1700">
        <f>M43+O43+P43+Q43+R43+S43+T43</f>
        <v>0</v>
      </c>
      <c r="E43" s="1701"/>
      <c r="F43" s="1701"/>
      <c r="G43" s="1701"/>
      <c r="H43" s="1701"/>
      <c r="I43" s="1701"/>
      <c r="J43" s="1701">
        <v>0</v>
      </c>
      <c r="K43" s="1701">
        <v>0</v>
      </c>
      <c r="L43" s="1702">
        <v>0</v>
      </c>
      <c r="M43" s="1701">
        <f>E43+I43+J43+K43+L43+N43</f>
        <v>0</v>
      </c>
      <c r="N43" s="1701">
        <v>0</v>
      </c>
      <c r="O43" s="1701">
        <v>0</v>
      </c>
      <c r="P43" s="1701"/>
      <c r="Q43" s="1701"/>
      <c r="R43" s="1701"/>
      <c r="S43" s="1701"/>
      <c r="T43" s="1701"/>
      <c r="U43" s="1701"/>
      <c r="V43" s="1701"/>
      <c r="W43" s="1701"/>
      <c r="X43" s="1703">
        <f>SUM(P43:T43)</f>
        <v>0</v>
      </c>
      <c r="Y43" s="4066"/>
      <c r="Z43" s="1704"/>
    </row>
    <row r="44" spans="1:26" s="243" customFormat="1" ht="12.95" hidden="1" customHeight="1">
      <c r="A44" s="4081"/>
      <c r="B44" s="1049" t="s">
        <v>33</v>
      </c>
      <c r="C44" s="1689"/>
      <c r="D44" s="1691">
        <f>+D45+D49</f>
        <v>0</v>
      </c>
      <c r="E44" s="1691">
        <f>+E45+E49</f>
        <v>0</v>
      </c>
      <c r="F44" s="1691"/>
      <c r="G44" s="1691"/>
      <c r="H44" s="1691">
        <f t="shared" ref="H44:O44" si="39">+H45+H49</f>
        <v>0</v>
      </c>
      <c r="I44" s="1691">
        <f t="shared" si="39"/>
        <v>0</v>
      </c>
      <c r="J44" s="1691">
        <f t="shared" si="39"/>
        <v>0</v>
      </c>
      <c r="K44" s="1691">
        <f t="shared" si="39"/>
        <v>0</v>
      </c>
      <c r="L44" s="1692">
        <f t="shared" si="39"/>
        <v>0</v>
      </c>
      <c r="M44" s="1691">
        <f>+M45+M49</f>
        <v>0</v>
      </c>
      <c r="N44" s="1691">
        <f t="shared" si="39"/>
        <v>0</v>
      </c>
      <c r="O44" s="1691">
        <f t="shared" si="39"/>
        <v>0</v>
      </c>
      <c r="P44" s="1691"/>
      <c r="Q44" s="1691"/>
      <c r="R44" s="1691"/>
      <c r="S44" s="1691"/>
      <c r="T44" s="1691"/>
      <c r="U44" s="1691"/>
      <c r="V44" s="1691"/>
      <c r="W44" s="1691"/>
      <c r="X44" s="3820" t="s">
        <v>75</v>
      </c>
      <c r="Y44" s="4066"/>
    </row>
    <row r="45" spans="1:26" s="243" customFormat="1" ht="12.95" hidden="1" customHeight="1">
      <c r="A45" s="4081"/>
      <c r="B45" s="1694" t="s">
        <v>22</v>
      </c>
      <c r="C45" s="4083"/>
      <c r="D45" s="1697">
        <f>D46+D47+D48</f>
        <v>0</v>
      </c>
      <c r="E45" s="1697">
        <f t="shared" ref="E45:O45" si="40">E46+E47+E48</f>
        <v>0</v>
      </c>
      <c r="F45" s="1697">
        <f t="shared" si="40"/>
        <v>0</v>
      </c>
      <c r="G45" s="1697">
        <f t="shared" si="40"/>
        <v>0</v>
      </c>
      <c r="H45" s="1697">
        <f t="shared" si="40"/>
        <v>0</v>
      </c>
      <c r="I45" s="1697">
        <f t="shared" si="40"/>
        <v>0</v>
      </c>
      <c r="J45" s="1697">
        <f t="shared" si="40"/>
        <v>0</v>
      </c>
      <c r="K45" s="1697">
        <f t="shared" si="40"/>
        <v>0</v>
      </c>
      <c r="L45" s="1712">
        <f t="shared" si="40"/>
        <v>0</v>
      </c>
      <c r="M45" s="1697">
        <f>M46+M47+M48</f>
        <v>0</v>
      </c>
      <c r="N45" s="1697">
        <f t="shared" si="40"/>
        <v>0</v>
      </c>
      <c r="O45" s="1697">
        <f t="shared" si="40"/>
        <v>0</v>
      </c>
      <c r="P45" s="1697"/>
      <c r="Q45" s="1697"/>
      <c r="R45" s="1697"/>
      <c r="S45" s="1697"/>
      <c r="T45" s="1697"/>
      <c r="U45" s="1697"/>
      <c r="V45" s="1697"/>
      <c r="W45" s="1697"/>
      <c r="X45" s="3820"/>
      <c r="Y45" s="4066"/>
    </row>
    <row r="46" spans="1:26" s="243" customFormat="1" ht="12.95" hidden="1" customHeight="1">
      <c r="A46" s="4081"/>
      <c r="B46" s="1705" t="s">
        <v>24</v>
      </c>
      <c r="C46" s="4083"/>
      <c r="D46" s="1700">
        <f>M46+O46+P46+Q46+R46+S46+T46</f>
        <v>0</v>
      </c>
      <c r="E46" s="1283">
        <v>0</v>
      </c>
      <c r="F46" s="1283"/>
      <c r="G46" s="1283"/>
      <c r="H46" s="1283"/>
      <c r="I46" s="1713">
        <v>0</v>
      </c>
      <c r="J46" s="1701"/>
      <c r="K46" s="1710"/>
      <c r="L46" s="1702"/>
      <c r="M46" s="1701">
        <f>E46+I46+J46+K46+L46+N46</f>
        <v>0</v>
      </c>
      <c r="N46" s="1710"/>
      <c r="O46" s="1710"/>
      <c r="P46" s="1697"/>
      <c r="Q46" s="1697"/>
      <c r="R46" s="1697"/>
      <c r="S46" s="1697"/>
      <c r="T46" s="1697"/>
      <c r="U46" s="1697"/>
      <c r="V46" s="1697"/>
      <c r="W46" s="1697"/>
      <c r="X46" s="3820"/>
      <c r="Y46" s="4066"/>
    </row>
    <row r="47" spans="1:26" s="243" customFormat="1" ht="12.95" hidden="1" customHeight="1">
      <c r="A47" s="4081"/>
      <c r="B47" s="1699" t="s">
        <v>25</v>
      </c>
      <c r="C47" s="4083"/>
      <c r="D47" s="1700">
        <f>M47+O47+P47+Q47+R47+S47+T47</f>
        <v>0</v>
      </c>
      <c r="E47" s="1706"/>
      <c r="F47" s="1706"/>
      <c r="G47" s="1706"/>
      <c r="H47" s="1706"/>
      <c r="I47" s="1701"/>
      <c r="J47" s="1701">
        <v>0</v>
      </c>
      <c r="K47" s="1701">
        <v>0</v>
      </c>
      <c r="L47" s="1702">
        <v>0</v>
      </c>
      <c r="M47" s="1701"/>
      <c r="N47" s="1701">
        <v>0</v>
      </c>
      <c r="O47" s="1701">
        <v>0</v>
      </c>
      <c r="P47" s="1701"/>
      <c r="Q47" s="1701"/>
      <c r="R47" s="1701"/>
      <c r="S47" s="1701"/>
      <c r="T47" s="1701"/>
      <c r="U47" s="1701"/>
      <c r="V47" s="1701"/>
      <c r="W47" s="1701"/>
      <c r="X47" s="3820"/>
      <c r="Y47" s="4066"/>
    </row>
    <row r="48" spans="1:26" s="243" customFormat="1" ht="12.75" hidden="1" customHeight="1">
      <c r="A48" s="4081"/>
      <c r="B48" s="1699" t="s">
        <v>36</v>
      </c>
      <c r="C48" s="4083"/>
      <c r="D48" s="1700">
        <f>M48+O48+P48+Q48+R48+S48+T48</f>
        <v>0</v>
      </c>
      <c r="E48" s="1706">
        <v>0</v>
      </c>
      <c r="F48" s="1706"/>
      <c r="G48" s="1706"/>
      <c r="H48" s="1706"/>
      <c r="I48" s="1701">
        <v>0</v>
      </c>
      <c r="J48" s="1701">
        <v>0</v>
      </c>
      <c r="K48" s="1701"/>
      <c r="L48" s="1702">
        <v>0</v>
      </c>
      <c r="M48" s="1701">
        <f>E48+I48+J48+K48+L48+N48</f>
        <v>0</v>
      </c>
      <c r="N48" s="1701">
        <v>0</v>
      </c>
      <c r="O48" s="1701"/>
      <c r="P48" s="1701"/>
      <c r="Q48" s="1701"/>
      <c r="R48" s="1701"/>
      <c r="S48" s="1701"/>
      <c r="T48" s="1701"/>
      <c r="U48" s="1701"/>
      <c r="V48" s="1701"/>
      <c r="W48" s="1701"/>
      <c r="X48" s="3820"/>
      <c r="Y48" s="4066"/>
    </row>
    <row r="49" spans="1:25" s="243" customFormat="1" ht="12.75" hidden="1" customHeight="1">
      <c r="A49" s="4081"/>
      <c r="B49" s="1707" t="s">
        <v>29</v>
      </c>
      <c r="C49" s="4083"/>
      <c r="D49" s="1697">
        <f>D50+D51+D52</f>
        <v>0</v>
      </c>
      <c r="E49" s="1697">
        <f t="shared" ref="E49:O49" si="41">E50+E51+E52</f>
        <v>0</v>
      </c>
      <c r="F49" s="1697">
        <f t="shared" si="41"/>
        <v>0</v>
      </c>
      <c r="G49" s="1697">
        <f t="shared" si="41"/>
        <v>0</v>
      </c>
      <c r="H49" s="1697">
        <f t="shared" si="41"/>
        <v>0</v>
      </c>
      <c r="I49" s="1697">
        <f t="shared" si="41"/>
        <v>0</v>
      </c>
      <c r="J49" s="1697">
        <f t="shared" si="41"/>
        <v>0</v>
      </c>
      <c r="K49" s="1697">
        <f t="shared" si="41"/>
        <v>0</v>
      </c>
      <c r="L49" s="1712">
        <f t="shared" si="41"/>
        <v>0</v>
      </c>
      <c r="M49" s="1697">
        <f t="shared" si="41"/>
        <v>0</v>
      </c>
      <c r="N49" s="1697">
        <f t="shared" si="41"/>
        <v>0</v>
      </c>
      <c r="O49" s="1697">
        <f t="shared" si="41"/>
        <v>0</v>
      </c>
      <c r="P49" s="1697"/>
      <c r="Q49" s="1697"/>
      <c r="R49" s="1697"/>
      <c r="S49" s="1697"/>
      <c r="T49" s="1697"/>
      <c r="U49" s="1697"/>
      <c r="V49" s="1697"/>
      <c r="W49" s="1697"/>
      <c r="X49" s="3820"/>
      <c r="Y49" s="4066"/>
    </row>
    <row r="50" spans="1:25" s="243" customFormat="1" ht="12.95" hidden="1" customHeight="1">
      <c r="A50" s="4081"/>
      <c r="B50" s="1705" t="s">
        <v>32</v>
      </c>
      <c r="C50" s="4083"/>
      <c r="D50" s="1700">
        <f>M50+O50+P50+Q50+R50+S50+T50</f>
        <v>0</v>
      </c>
      <c r="E50" s="1695">
        <v>0</v>
      </c>
      <c r="F50" s="1695"/>
      <c r="G50" s="1695"/>
      <c r="H50" s="1695"/>
      <c r="I50" s="1697">
        <v>0</v>
      </c>
      <c r="J50" s="1710"/>
      <c r="K50" s="1710"/>
      <c r="L50" s="1711"/>
      <c r="M50" s="1701">
        <f>E50+I50+J50+K50+L50+N50</f>
        <v>0</v>
      </c>
      <c r="N50" s="1710"/>
      <c r="O50" s="1710"/>
      <c r="P50" s="1697"/>
      <c r="Q50" s="1697"/>
      <c r="R50" s="1697"/>
      <c r="S50" s="1697"/>
      <c r="T50" s="1697"/>
      <c r="U50" s="1697"/>
      <c r="V50" s="1697"/>
      <c r="W50" s="1697"/>
      <c r="X50" s="3820"/>
      <c r="Y50" s="4066"/>
    </row>
    <row r="51" spans="1:25" s="243" customFormat="1" ht="12.95" hidden="1" customHeight="1">
      <c r="A51" s="4081"/>
      <c r="B51" s="1699" t="s">
        <v>25</v>
      </c>
      <c r="C51" s="4083"/>
      <c r="D51" s="1700">
        <f>M51+O51+P51+Q51+R51+S51+T51</f>
        <v>0</v>
      </c>
      <c r="E51" s="1706"/>
      <c r="F51" s="1706"/>
      <c r="G51" s="1706"/>
      <c r="H51" s="1706"/>
      <c r="I51" s="1701"/>
      <c r="J51" s="1701">
        <v>0</v>
      </c>
      <c r="K51" s="1701">
        <v>0</v>
      </c>
      <c r="L51" s="1701">
        <v>0</v>
      </c>
      <c r="M51" s="1701">
        <f>E51+I51+J51+K51+L51+N51</f>
        <v>0</v>
      </c>
      <c r="N51" s="1701">
        <v>0</v>
      </c>
      <c r="O51" s="1701">
        <v>0</v>
      </c>
      <c r="P51" s="1701"/>
      <c r="Q51" s="1701"/>
      <c r="R51" s="1701"/>
      <c r="S51" s="1701"/>
      <c r="T51" s="1701"/>
      <c r="U51" s="1701"/>
      <c r="V51" s="1701"/>
      <c r="W51" s="1701"/>
      <c r="X51" s="3820"/>
      <c r="Y51" s="4066"/>
    </row>
    <row r="52" spans="1:25" s="243" customFormat="1" ht="12.95" hidden="1" customHeight="1" thickBot="1">
      <c r="A52" s="4082"/>
      <c r="B52" s="1714" t="s">
        <v>31</v>
      </c>
      <c r="C52" s="4084"/>
      <c r="D52" s="1715">
        <f>M52+O52+P52+Q52+R52+S52+T52</f>
        <v>0</v>
      </c>
      <c r="E52" s="1716">
        <v>0</v>
      </c>
      <c r="F52" s="1716"/>
      <c r="G52" s="1716"/>
      <c r="H52" s="1716"/>
      <c r="I52" s="1717">
        <v>0</v>
      </c>
      <c r="J52" s="963">
        <v>0</v>
      </c>
      <c r="K52" s="963"/>
      <c r="L52" s="963">
        <v>0</v>
      </c>
      <c r="M52" s="1718">
        <f>E52+I52+J52+K52+L52+N52</f>
        <v>0</v>
      </c>
      <c r="N52" s="963">
        <v>0</v>
      </c>
      <c r="O52" s="963"/>
      <c r="P52" s="1717"/>
      <c r="Q52" s="1717"/>
      <c r="R52" s="1717"/>
      <c r="S52" s="1717"/>
      <c r="T52" s="1717"/>
      <c r="U52" s="1717"/>
      <c r="V52" s="1717"/>
      <c r="W52" s="1717"/>
      <c r="X52" s="3206"/>
      <c r="Y52" s="4067"/>
    </row>
    <row r="53" spans="1:25" s="243" customFormat="1" ht="24" hidden="1">
      <c r="A53" s="4081" t="s">
        <v>78</v>
      </c>
      <c r="B53" s="1719"/>
      <c r="C53" s="1720" t="s">
        <v>95</v>
      </c>
      <c r="D53" s="1720"/>
      <c r="E53" s="105"/>
      <c r="F53" s="105"/>
      <c r="G53" s="105"/>
      <c r="H53" s="105"/>
      <c r="I53" s="106"/>
      <c r="J53" s="106"/>
      <c r="K53" s="106"/>
      <c r="L53" s="106"/>
      <c r="M53" s="106"/>
      <c r="N53" s="106"/>
      <c r="O53" s="106"/>
      <c r="P53" s="106"/>
      <c r="Q53" s="106"/>
      <c r="R53" s="106"/>
      <c r="S53" s="106"/>
      <c r="T53" s="106"/>
      <c r="U53" s="106"/>
      <c r="V53" s="106"/>
      <c r="W53" s="106"/>
      <c r="X53" s="1721"/>
      <c r="Y53" s="4066" t="s">
        <v>200</v>
      </c>
    </row>
    <row r="54" spans="1:25" s="243" customFormat="1" ht="12.95" hidden="1" customHeight="1">
      <c r="A54" s="4081"/>
      <c r="B54" s="1049" t="s">
        <v>21</v>
      </c>
      <c r="C54" s="1689"/>
      <c r="D54" s="1690">
        <f>+D55+D58</f>
        <v>0</v>
      </c>
      <c r="E54" s="1691">
        <f>+E55+E58</f>
        <v>0</v>
      </c>
      <c r="F54" s="1691"/>
      <c r="G54" s="1691"/>
      <c r="H54" s="1691">
        <f t="shared" ref="H54:O54" si="42">+H55+H58</f>
        <v>0</v>
      </c>
      <c r="I54" s="1722">
        <f t="shared" si="42"/>
        <v>0</v>
      </c>
      <c r="J54" s="1722">
        <f t="shared" si="42"/>
        <v>0</v>
      </c>
      <c r="K54" s="1691">
        <f t="shared" si="42"/>
        <v>0</v>
      </c>
      <c r="L54" s="1723">
        <f t="shared" si="42"/>
        <v>0</v>
      </c>
      <c r="M54" s="1691">
        <f>+M55+M58</f>
        <v>0</v>
      </c>
      <c r="N54" s="1722">
        <f t="shared" si="42"/>
        <v>0</v>
      </c>
      <c r="O54" s="1722">
        <f t="shared" si="42"/>
        <v>0</v>
      </c>
      <c r="P54" s="1691"/>
      <c r="Q54" s="1691"/>
      <c r="R54" s="1691"/>
      <c r="S54" s="1691"/>
      <c r="T54" s="1691"/>
      <c r="U54" s="1691"/>
      <c r="V54" s="1691"/>
      <c r="W54" s="1691"/>
      <c r="X54" s="1724">
        <f>+X55+X58</f>
        <v>0</v>
      </c>
      <c r="Y54" s="4066"/>
    </row>
    <row r="55" spans="1:25" s="243" customFormat="1" ht="12.95" hidden="1" customHeight="1">
      <c r="A55" s="4081"/>
      <c r="B55" s="1694" t="s">
        <v>22</v>
      </c>
      <c r="C55" s="4083" t="s">
        <v>201</v>
      </c>
      <c r="D55" s="1695">
        <f>+D56+D57</f>
        <v>0</v>
      </c>
      <c r="E55" s="1695">
        <f t="shared" ref="E55:J55" si="43">+E56+E57</f>
        <v>0</v>
      </c>
      <c r="F55" s="1695">
        <f t="shared" si="43"/>
        <v>0</v>
      </c>
      <c r="G55" s="1695">
        <f t="shared" si="43"/>
        <v>0</v>
      </c>
      <c r="H55" s="1695">
        <f t="shared" si="43"/>
        <v>0</v>
      </c>
      <c r="I55" s="1725">
        <f t="shared" si="43"/>
        <v>0</v>
      </c>
      <c r="J55" s="1725">
        <f t="shared" si="43"/>
        <v>0</v>
      </c>
      <c r="K55" s="1695">
        <f>+K56</f>
        <v>0</v>
      </c>
      <c r="L55" s="1725">
        <f>+L56</f>
        <v>0</v>
      </c>
      <c r="M55" s="1695">
        <f>+M56+M57</f>
        <v>0</v>
      </c>
      <c r="N55" s="1725">
        <f>+N56</f>
        <v>0</v>
      </c>
      <c r="O55" s="1725">
        <f>+O56</f>
        <v>0</v>
      </c>
      <c r="P55" s="1695"/>
      <c r="Q55" s="1695"/>
      <c r="R55" s="1695"/>
      <c r="S55" s="1695"/>
      <c r="T55" s="1695"/>
      <c r="U55" s="1695"/>
      <c r="V55" s="1695"/>
      <c r="W55" s="1695"/>
      <c r="X55" s="1726">
        <f>+X56</f>
        <v>0</v>
      </c>
      <c r="Y55" s="4066"/>
    </row>
    <row r="56" spans="1:25" s="243" customFormat="1" ht="11.25" hidden="1" customHeight="1">
      <c r="A56" s="4081"/>
      <c r="B56" s="1705" t="s">
        <v>24</v>
      </c>
      <c r="C56" s="4083"/>
      <c r="D56" s="1700">
        <f>M56+O56+P56+Q56+R56+S56+T56</f>
        <v>0</v>
      </c>
      <c r="E56" s="1701">
        <v>0</v>
      </c>
      <c r="F56" s="1701"/>
      <c r="G56" s="1701"/>
      <c r="H56" s="1701"/>
      <c r="I56" s="1727">
        <v>0</v>
      </c>
      <c r="J56" s="1727">
        <v>0</v>
      </c>
      <c r="K56" s="1701"/>
      <c r="L56" s="1727">
        <v>0</v>
      </c>
      <c r="M56" s="1701">
        <f>E56+I56+J56+K56+L56+N56</f>
        <v>0</v>
      </c>
      <c r="N56" s="1727">
        <v>0</v>
      </c>
      <c r="O56" s="1727">
        <v>0</v>
      </c>
      <c r="P56" s="1701"/>
      <c r="Q56" s="1701"/>
      <c r="R56" s="1701"/>
      <c r="S56" s="1701"/>
      <c r="T56" s="1701"/>
      <c r="U56" s="1701"/>
      <c r="V56" s="1701"/>
      <c r="W56" s="1701"/>
      <c r="X56" s="1728">
        <f>SUM(P56:W56)</f>
        <v>0</v>
      </c>
      <c r="Y56" s="4066"/>
    </row>
    <row r="57" spans="1:25" s="243" customFormat="1" ht="12.95" hidden="1" customHeight="1">
      <c r="A57" s="4081"/>
      <c r="B57" s="1699" t="s">
        <v>25</v>
      </c>
      <c r="C57" s="4083"/>
      <c r="D57" s="1700">
        <f>M57+O57+P57+Q57+R57+S57+T57</f>
        <v>0</v>
      </c>
      <c r="E57" s="1706"/>
      <c r="F57" s="1706"/>
      <c r="G57" s="1706"/>
      <c r="H57" s="1706"/>
      <c r="I57" s="1729">
        <v>0</v>
      </c>
      <c r="J57" s="1729">
        <v>0</v>
      </c>
      <c r="K57" s="1706">
        <v>0</v>
      </c>
      <c r="L57" s="1729">
        <v>0</v>
      </c>
      <c r="M57" s="1701">
        <f>E57+I57+J57+K57+L57+N57</f>
        <v>0</v>
      </c>
      <c r="N57" s="1729">
        <v>0</v>
      </c>
      <c r="O57" s="1729">
        <v>0</v>
      </c>
      <c r="P57" s="1706"/>
      <c r="Q57" s="1706"/>
      <c r="R57" s="1706"/>
      <c r="S57" s="1706"/>
      <c r="T57" s="1706"/>
      <c r="U57" s="1706"/>
      <c r="V57" s="1706"/>
      <c r="W57" s="1706"/>
      <c r="X57" s="1728">
        <f>SUM(P57:W57)</f>
        <v>0</v>
      </c>
      <c r="Y57" s="4066"/>
    </row>
    <row r="58" spans="1:25" s="243" customFormat="1" ht="12" hidden="1" customHeight="1">
      <c r="A58" s="4081"/>
      <c r="B58" s="1707" t="s">
        <v>29</v>
      </c>
      <c r="C58" s="4083"/>
      <c r="D58" s="1695">
        <f t="shared" ref="D58:I58" si="44">D59+D60</f>
        <v>0</v>
      </c>
      <c r="E58" s="1695">
        <f t="shared" si="44"/>
        <v>0</v>
      </c>
      <c r="F58" s="1695">
        <f t="shared" si="44"/>
        <v>0</v>
      </c>
      <c r="G58" s="1695">
        <f t="shared" si="44"/>
        <v>0</v>
      </c>
      <c r="H58" s="1695">
        <f t="shared" si="44"/>
        <v>0</v>
      </c>
      <c r="I58" s="1725">
        <f t="shared" si="44"/>
        <v>0</v>
      </c>
      <c r="J58" s="1725">
        <f t="shared" ref="J58:O58" si="45">J59</f>
        <v>0</v>
      </c>
      <c r="K58" s="1695">
        <f>K59+K60</f>
        <v>0</v>
      </c>
      <c r="L58" s="1725">
        <f t="shared" si="45"/>
        <v>0</v>
      </c>
      <c r="M58" s="1695">
        <f>M59+M60</f>
        <v>0</v>
      </c>
      <c r="N58" s="1725">
        <f t="shared" si="45"/>
        <v>0</v>
      </c>
      <c r="O58" s="1725">
        <f t="shared" si="45"/>
        <v>0</v>
      </c>
      <c r="P58" s="1695"/>
      <c r="Q58" s="1695"/>
      <c r="R58" s="1695"/>
      <c r="S58" s="1695"/>
      <c r="T58" s="1695"/>
      <c r="U58" s="1695"/>
      <c r="V58" s="1695"/>
      <c r="W58" s="1695"/>
      <c r="X58" s="1726">
        <f>X59</f>
        <v>0</v>
      </c>
      <c r="Y58" s="4066"/>
    </row>
    <row r="59" spans="1:25" s="243" customFormat="1" ht="12.95" hidden="1" customHeight="1">
      <c r="A59" s="4081"/>
      <c r="B59" s="1699" t="s">
        <v>32</v>
      </c>
      <c r="C59" s="4083"/>
      <c r="D59" s="1700">
        <f>M59+O59+P59+Q59+R59+S59+T59</f>
        <v>0</v>
      </c>
      <c r="E59" s="1695"/>
      <c r="F59" s="1695"/>
      <c r="G59" s="1695"/>
      <c r="H59" s="1695"/>
      <c r="I59" s="1730">
        <v>0</v>
      </c>
      <c r="J59" s="1731">
        <v>0</v>
      </c>
      <c r="K59" s="1710"/>
      <c r="L59" s="1732">
        <v>0</v>
      </c>
      <c r="M59" s="1701">
        <f>E59+I59+J59+K59+L59+N59</f>
        <v>0</v>
      </c>
      <c r="N59" s="1731">
        <v>0</v>
      </c>
      <c r="O59" s="1731">
        <v>0</v>
      </c>
      <c r="P59" s="1697"/>
      <c r="Q59" s="1697"/>
      <c r="R59" s="1697"/>
      <c r="S59" s="1697"/>
      <c r="T59" s="1697"/>
      <c r="U59" s="1697"/>
      <c r="V59" s="1697"/>
      <c r="W59" s="1697"/>
      <c r="X59" s="1728">
        <f>SUM(P59:W59)</f>
        <v>0</v>
      </c>
      <c r="Y59" s="4066"/>
    </row>
    <row r="60" spans="1:25" s="243" customFormat="1" ht="12.95" hidden="1" customHeight="1">
      <c r="A60" s="4081"/>
      <c r="B60" s="1699" t="s">
        <v>25</v>
      </c>
      <c r="C60" s="3223"/>
      <c r="D60" s="1700">
        <f>M60+O60+P60+Q60+R60+S60+T60</f>
        <v>0</v>
      </c>
      <c r="E60" s="1709"/>
      <c r="F60" s="1695"/>
      <c r="G60" s="1695"/>
      <c r="H60" s="1695"/>
      <c r="I60" s="1730">
        <v>0</v>
      </c>
      <c r="J60" s="1731">
        <v>0</v>
      </c>
      <c r="K60" s="1710">
        <v>0</v>
      </c>
      <c r="L60" s="1733">
        <v>0</v>
      </c>
      <c r="M60" s="1701">
        <f>E60+I60+J60+K60+L60+N60</f>
        <v>0</v>
      </c>
      <c r="N60" s="1731">
        <v>0</v>
      </c>
      <c r="O60" s="1731"/>
      <c r="P60" s="1697"/>
      <c r="Q60" s="1697"/>
      <c r="R60" s="1697"/>
      <c r="S60" s="1697"/>
      <c r="T60" s="1697"/>
      <c r="U60" s="1697"/>
      <c r="V60" s="1697"/>
      <c r="W60" s="1697"/>
      <c r="X60" s="1728">
        <f>SUM(P60:W60)</f>
        <v>0</v>
      </c>
      <c r="Y60" s="4066"/>
    </row>
    <row r="61" spans="1:25" s="243" customFormat="1" ht="12.95" hidden="1" customHeight="1">
      <c r="A61" s="4081"/>
      <c r="B61" s="1049" t="s">
        <v>33</v>
      </c>
      <c r="C61" s="1689"/>
      <c r="D61" s="1691">
        <f>+D62+D65</f>
        <v>0</v>
      </c>
      <c r="E61" s="1691">
        <f>+E62+E65</f>
        <v>0</v>
      </c>
      <c r="F61" s="1691">
        <f>+F62+F65</f>
        <v>0</v>
      </c>
      <c r="G61" s="1691">
        <f>+G62+G65</f>
        <v>0</v>
      </c>
      <c r="H61" s="1691">
        <f>+H62+H65</f>
        <v>0</v>
      </c>
      <c r="I61" s="1722">
        <f t="shared" ref="I61:O61" si="46">+I62+I65</f>
        <v>0</v>
      </c>
      <c r="J61" s="1722">
        <f t="shared" si="46"/>
        <v>0</v>
      </c>
      <c r="K61" s="1691">
        <f t="shared" si="46"/>
        <v>0</v>
      </c>
      <c r="L61" s="1723">
        <f t="shared" si="46"/>
        <v>0</v>
      </c>
      <c r="M61" s="1691">
        <f>+M62+M65</f>
        <v>0</v>
      </c>
      <c r="N61" s="1722">
        <f t="shared" si="46"/>
        <v>0</v>
      </c>
      <c r="O61" s="1722">
        <f t="shared" si="46"/>
        <v>0</v>
      </c>
      <c r="P61" s="1691"/>
      <c r="Q61" s="1691"/>
      <c r="R61" s="1691"/>
      <c r="S61" s="1691"/>
      <c r="T61" s="1691"/>
      <c r="U61" s="1691"/>
      <c r="V61" s="1691"/>
      <c r="W61" s="1691"/>
      <c r="X61" s="3820" t="s">
        <v>75</v>
      </c>
      <c r="Y61" s="4066"/>
    </row>
    <row r="62" spans="1:25" s="243" customFormat="1" ht="12.95" hidden="1" customHeight="1">
      <c r="A62" s="4081"/>
      <c r="B62" s="1694" t="s">
        <v>22</v>
      </c>
      <c r="C62" s="4083" t="s">
        <v>201</v>
      </c>
      <c r="D62" s="1697">
        <f>D63+D64</f>
        <v>0</v>
      </c>
      <c r="E62" s="1697">
        <f>E63+E64</f>
        <v>0</v>
      </c>
      <c r="F62" s="1697">
        <f t="shared" ref="F62:O62" si="47">F63</f>
        <v>0</v>
      </c>
      <c r="G62" s="1697">
        <f t="shared" si="47"/>
        <v>0</v>
      </c>
      <c r="H62" s="1697">
        <f>H68+H72</f>
        <v>0</v>
      </c>
      <c r="I62" s="1730">
        <f t="shared" si="47"/>
        <v>0</v>
      </c>
      <c r="J62" s="1730">
        <f t="shared" si="47"/>
        <v>0</v>
      </c>
      <c r="K62" s="1697">
        <f t="shared" si="47"/>
        <v>0</v>
      </c>
      <c r="L62" s="1734">
        <f t="shared" si="47"/>
        <v>0</v>
      </c>
      <c r="M62" s="1697">
        <f>M63+M64</f>
        <v>0</v>
      </c>
      <c r="N62" s="1730">
        <f t="shared" si="47"/>
        <v>0</v>
      </c>
      <c r="O62" s="1730">
        <f t="shared" si="47"/>
        <v>0</v>
      </c>
      <c r="P62" s="1697"/>
      <c r="Q62" s="1697"/>
      <c r="R62" s="1697"/>
      <c r="S62" s="1697"/>
      <c r="T62" s="1697"/>
      <c r="U62" s="1697"/>
      <c r="V62" s="1697"/>
      <c r="W62" s="1697"/>
      <c r="X62" s="3820"/>
      <c r="Y62" s="4066"/>
    </row>
    <row r="63" spans="1:25" s="243" customFormat="1" ht="12.95" hidden="1" customHeight="1">
      <c r="A63" s="4081"/>
      <c r="B63" s="1705" t="s">
        <v>24</v>
      </c>
      <c r="C63" s="4083"/>
      <c r="D63" s="1700">
        <f>M63+O63+P63+Q63+R63+S63+T63</f>
        <v>0</v>
      </c>
      <c r="E63" s="1709">
        <v>0</v>
      </c>
      <c r="F63" s="1709"/>
      <c r="G63" s="1709"/>
      <c r="H63" s="1709"/>
      <c r="I63" s="1731">
        <v>0</v>
      </c>
      <c r="J63" s="1727">
        <v>0</v>
      </c>
      <c r="K63" s="1701"/>
      <c r="L63" s="1735">
        <v>0</v>
      </c>
      <c r="M63" s="1701">
        <f>E63+I63+J63+K63+L63+N63</f>
        <v>0</v>
      </c>
      <c r="N63" s="1731">
        <v>0</v>
      </c>
      <c r="O63" s="1731">
        <v>0</v>
      </c>
      <c r="P63" s="1697"/>
      <c r="Q63" s="1697"/>
      <c r="R63" s="1695"/>
      <c r="S63" s="1695"/>
      <c r="T63" s="1695"/>
      <c r="U63" s="1695"/>
      <c r="V63" s="1695"/>
      <c r="W63" s="1695"/>
      <c r="X63" s="3820"/>
      <c r="Y63" s="4066"/>
    </row>
    <row r="64" spans="1:25" s="243" customFormat="1" ht="11.25" hidden="1" customHeight="1">
      <c r="A64" s="4081"/>
      <c r="B64" s="1699" t="s">
        <v>25</v>
      </c>
      <c r="C64" s="4083"/>
      <c r="D64" s="1700">
        <f>M64+O64+P64+Q64+R64+S64+T64</f>
        <v>0</v>
      </c>
      <c r="E64" s="1709"/>
      <c r="F64" s="1709"/>
      <c r="G64" s="1709"/>
      <c r="H64" s="1709"/>
      <c r="I64" s="1731">
        <v>0</v>
      </c>
      <c r="J64" s="1727">
        <v>0</v>
      </c>
      <c r="K64" s="1731">
        <v>0</v>
      </c>
      <c r="L64" s="1735">
        <v>0</v>
      </c>
      <c r="M64" s="1701">
        <f>E64+I64+J64+K64+L64+N64</f>
        <v>0</v>
      </c>
      <c r="N64" s="1731">
        <v>0</v>
      </c>
      <c r="O64" s="1731">
        <v>0</v>
      </c>
      <c r="P64" s="1697"/>
      <c r="Q64" s="1697"/>
      <c r="R64" s="1697"/>
      <c r="S64" s="1697"/>
      <c r="T64" s="1697"/>
      <c r="U64" s="1697"/>
      <c r="V64" s="1697"/>
      <c r="W64" s="1697"/>
      <c r="X64" s="3820"/>
      <c r="Y64" s="4066"/>
    </row>
    <row r="65" spans="1:25" s="243" customFormat="1" ht="12.95" hidden="1" customHeight="1">
      <c r="A65" s="4081"/>
      <c r="B65" s="1707" t="s">
        <v>29</v>
      </c>
      <c r="C65" s="4083"/>
      <c r="D65" s="1697">
        <f>D66+D67</f>
        <v>0</v>
      </c>
      <c r="E65" s="1697">
        <f>E66+E67</f>
        <v>0</v>
      </c>
      <c r="F65" s="1697">
        <f>F66+F67</f>
        <v>0</v>
      </c>
      <c r="G65" s="1697">
        <f>G66+G67</f>
        <v>0</v>
      </c>
      <c r="H65" s="1697">
        <f>H66+H67</f>
        <v>0</v>
      </c>
      <c r="I65" s="1730">
        <f t="shared" ref="I65:O65" si="48">I66</f>
        <v>0</v>
      </c>
      <c r="J65" s="1730">
        <f t="shared" si="48"/>
        <v>0</v>
      </c>
      <c r="K65" s="1697">
        <f t="shared" si="48"/>
        <v>0</v>
      </c>
      <c r="L65" s="1730">
        <f t="shared" si="48"/>
        <v>0</v>
      </c>
      <c r="M65" s="1697">
        <f>M66+M67</f>
        <v>0</v>
      </c>
      <c r="N65" s="1730">
        <f t="shared" si="48"/>
        <v>0</v>
      </c>
      <c r="O65" s="1730">
        <f t="shared" si="48"/>
        <v>0</v>
      </c>
      <c r="P65" s="1697"/>
      <c r="Q65" s="1697"/>
      <c r="R65" s="1697"/>
      <c r="S65" s="1697"/>
      <c r="T65" s="1697"/>
      <c r="U65" s="1697"/>
      <c r="V65" s="1697"/>
      <c r="W65" s="1697"/>
      <c r="X65" s="3820"/>
      <c r="Y65" s="4066"/>
    </row>
    <row r="66" spans="1:25" s="243" customFormat="1" hidden="1">
      <c r="A66" s="4081"/>
      <c r="B66" s="1705" t="s">
        <v>32</v>
      </c>
      <c r="C66" s="4083"/>
      <c r="D66" s="1700">
        <f>M66+O66+P66+Q66+R66+S66+T66</f>
        <v>0</v>
      </c>
      <c r="E66" s="1709">
        <v>0</v>
      </c>
      <c r="F66" s="1709"/>
      <c r="G66" s="1709"/>
      <c r="H66" s="1709"/>
      <c r="I66" s="1731">
        <v>0</v>
      </c>
      <c r="J66" s="1731">
        <v>0</v>
      </c>
      <c r="K66" s="1710"/>
      <c r="L66" s="1731">
        <v>0</v>
      </c>
      <c r="M66" s="1701">
        <f>E66+I66+J66+K66+L66+N66</f>
        <v>0</v>
      </c>
      <c r="N66" s="1731">
        <v>0</v>
      </c>
      <c r="O66" s="1731">
        <v>0</v>
      </c>
      <c r="P66" s="1710"/>
      <c r="Q66" s="1710"/>
      <c r="R66" s="1710"/>
      <c r="S66" s="1710"/>
      <c r="T66" s="1710"/>
      <c r="U66" s="1710"/>
      <c r="V66" s="1710"/>
      <c r="W66" s="1710"/>
      <c r="X66" s="3820"/>
      <c r="Y66" s="4066"/>
    </row>
    <row r="67" spans="1:25" s="243" customFormat="1" ht="12.95" hidden="1" customHeight="1">
      <c r="A67" s="3222"/>
      <c r="B67" s="1699" t="s">
        <v>25</v>
      </c>
      <c r="C67" s="1736"/>
      <c r="D67" s="1700">
        <f>M67+O67+P67+Q67+R67+S67+T67</f>
        <v>0</v>
      </c>
      <c r="E67" s="1709"/>
      <c r="F67" s="1709"/>
      <c r="G67" s="1709"/>
      <c r="H67" s="1709"/>
      <c r="I67" s="1731">
        <v>0</v>
      </c>
      <c r="J67" s="1731">
        <v>0</v>
      </c>
      <c r="K67" s="1710">
        <v>0</v>
      </c>
      <c r="L67" s="1731">
        <v>0</v>
      </c>
      <c r="M67" s="1701">
        <f>E67+I67+J67+K67+L67+N67</f>
        <v>0</v>
      </c>
      <c r="N67" s="1731">
        <v>0</v>
      </c>
      <c r="O67" s="1732">
        <v>0</v>
      </c>
      <c r="P67" s="1711"/>
      <c r="Q67" s="1711"/>
      <c r="R67" s="1711"/>
      <c r="S67" s="1711"/>
      <c r="T67" s="1711"/>
      <c r="U67" s="1711"/>
      <c r="V67" s="1711"/>
      <c r="W67" s="1711"/>
      <c r="X67" s="3205"/>
      <c r="Y67" s="4088"/>
    </row>
    <row r="68" spans="1:25" s="1743" customFormat="1" ht="32.25" customHeight="1">
      <c r="A68" s="4089" t="s">
        <v>77</v>
      </c>
      <c r="B68" s="1737" t="s">
        <v>499</v>
      </c>
      <c r="C68" s="1738" t="s">
        <v>95</v>
      </c>
      <c r="D68" s="1738"/>
      <c r="E68" s="1739"/>
      <c r="F68" s="1739"/>
      <c r="G68" s="1739"/>
      <c r="H68" s="1739"/>
      <c r="I68" s="1740"/>
      <c r="J68" s="1740"/>
      <c r="K68" s="1740"/>
      <c r="L68" s="1740"/>
      <c r="M68" s="1740"/>
      <c r="N68" s="1740"/>
      <c r="O68" s="1741"/>
      <c r="P68" s="1741"/>
      <c r="Q68" s="1741"/>
      <c r="R68" s="1741"/>
      <c r="S68" s="1741"/>
      <c r="T68" s="1741"/>
      <c r="U68" s="1741"/>
      <c r="V68" s="1741"/>
      <c r="W68" s="1741"/>
      <c r="X68" s="1742"/>
      <c r="Y68" s="4091" t="s">
        <v>437</v>
      </c>
    </row>
    <row r="69" spans="1:25" s="1749" customFormat="1" ht="15.75" customHeight="1">
      <c r="A69" s="4089"/>
      <c r="B69" s="1049" t="s">
        <v>21</v>
      </c>
      <c r="C69" s="1689"/>
      <c r="D69" s="1744">
        <f t="shared" ref="D69:P69" si="49">+D70+D72</f>
        <v>15220421</v>
      </c>
      <c r="E69" s="1745">
        <f t="shared" si="49"/>
        <v>0</v>
      </c>
      <c r="F69" s="1745">
        <f t="shared" si="49"/>
        <v>0</v>
      </c>
      <c r="G69" s="1745">
        <f t="shared" si="49"/>
        <v>0</v>
      </c>
      <c r="H69" s="1745">
        <f t="shared" si="49"/>
        <v>0</v>
      </c>
      <c r="I69" s="1745">
        <f t="shared" si="49"/>
        <v>0</v>
      </c>
      <c r="J69" s="1746">
        <f t="shared" si="49"/>
        <v>629249</v>
      </c>
      <c r="K69" s="1746">
        <f t="shared" si="49"/>
        <v>5656222</v>
      </c>
      <c r="L69" s="1747">
        <f t="shared" si="49"/>
        <v>2983150</v>
      </c>
      <c r="M69" s="1746">
        <f>+M70+M72</f>
        <v>13966573</v>
      </c>
      <c r="N69" s="1746">
        <f t="shared" si="49"/>
        <v>2487141</v>
      </c>
      <c r="O69" s="1691">
        <f t="shared" si="49"/>
        <v>2210811</v>
      </c>
      <c r="P69" s="1691">
        <f t="shared" si="49"/>
        <v>1253848</v>
      </c>
      <c r="Q69" s="1691"/>
      <c r="R69" s="1691"/>
      <c r="S69" s="1691"/>
      <c r="T69" s="1691"/>
      <c r="U69" s="1691"/>
      <c r="V69" s="1691"/>
      <c r="W69" s="1691"/>
      <c r="X69" s="1748">
        <f>+X70+X72</f>
        <v>0</v>
      </c>
      <c r="Y69" s="4066"/>
    </row>
    <row r="70" spans="1:25" s="1749" customFormat="1" ht="12.75" customHeight="1">
      <c r="A70" s="4089"/>
      <c r="B70" s="1750" t="s">
        <v>22</v>
      </c>
      <c r="C70" s="4092" t="s">
        <v>203</v>
      </c>
      <c r="D70" s="1697">
        <f>D71</f>
        <v>7209673</v>
      </c>
      <c r="E70" s="1730">
        <f t="shared" ref="E70:N70" si="50">E71</f>
        <v>0</v>
      </c>
      <c r="F70" s="1730">
        <f t="shared" si="50"/>
        <v>0</v>
      </c>
      <c r="G70" s="1730">
        <f t="shared" si="50"/>
        <v>0</v>
      </c>
      <c r="H70" s="1730">
        <f t="shared" si="50"/>
        <v>0</v>
      </c>
      <c r="I70" s="1730">
        <f t="shared" si="50"/>
        <v>0</v>
      </c>
      <c r="J70" s="1730">
        <f t="shared" si="50"/>
        <v>0</v>
      </c>
      <c r="K70" s="1697">
        <f t="shared" si="50"/>
        <v>3801777</v>
      </c>
      <c r="L70" s="1712">
        <f t="shared" si="50"/>
        <v>2588068</v>
      </c>
      <c r="M70" s="1697">
        <f t="shared" si="50"/>
        <v>6693095</v>
      </c>
      <c r="N70" s="1697">
        <f t="shared" si="50"/>
        <v>0</v>
      </c>
      <c r="O70" s="1697">
        <f>O71</f>
        <v>303250</v>
      </c>
      <c r="P70" s="1697">
        <f>P71</f>
        <v>516578</v>
      </c>
      <c r="Q70" s="1697"/>
      <c r="R70" s="1697"/>
      <c r="S70" s="1697"/>
      <c r="T70" s="1697"/>
      <c r="U70" s="1697"/>
      <c r="V70" s="1697"/>
      <c r="W70" s="1697"/>
      <c r="X70" s="1751">
        <f>X71</f>
        <v>0</v>
      </c>
      <c r="Y70" s="4066"/>
    </row>
    <row r="71" spans="1:25" s="1749" customFormat="1" ht="12.75" customHeight="1">
      <c r="A71" s="4089"/>
      <c r="B71" s="1752" t="s">
        <v>76</v>
      </c>
      <c r="C71" s="4093"/>
      <c r="D71" s="2199">
        <f>M71+P71+Q71+R71+S71+T71+U71+V71+W71</f>
        <v>7209673</v>
      </c>
      <c r="E71" s="1753">
        <v>0</v>
      </c>
      <c r="F71" s="1753"/>
      <c r="G71" s="1753"/>
      <c r="H71" s="1753"/>
      <c r="I71" s="1754">
        <v>0</v>
      </c>
      <c r="J71" s="1754">
        <v>0</v>
      </c>
      <c r="K71" s="1755">
        <f>2852777+949000</f>
        <v>3801777</v>
      </c>
      <c r="L71" s="1756">
        <f>3556234-855353-112812-1</f>
        <v>2588068</v>
      </c>
      <c r="M71" s="2200">
        <f>+E71+I71+J71+K71+L71+N71+O71</f>
        <v>6693095</v>
      </c>
      <c r="N71" s="1755">
        <f>202176+69754+112812-384742</f>
        <v>0</v>
      </c>
      <c r="O71" s="1755">
        <f>372688-2013-67425</f>
        <v>303250</v>
      </c>
      <c r="P71" s="1755">
        <f>225798-161388+1+384742+67425</f>
        <v>516578</v>
      </c>
      <c r="Q71" s="1755"/>
      <c r="R71" s="1755"/>
      <c r="S71" s="1755"/>
      <c r="T71" s="1755"/>
      <c r="U71" s="1755"/>
      <c r="V71" s="1755"/>
      <c r="W71" s="1755"/>
      <c r="X71" s="1757">
        <f>SUM(Q71:W71)</f>
        <v>0</v>
      </c>
      <c r="Y71" s="4066"/>
    </row>
    <row r="72" spans="1:25" s="1749" customFormat="1" ht="12.75" customHeight="1">
      <c r="A72" s="4089"/>
      <c r="B72" s="1707" t="s">
        <v>29</v>
      </c>
      <c r="C72" s="4093"/>
      <c r="D72" s="1695">
        <f>D73</f>
        <v>8010748</v>
      </c>
      <c r="E72" s="1725">
        <f t="shared" ref="E72:P72" si="51">E73</f>
        <v>0</v>
      </c>
      <c r="F72" s="1725">
        <f t="shared" si="51"/>
        <v>0</v>
      </c>
      <c r="G72" s="1725">
        <f t="shared" si="51"/>
        <v>0</v>
      </c>
      <c r="H72" s="1725">
        <f t="shared" si="51"/>
        <v>0</v>
      </c>
      <c r="I72" s="1725">
        <f t="shared" si="51"/>
        <v>0</v>
      </c>
      <c r="J72" s="1695">
        <f t="shared" si="51"/>
        <v>629249</v>
      </c>
      <c r="K72" s="1695">
        <f t="shared" si="51"/>
        <v>1854445</v>
      </c>
      <c r="L72" s="1696">
        <f t="shared" si="51"/>
        <v>395082</v>
      </c>
      <c r="M72" s="1697">
        <f t="shared" si="51"/>
        <v>7273478</v>
      </c>
      <c r="N72" s="1695">
        <f t="shared" si="51"/>
        <v>2487141</v>
      </c>
      <c r="O72" s="1695">
        <f t="shared" si="51"/>
        <v>1907561</v>
      </c>
      <c r="P72" s="1695">
        <f t="shared" si="51"/>
        <v>737270</v>
      </c>
      <c r="Q72" s="1695"/>
      <c r="R72" s="1695"/>
      <c r="S72" s="1695"/>
      <c r="T72" s="1695"/>
      <c r="U72" s="1695"/>
      <c r="V72" s="1695"/>
      <c r="W72" s="1695"/>
      <c r="X72" s="1751">
        <f>X73</f>
        <v>0</v>
      </c>
      <c r="Y72" s="4066"/>
    </row>
    <row r="73" spans="1:25" s="1749" customFormat="1" ht="12.75" customHeight="1">
      <c r="A73" s="4089"/>
      <c r="B73" s="1752" t="s">
        <v>31</v>
      </c>
      <c r="C73" s="4093"/>
      <c r="D73" s="2199">
        <f>M73+P73+Q73+R73+S73+T73+U73+V73+W73</f>
        <v>8010748</v>
      </c>
      <c r="E73" s="1725">
        <v>0</v>
      </c>
      <c r="F73" s="1725"/>
      <c r="G73" s="1725"/>
      <c r="H73" s="1725"/>
      <c r="I73" s="1730">
        <v>0</v>
      </c>
      <c r="J73" s="1710">
        <f>631141-1892</f>
        <v>629249</v>
      </c>
      <c r="K73" s="1710">
        <f>1642504+253578-41637</f>
        <v>1854445</v>
      </c>
      <c r="L73" s="1711">
        <f>456822-39189-22551</f>
        <v>395082</v>
      </c>
      <c r="M73" s="2200">
        <f>+E73+I73+J73+K73+L73+N73+O73</f>
        <v>7273478</v>
      </c>
      <c r="N73" s="1710">
        <f>2650107-16771+41637-187832</f>
        <v>2487141</v>
      </c>
      <c r="O73" s="1711">
        <f>2274891-261371-105959</f>
        <v>1907561</v>
      </c>
      <c r="P73" s="1711">
        <f>357175+63753+22551+187832+105959</f>
        <v>737270</v>
      </c>
      <c r="Q73" s="1710"/>
      <c r="R73" s="1710"/>
      <c r="S73" s="1710"/>
      <c r="T73" s="1710"/>
      <c r="U73" s="1710"/>
      <c r="V73" s="1710"/>
      <c r="W73" s="1710"/>
      <c r="X73" s="1757">
        <f>SUM(Q73:W73)</f>
        <v>0</v>
      </c>
      <c r="Y73" s="4066"/>
    </row>
    <row r="74" spans="1:25" s="1749" customFormat="1" ht="15.75" customHeight="1">
      <c r="A74" s="4089"/>
      <c r="B74" s="1049" t="s">
        <v>33</v>
      </c>
      <c r="C74" s="1689"/>
      <c r="D74" s="1744">
        <f t="shared" ref="D74:P74" si="52">+D75+D78</f>
        <v>15220421</v>
      </c>
      <c r="E74" s="1745">
        <f t="shared" si="52"/>
        <v>0</v>
      </c>
      <c r="F74" s="1745">
        <f t="shared" si="52"/>
        <v>0</v>
      </c>
      <c r="G74" s="1745">
        <f t="shared" si="52"/>
        <v>0</v>
      </c>
      <c r="H74" s="1745">
        <f t="shared" si="52"/>
        <v>0</v>
      </c>
      <c r="I74" s="1745">
        <f t="shared" si="52"/>
        <v>0</v>
      </c>
      <c r="J74" s="1746">
        <f t="shared" si="52"/>
        <v>3544011</v>
      </c>
      <c r="K74" s="1746">
        <f t="shared" si="52"/>
        <v>3801777</v>
      </c>
      <c r="L74" s="1747">
        <f t="shared" si="52"/>
        <v>5996862</v>
      </c>
      <c r="M74" s="1746">
        <f>+M75+M78</f>
        <v>13645900</v>
      </c>
      <c r="N74" s="1746">
        <f t="shared" si="52"/>
        <v>0</v>
      </c>
      <c r="O74" s="1691">
        <f t="shared" si="52"/>
        <v>303250</v>
      </c>
      <c r="P74" s="1691">
        <f t="shared" si="52"/>
        <v>516578</v>
      </c>
      <c r="Q74" s="1691">
        <f>+Q75+Q78</f>
        <v>1057943</v>
      </c>
      <c r="R74" s="1691"/>
      <c r="S74" s="1691"/>
      <c r="T74" s="1691"/>
      <c r="U74" s="1691"/>
      <c r="V74" s="1691"/>
      <c r="W74" s="1691"/>
      <c r="X74" s="4095" t="s">
        <v>75</v>
      </c>
      <c r="Y74" s="4066"/>
    </row>
    <row r="75" spans="1:25" s="1749" customFormat="1" ht="13.5" customHeight="1">
      <c r="A75" s="4089"/>
      <c r="B75" s="1750" t="s">
        <v>22</v>
      </c>
      <c r="C75" s="4092" t="s">
        <v>203</v>
      </c>
      <c r="D75" s="1697">
        <f>D76</f>
        <v>7209673</v>
      </c>
      <c r="E75" s="1730">
        <f t="shared" ref="E75:Q75" si="53">E76</f>
        <v>0</v>
      </c>
      <c r="F75" s="1730">
        <f t="shared" si="53"/>
        <v>0</v>
      </c>
      <c r="G75" s="1730">
        <f t="shared" si="53"/>
        <v>0</v>
      </c>
      <c r="H75" s="1730">
        <f t="shared" si="53"/>
        <v>0</v>
      </c>
      <c r="I75" s="1730">
        <f t="shared" si="53"/>
        <v>0</v>
      </c>
      <c r="J75" s="1730">
        <f t="shared" si="53"/>
        <v>0</v>
      </c>
      <c r="K75" s="1697">
        <f t="shared" si="53"/>
        <v>3801777</v>
      </c>
      <c r="L75" s="1712">
        <f t="shared" si="53"/>
        <v>2588068</v>
      </c>
      <c r="M75" s="1697">
        <f t="shared" si="53"/>
        <v>6693095</v>
      </c>
      <c r="N75" s="1697">
        <f t="shared" si="53"/>
        <v>0</v>
      </c>
      <c r="O75" s="1697">
        <f t="shared" si="53"/>
        <v>303250</v>
      </c>
      <c r="P75" s="1697">
        <f t="shared" si="53"/>
        <v>516578</v>
      </c>
      <c r="Q75" s="1697">
        <f t="shared" si="53"/>
        <v>0</v>
      </c>
      <c r="R75" s="1697"/>
      <c r="S75" s="1697"/>
      <c r="T75" s="1697"/>
      <c r="U75" s="1697"/>
      <c r="V75" s="1697"/>
      <c r="W75" s="1697"/>
      <c r="X75" s="4095"/>
      <c r="Y75" s="4066"/>
    </row>
    <row r="76" spans="1:25" s="1749" customFormat="1" ht="13.5" customHeight="1">
      <c r="A76" s="4089"/>
      <c r="B76" s="1752" t="s">
        <v>27</v>
      </c>
      <c r="C76" s="4093"/>
      <c r="D76" s="2199">
        <f>M76+P76+Q76+R76+S76+T76+U76+V76+W76</f>
        <v>7209673</v>
      </c>
      <c r="E76" s="1753">
        <v>0</v>
      </c>
      <c r="F76" s="1753"/>
      <c r="G76" s="1753"/>
      <c r="H76" s="1753"/>
      <c r="I76" s="1754">
        <v>0</v>
      </c>
      <c r="J76" s="1754">
        <v>0</v>
      </c>
      <c r="K76" s="1755">
        <f>2852777+949000</f>
        <v>3801777</v>
      </c>
      <c r="L76" s="1756">
        <f>3556234-855353-112812-1</f>
        <v>2588068</v>
      </c>
      <c r="M76" s="2200">
        <f>+E76+I76+J76+K76+L76+N76+O76</f>
        <v>6693095</v>
      </c>
      <c r="N76" s="1755">
        <f>202176+69754+112812-384742</f>
        <v>0</v>
      </c>
      <c r="O76" s="1755">
        <f>372688-2013-67425</f>
        <v>303250</v>
      </c>
      <c r="P76" s="1755">
        <f>225798-161388+1+384742+67425</f>
        <v>516578</v>
      </c>
      <c r="Q76" s="1755"/>
      <c r="R76" s="1755"/>
      <c r="S76" s="1755"/>
      <c r="T76" s="1755"/>
      <c r="U76" s="1755"/>
      <c r="V76" s="1755"/>
      <c r="W76" s="1755"/>
      <c r="X76" s="4095"/>
      <c r="Y76" s="4066"/>
    </row>
    <row r="77" spans="1:25" s="1749" customFormat="1" ht="13.5" customHeight="1">
      <c r="A77" s="4089"/>
      <c r="B77" s="1758" t="s">
        <v>29</v>
      </c>
      <c r="C77" s="4093"/>
      <c r="D77" s="1697">
        <f>D78</f>
        <v>8010748</v>
      </c>
      <c r="E77" s="1730">
        <f t="shared" ref="E77:Q77" si="54">E78</f>
        <v>0</v>
      </c>
      <c r="F77" s="1730">
        <f t="shared" si="54"/>
        <v>0</v>
      </c>
      <c r="G77" s="1730">
        <f t="shared" si="54"/>
        <v>0</v>
      </c>
      <c r="H77" s="1730">
        <f t="shared" si="54"/>
        <v>0</v>
      </c>
      <c r="I77" s="1730">
        <f t="shared" si="54"/>
        <v>0</v>
      </c>
      <c r="J77" s="1697">
        <f t="shared" si="54"/>
        <v>3544011</v>
      </c>
      <c r="K77" s="1697">
        <f t="shared" si="54"/>
        <v>0</v>
      </c>
      <c r="L77" s="1712">
        <f t="shared" si="54"/>
        <v>3408794</v>
      </c>
      <c r="M77" s="1697">
        <f t="shared" si="54"/>
        <v>6952805</v>
      </c>
      <c r="N77" s="1697">
        <f t="shared" si="54"/>
        <v>0</v>
      </c>
      <c r="O77" s="1697">
        <f t="shared" si="54"/>
        <v>0</v>
      </c>
      <c r="P77" s="1697">
        <f t="shared" si="54"/>
        <v>0</v>
      </c>
      <c r="Q77" s="1697">
        <f t="shared" si="54"/>
        <v>1057943</v>
      </c>
      <c r="R77" s="1697"/>
      <c r="S77" s="1697"/>
      <c r="T77" s="1697"/>
      <c r="U77" s="1697"/>
      <c r="V77" s="1697"/>
      <c r="W77" s="1697"/>
      <c r="X77" s="4095"/>
      <c r="Y77" s="4066"/>
    </row>
    <row r="78" spans="1:25" s="1749" customFormat="1" ht="13.5" customHeight="1" thickBot="1">
      <c r="A78" s="4090"/>
      <c r="B78" s="93" t="s">
        <v>31</v>
      </c>
      <c r="C78" s="4094"/>
      <c r="D78" s="2218">
        <f>M78+P78+Q78+R78+S78+T78+U78+V78+W78</f>
        <v>8010748</v>
      </c>
      <c r="E78" s="1759">
        <v>0</v>
      </c>
      <c r="F78" s="1759"/>
      <c r="G78" s="1759"/>
      <c r="H78" s="1759"/>
      <c r="I78" s="1760">
        <v>0</v>
      </c>
      <c r="J78" s="1761">
        <f>3204300+339711</f>
        <v>3544011</v>
      </c>
      <c r="K78" s="1761">
        <v>0</v>
      </c>
      <c r="L78" s="1761">
        <v>3408794</v>
      </c>
      <c r="M78" s="2219">
        <f>+E78+I78+J78+K78+L78+N78+O78</f>
        <v>6952805</v>
      </c>
      <c r="N78" s="1761">
        <f>2403223-2403223</f>
        <v>0</v>
      </c>
      <c r="O78" s="1762">
        <f>2063514-1005571-1057943</f>
        <v>0</v>
      </c>
      <c r="P78" s="1762">
        <v>0</v>
      </c>
      <c r="Q78" s="1761">
        <v>1057943</v>
      </c>
      <c r="R78" s="1762"/>
      <c r="S78" s="1762"/>
      <c r="T78" s="1762"/>
      <c r="U78" s="1762"/>
      <c r="V78" s="1762"/>
      <c r="W78" s="1762"/>
      <c r="X78" s="4096"/>
      <c r="Y78" s="4067"/>
    </row>
    <row r="79" spans="1:25" s="1743" customFormat="1" ht="40.5" customHeight="1">
      <c r="A79" s="4089" t="s">
        <v>78</v>
      </c>
      <c r="B79" s="1737" t="s">
        <v>526</v>
      </c>
      <c r="C79" s="1738" t="s">
        <v>95</v>
      </c>
      <c r="D79" s="1774"/>
      <c r="E79" s="105"/>
      <c r="F79" s="105"/>
      <c r="G79" s="105"/>
      <c r="H79" s="105"/>
      <c r="I79" s="106"/>
      <c r="J79" s="106"/>
      <c r="K79" s="106"/>
      <c r="L79" s="106"/>
      <c r="M79" s="106"/>
      <c r="N79" s="106"/>
      <c r="O79" s="1787"/>
      <c r="P79" s="1787"/>
      <c r="Q79" s="1787"/>
      <c r="R79" s="1741"/>
      <c r="S79" s="1741"/>
      <c r="T79" s="1741"/>
      <c r="U79" s="1741"/>
      <c r="V79" s="1741"/>
      <c r="W79" s="1741"/>
      <c r="X79" s="1742"/>
      <c r="Y79" s="4066" t="s">
        <v>437</v>
      </c>
    </row>
    <row r="80" spans="1:25" s="1743" customFormat="1" ht="14.25" customHeight="1">
      <c r="A80" s="4089"/>
      <c r="B80" s="1049" t="s">
        <v>21</v>
      </c>
      <c r="C80" s="1689"/>
      <c r="D80" s="1744">
        <f t="shared" ref="D80:O80" si="55">+D81+D83</f>
        <v>19723223</v>
      </c>
      <c r="E80" s="1745">
        <f t="shared" si="55"/>
        <v>0</v>
      </c>
      <c r="F80" s="1745">
        <f t="shared" si="55"/>
        <v>0</v>
      </c>
      <c r="G80" s="1745">
        <f t="shared" si="55"/>
        <v>0</v>
      </c>
      <c r="H80" s="1745">
        <f t="shared" si="55"/>
        <v>0</v>
      </c>
      <c r="I80" s="1745">
        <f t="shared" si="55"/>
        <v>0</v>
      </c>
      <c r="J80" s="1745">
        <f t="shared" si="55"/>
        <v>0</v>
      </c>
      <c r="K80" s="1746">
        <f t="shared" si="55"/>
        <v>333872</v>
      </c>
      <c r="L80" s="2325">
        <f t="shared" si="55"/>
        <v>1328289</v>
      </c>
      <c r="M80" s="1746">
        <f>+M81+M83</f>
        <v>5027207</v>
      </c>
      <c r="N80" s="1746">
        <f t="shared" si="55"/>
        <v>617626</v>
      </c>
      <c r="O80" s="1746">
        <f t="shared" si="55"/>
        <v>2747420</v>
      </c>
      <c r="P80" s="1746">
        <f>+P81+P83</f>
        <v>3955373</v>
      </c>
      <c r="Q80" s="1746">
        <f>+Q81+Q83</f>
        <v>6133675</v>
      </c>
      <c r="R80" s="1746">
        <f>+R81+R83</f>
        <v>3377928</v>
      </c>
      <c r="S80" s="1746">
        <f>+S81+S83</f>
        <v>1229040</v>
      </c>
      <c r="T80" s="1691"/>
      <c r="U80" s="1691"/>
      <c r="V80" s="1691"/>
      <c r="W80" s="1691"/>
      <c r="X80" s="1748">
        <f>+X81+X83</f>
        <v>10740643</v>
      </c>
      <c r="Y80" s="4066"/>
    </row>
    <row r="81" spans="1:25" s="1743" customFormat="1" ht="14.25" customHeight="1">
      <c r="A81" s="4089"/>
      <c r="B81" s="1694" t="s">
        <v>22</v>
      </c>
      <c r="C81" s="4092" t="s">
        <v>203</v>
      </c>
      <c r="D81" s="1697">
        <f>D82</f>
        <v>9342571</v>
      </c>
      <c r="E81" s="1730">
        <f t="shared" ref="E81:N81" si="56">E82</f>
        <v>0</v>
      </c>
      <c r="F81" s="1730">
        <f t="shared" si="56"/>
        <v>0</v>
      </c>
      <c r="G81" s="1730">
        <f t="shared" si="56"/>
        <v>0</v>
      </c>
      <c r="H81" s="1730">
        <f t="shared" si="56"/>
        <v>0</v>
      </c>
      <c r="I81" s="1730">
        <f t="shared" si="56"/>
        <v>0</v>
      </c>
      <c r="J81" s="1730">
        <f t="shared" si="56"/>
        <v>0</v>
      </c>
      <c r="K81" s="1697">
        <f t="shared" si="56"/>
        <v>0</v>
      </c>
      <c r="L81" s="1712">
        <f t="shared" si="56"/>
        <v>673271</v>
      </c>
      <c r="M81" s="1697">
        <f t="shared" si="56"/>
        <v>673271</v>
      </c>
      <c r="N81" s="1763">
        <f t="shared" si="56"/>
        <v>0</v>
      </c>
      <c r="O81" s="1763">
        <f>O82</f>
        <v>0</v>
      </c>
      <c r="P81" s="1763">
        <f>P82</f>
        <v>1522759</v>
      </c>
      <c r="Q81" s="1763">
        <f>Q82</f>
        <v>5026915</v>
      </c>
      <c r="R81" s="1763">
        <f>R82</f>
        <v>1438588</v>
      </c>
      <c r="S81" s="1763">
        <f>S82</f>
        <v>681038</v>
      </c>
      <c r="T81" s="1697"/>
      <c r="U81" s="1697"/>
      <c r="V81" s="1697"/>
      <c r="W81" s="1697"/>
      <c r="X81" s="1751">
        <f>X82</f>
        <v>7146541</v>
      </c>
      <c r="Y81" s="4066"/>
    </row>
    <row r="82" spans="1:25" s="1770" customFormat="1">
      <c r="A82" s="4089"/>
      <c r="B82" s="1764" t="s">
        <v>76</v>
      </c>
      <c r="C82" s="4093"/>
      <c r="D82" s="2264">
        <f>M82+P82+Q82+R82+S82+T82+U82+V82+W82</f>
        <v>9342571</v>
      </c>
      <c r="E82" s="1765">
        <v>0</v>
      </c>
      <c r="F82" s="1765"/>
      <c r="G82" s="1765"/>
      <c r="H82" s="1765"/>
      <c r="I82" s="1766">
        <v>0</v>
      </c>
      <c r="J82" s="1766">
        <v>0</v>
      </c>
      <c r="K82" s="1767">
        <v>0</v>
      </c>
      <c r="L82" s="1768">
        <f>2335159-1661887-1</f>
        <v>673271</v>
      </c>
      <c r="M82" s="2254">
        <f>+E82+I82+J82+K82+L82+N82+O82</f>
        <v>673271</v>
      </c>
      <c r="N82" s="1769">
        <f>3719572+2918400-6637972</f>
        <v>0</v>
      </c>
      <c r="O82" s="1769">
        <f>129366+6637972-6205919-561419</f>
        <v>0</v>
      </c>
      <c r="P82" s="1769">
        <f>2898095-1376691+4784992+561419-5345056</f>
        <v>1522759</v>
      </c>
      <c r="Q82" s="1769">
        <f>260379+120178+1+1420927+3225430</f>
        <v>5026915</v>
      </c>
      <c r="R82" s="1769">
        <v>1438588</v>
      </c>
      <c r="S82" s="1769">
        <v>681038</v>
      </c>
      <c r="T82" s="1767"/>
      <c r="U82" s="1767"/>
      <c r="V82" s="1767"/>
      <c r="W82" s="1767"/>
      <c r="X82" s="1757">
        <f>SUM(Q82:W82)</f>
        <v>7146541</v>
      </c>
      <c r="Y82" s="4066"/>
    </row>
    <row r="83" spans="1:25" s="1743" customFormat="1" ht="14.25" customHeight="1">
      <c r="A83" s="4089"/>
      <c r="B83" s="1707" t="s">
        <v>29</v>
      </c>
      <c r="C83" s="4093"/>
      <c r="D83" s="1695">
        <f>D84</f>
        <v>10380652</v>
      </c>
      <c r="E83" s="1725">
        <f t="shared" ref="E83:S83" si="57">E84</f>
        <v>0</v>
      </c>
      <c r="F83" s="1725">
        <f t="shared" si="57"/>
        <v>0</v>
      </c>
      <c r="G83" s="1725">
        <f t="shared" si="57"/>
        <v>0</v>
      </c>
      <c r="H83" s="1725">
        <f t="shared" si="57"/>
        <v>0</v>
      </c>
      <c r="I83" s="1725">
        <f t="shared" si="57"/>
        <v>0</v>
      </c>
      <c r="J83" s="1725">
        <f t="shared" si="57"/>
        <v>0</v>
      </c>
      <c r="K83" s="1695">
        <f t="shared" si="57"/>
        <v>333872</v>
      </c>
      <c r="L83" s="2326">
        <f t="shared" si="57"/>
        <v>655018</v>
      </c>
      <c r="M83" s="1697">
        <f t="shared" si="57"/>
        <v>4353936</v>
      </c>
      <c r="N83" s="1771">
        <f t="shared" si="57"/>
        <v>617626</v>
      </c>
      <c r="O83" s="1771">
        <f t="shared" si="57"/>
        <v>2747420</v>
      </c>
      <c r="P83" s="1771">
        <f t="shared" si="57"/>
        <v>2432614</v>
      </c>
      <c r="Q83" s="1771">
        <f t="shared" si="57"/>
        <v>1106760</v>
      </c>
      <c r="R83" s="1771">
        <f t="shared" si="57"/>
        <v>1939340</v>
      </c>
      <c r="S83" s="1771">
        <f t="shared" si="57"/>
        <v>548002</v>
      </c>
      <c r="T83" s="1695"/>
      <c r="U83" s="1695"/>
      <c r="V83" s="1695"/>
      <c r="W83" s="1695"/>
      <c r="X83" s="1751">
        <f>X84</f>
        <v>3594102</v>
      </c>
      <c r="Y83" s="4066"/>
    </row>
    <row r="84" spans="1:25" s="1743" customFormat="1">
      <c r="A84" s="4089"/>
      <c r="B84" s="1699" t="s">
        <v>31</v>
      </c>
      <c r="C84" s="4093"/>
      <c r="D84" s="2264">
        <f>M84+P84+Q84+R84+S84+T84+U84+V84+W84</f>
        <v>10380652</v>
      </c>
      <c r="E84" s="1725">
        <v>0</v>
      </c>
      <c r="F84" s="1725"/>
      <c r="G84" s="1725"/>
      <c r="H84" s="1725"/>
      <c r="I84" s="1730">
        <v>0</v>
      </c>
      <c r="J84" s="1731">
        <v>0</v>
      </c>
      <c r="K84" s="1710">
        <f>398692-64820</f>
        <v>333872</v>
      </c>
      <c r="L84" s="1711">
        <f>813168-153168-4982</f>
        <v>655018</v>
      </c>
      <c r="M84" s="2254">
        <f>+E84+I84+J84+K84+L84+N84+O84</f>
        <v>4353936</v>
      </c>
      <c r="N84" s="1713">
        <f>5432672+64820-1752137-3127729</f>
        <v>617626</v>
      </c>
      <c r="O84" s="1772">
        <f>411879+1905305+3127729-2646073-51420</f>
        <v>2747420</v>
      </c>
      <c r="P84" s="1772">
        <f>3185084+408701+51420-1053724-158867</f>
        <v>2432614</v>
      </c>
      <c r="Q84" s="1772">
        <f>139157+4982+2237372-1274751</f>
        <v>1106760</v>
      </c>
      <c r="R84" s="1772">
        <f>1780473+158867</f>
        <v>1939340</v>
      </c>
      <c r="S84" s="1772">
        <v>548002</v>
      </c>
      <c r="T84" s="1711"/>
      <c r="U84" s="1711"/>
      <c r="V84" s="1711"/>
      <c r="W84" s="1711"/>
      <c r="X84" s="1757">
        <f>SUM(Q84:W84)</f>
        <v>3594102</v>
      </c>
      <c r="Y84" s="4066"/>
    </row>
    <row r="85" spans="1:25" s="1773" customFormat="1" ht="14.25" customHeight="1">
      <c r="A85" s="4089"/>
      <c r="B85" s="1049" t="s">
        <v>33</v>
      </c>
      <c r="C85" s="1689"/>
      <c r="D85" s="1690">
        <f t="shared" ref="D85:P85" si="58">+D86+D89</f>
        <v>19723223</v>
      </c>
      <c r="E85" s="1722">
        <f t="shared" si="58"/>
        <v>0</v>
      </c>
      <c r="F85" s="1722">
        <f t="shared" si="58"/>
        <v>0</v>
      </c>
      <c r="G85" s="1722">
        <f t="shared" si="58"/>
        <v>0</v>
      </c>
      <c r="H85" s="1722">
        <f t="shared" si="58"/>
        <v>0</v>
      </c>
      <c r="I85" s="1722">
        <f t="shared" si="58"/>
        <v>0</v>
      </c>
      <c r="J85" s="1722">
        <f t="shared" si="58"/>
        <v>0</v>
      </c>
      <c r="K85" s="1691">
        <f t="shared" si="58"/>
        <v>4405356</v>
      </c>
      <c r="L85" s="2327">
        <f t="shared" si="58"/>
        <v>673271</v>
      </c>
      <c r="M85" s="1691">
        <f>+M86+M89</f>
        <v>5078627</v>
      </c>
      <c r="N85" s="1691">
        <f t="shared" si="58"/>
        <v>0</v>
      </c>
      <c r="O85" s="1691">
        <f t="shared" si="58"/>
        <v>0</v>
      </c>
      <c r="P85" s="1691">
        <f t="shared" si="58"/>
        <v>6218524</v>
      </c>
      <c r="Q85" s="1691">
        <f>+Q86+Q89</f>
        <v>3442541</v>
      </c>
      <c r="R85" s="1691">
        <f>+R86+R89</f>
        <v>0</v>
      </c>
      <c r="S85" s="1691">
        <f>+S86+S89</f>
        <v>4983531</v>
      </c>
      <c r="T85" s="1691"/>
      <c r="U85" s="1691"/>
      <c r="V85" s="1691"/>
      <c r="W85" s="1691"/>
      <c r="X85" s="4095" t="s">
        <v>75</v>
      </c>
      <c r="Y85" s="4066"/>
    </row>
    <row r="86" spans="1:25" s="1743" customFormat="1" ht="14.25" customHeight="1">
      <c r="A86" s="4089"/>
      <c r="B86" s="1694" t="s">
        <v>22</v>
      </c>
      <c r="C86" s="4092" t="s">
        <v>203</v>
      </c>
      <c r="D86" s="1697">
        <f>D87</f>
        <v>9342571</v>
      </c>
      <c r="E86" s="1730">
        <f t="shared" ref="E86:S86" si="59">E87</f>
        <v>0</v>
      </c>
      <c r="F86" s="1730">
        <f t="shared" si="59"/>
        <v>0</v>
      </c>
      <c r="G86" s="1730">
        <f t="shared" si="59"/>
        <v>0</v>
      </c>
      <c r="H86" s="1730">
        <f t="shared" si="59"/>
        <v>0</v>
      </c>
      <c r="I86" s="1730">
        <f t="shared" si="59"/>
        <v>0</v>
      </c>
      <c r="J86" s="1730">
        <f t="shared" si="59"/>
        <v>0</v>
      </c>
      <c r="K86" s="1697">
        <f t="shared" si="59"/>
        <v>0</v>
      </c>
      <c r="L86" s="1712">
        <f t="shared" si="59"/>
        <v>673271</v>
      </c>
      <c r="M86" s="1697">
        <f t="shared" si="59"/>
        <v>673271</v>
      </c>
      <c r="N86" s="1763">
        <f t="shared" si="59"/>
        <v>0</v>
      </c>
      <c r="O86" s="1697">
        <f t="shared" si="59"/>
        <v>0</v>
      </c>
      <c r="P86" s="1697">
        <f t="shared" si="59"/>
        <v>1522759</v>
      </c>
      <c r="Q86" s="1697">
        <f t="shared" si="59"/>
        <v>3442541</v>
      </c>
      <c r="R86" s="1697">
        <f t="shared" si="59"/>
        <v>0</v>
      </c>
      <c r="S86" s="1697">
        <f t="shared" si="59"/>
        <v>3704000</v>
      </c>
      <c r="T86" s="1697"/>
      <c r="U86" s="1697"/>
      <c r="V86" s="1697"/>
      <c r="W86" s="1697"/>
      <c r="X86" s="4095"/>
      <c r="Y86" s="4066"/>
    </row>
    <row r="87" spans="1:25" s="1743" customFormat="1" ht="12.75" customHeight="1">
      <c r="A87" s="4089"/>
      <c r="B87" s="1699" t="s">
        <v>27</v>
      </c>
      <c r="C87" s="4093"/>
      <c r="D87" s="2264">
        <f>M87+P87+Q87+R87+S87+T87+U87+V87+W87</f>
        <v>9342571</v>
      </c>
      <c r="E87" s="1765">
        <v>0</v>
      </c>
      <c r="F87" s="1765"/>
      <c r="G87" s="1765"/>
      <c r="H87" s="1765"/>
      <c r="I87" s="1766">
        <v>0</v>
      </c>
      <c r="J87" s="1766">
        <v>0</v>
      </c>
      <c r="K87" s="1767">
        <v>0</v>
      </c>
      <c r="L87" s="1768">
        <f>2335159-1661887-1</f>
        <v>673271</v>
      </c>
      <c r="M87" s="2254">
        <f>+E87+I87+J87+K87+L87+N87+O87</f>
        <v>673271</v>
      </c>
      <c r="N87" s="1769">
        <f>3719572+2918400-6637972</f>
        <v>0</v>
      </c>
      <c r="O87" s="1767">
        <f>129366+6637972-6205919-561419</f>
        <v>0</v>
      </c>
      <c r="P87" s="1767">
        <f>2898095-1376691+2882477+561419-3442541</f>
        <v>1522759</v>
      </c>
      <c r="Q87" s="1767">
        <f>3442541</f>
        <v>3442541</v>
      </c>
      <c r="R87" s="1767">
        <f>3704000-3704000</f>
        <v>0</v>
      </c>
      <c r="S87" s="1767">
        <v>3704000</v>
      </c>
      <c r="T87" s="1767"/>
      <c r="U87" s="1767"/>
      <c r="V87" s="1767"/>
      <c r="W87" s="1767"/>
      <c r="X87" s="4095"/>
      <c r="Y87" s="4066"/>
    </row>
    <row r="88" spans="1:25" s="1743" customFormat="1" ht="14.25" customHeight="1">
      <c r="A88" s="4089"/>
      <c r="B88" s="1707" t="s">
        <v>29</v>
      </c>
      <c r="C88" s="4093"/>
      <c r="D88" s="1697">
        <f>D89</f>
        <v>10380652</v>
      </c>
      <c r="E88" s="1730">
        <f t="shared" ref="E88:S88" si="60">E89</f>
        <v>0</v>
      </c>
      <c r="F88" s="1730">
        <f t="shared" si="60"/>
        <v>0</v>
      </c>
      <c r="G88" s="1730">
        <f t="shared" si="60"/>
        <v>0</v>
      </c>
      <c r="H88" s="1730">
        <f t="shared" si="60"/>
        <v>0</v>
      </c>
      <c r="I88" s="1730">
        <f t="shared" si="60"/>
        <v>0</v>
      </c>
      <c r="J88" s="1730">
        <f t="shared" si="60"/>
        <v>0</v>
      </c>
      <c r="K88" s="1697">
        <f t="shared" si="60"/>
        <v>4405356</v>
      </c>
      <c r="L88" s="1712">
        <f t="shared" si="60"/>
        <v>0</v>
      </c>
      <c r="M88" s="1697">
        <f t="shared" si="60"/>
        <v>4405356</v>
      </c>
      <c r="N88" s="1763">
        <f t="shared" si="60"/>
        <v>0</v>
      </c>
      <c r="O88" s="1697">
        <f t="shared" si="60"/>
        <v>0</v>
      </c>
      <c r="P88" s="1697">
        <f t="shared" si="60"/>
        <v>4695765</v>
      </c>
      <c r="Q88" s="1697">
        <f t="shared" si="60"/>
        <v>0</v>
      </c>
      <c r="R88" s="1697">
        <f t="shared" si="60"/>
        <v>0</v>
      </c>
      <c r="S88" s="1697">
        <f t="shared" si="60"/>
        <v>1279531</v>
      </c>
      <c r="T88" s="1697"/>
      <c r="U88" s="1697"/>
      <c r="V88" s="1697"/>
      <c r="W88" s="1697"/>
      <c r="X88" s="4095"/>
      <c r="Y88" s="4066"/>
    </row>
    <row r="89" spans="1:25" s="1743" customFormat="1">
      <c r="A89" s="4097"/>
      <c r="B89" s="1699" t="s">
        <v>31</v>
      </c>
      <c r="C89" s="4093"/>
      <c r="D89" s="2254">
        <f>M89+P89+Q89+R89+S89+T89+U89+V89+W89</f>
        <v>10380652</v>
      </c>
      <c r="E89" s="1729">
        <v>0</v>
      </c>
      <c r="F89" s="1729"/>
      <c r="G89" s="1729"/>
      <c r="H89" s="1729"/>
      <c r="I89" s="1727">
        <v>0</v>
      </c>
      <c r="J89" s="1727">
        <v>0</v>
      </c>
      <c r="K89" s="1701">
        <v>4405356</v>
      </c>
      <c r="L89" s="1701">
        <v>0</v>
      </c>
      <c r="M89" s="2254">
        <f>+E89+I89+J89+K89+L89+N89+O89</f>
        <v>4405356</v>
      </c>
      <c r="N89" s="1778">
        <f>4152261-4152261</f>
        <v>0</v>
      </c>
      <c r="O89" s="1702">
        <f>4152261-4152261</f>
        <v>0</v>
      </c>
      <c r="P89" s="1702">
        <f>1823035+2582321+290409</f>
        <v>4695765</v>
      </c>
      <c r="Q89" s="1702">
        <v>0</v>
      </c>
      <c r="R89" s="1702">
        <f>1569940-1569940</f>
        <v>0</v>
      </c>
      <c r="S89" s="1702">
        <v>1279531</v>
      </c>
      <c r="T89" s="1702"/>
      <c r="U89" s="1702"/>
      <c r="V89" s="1702"/>
      <c r="W89" s="1702"/>
      <c r="X89" s="4095"/>
      <c r="Y89" s="4088"/>
    </row>
    <row r="90" spans="1:25" s="639" customFormat="1" hidden="1">
      <c r="A90" s="4089"/>
      <c r="B90" s="1719"/>
      <c r="C90" s="1774" t="s">
        <v>95</v>
      </c>
      <c r="D90" s="1774"/>
      <c r="E90" s="1775"/>
      <c r="F90" s="1775"/>
      <c r="G90" s="1775"/>
      <c r="H90" s="1775"/>
      <c r="I90" s="1776"/>
      <c r="J90" s="1776"/>
      <c r="K90" s="1776"/>
      <c r="L90" s="1776"/>
      <c r="M90" s="1776"/>
      <c r="N90" s="1776"/>
      <c r="O90" s="106"/>
      <c r="P90" s="106"/>
      <c r="Q90" s="106"/>
      <c r="R90" s="106"/>
      <c r="S90" s="106"/>
      <c r="T90" s="106"/>
      <c r="U90" s="106"/>
      <c r="V90" s="106"/>
      <c r="W90" s="106"/>
      <c r="X90" s="1721"/>
      <c r="Y90" s="4066" t="s">
        <v>202</v>
      </c>
    </row>
    <row r="91" spans="1:25" s="1565" customFormat="1" ht="13.5" hidden="1" customHeight="1">
      <c r="A91" s="4089"/>
      <c r="B91" s="1049" t="s">
        <v>21</v>
      </c>
      <c r="C91" s="1689"/>
      <c r="D91" s="1744">
        <f>+D92+D94</f>
        <v>0</v>
      </c>
      <c r="E91" s="1746">
        <f>+E92+E94</f>
        <v>0</v>
      </c>
      <c r="F91" s="1746"/>
      <c r="G91" s="1746"/>
      <c r="H91" s="1746">
        <f t="shared" ref="H91:O91" si="61">+H92+H94</f>
        <v>0</v>
      </c>
      <c r="I91" s="1746">
        <f t="shared" si="61"/>
        <v>0</v>
      </c>
      <c r="J91" s="1746">
        <f t="shared" si="61"/>
        <v>0</v>
      </c>
      <c r="K91" s="1746">
        <f t="shared" si="61"/>
        <v>0</v>
      </c>
      <c r="L91" s="1747">
        <f t="shared" si="61"/>
        <v>0</v>
      </c>
      <c r="M91" s="1746">
        <f>+M92+M94</f>
        <v>0</v>
      </c>
      <c r="N91" s="1746">
        <f t="shared" si="61"/>
        <v>0</v>
      </c>
      <c r="O91" s="1691">
        <f t="shared" si="61"/>
        <v>0</v>
      </c>
      <c r="P91" s="1691"/>
      <c r="Q91" s="1691"/>
      <c r="R91" s="1691"/>
      <c r="S91" s="1691"/>
      <c r="T91" s="1691"/>
      <c r="U91" s="1691"/>
      <c r="V91" s="1691"/>
      <c r="W91" s="1691"/>
      <c r="X91" s="1693">
        <f>+X92+X94</f>
        <v>0</v>
      </c>
      <c r="Y91" s="4066"/>
    </row>
    <row r="92" spans="1:25" s="1565" customFormat="1" ht="13.5" hidden="1" customHeight="1">
      <c r="A92" s="4089"/>
      <c r="B92" s="1694" t="s">
        <v>22</v>
      </c>
      <c r="C92" s="4083" t="s">
        <v>203</v>
      </c>
      <c r="D92" s="1771">
        <f>+D93</f>
        <v>0</v>
      </c>
      <c r="E92" s="1771">
        <f>+E93</f>
        <v>0</v>
      </c>
      <c r="F92" s="1771"/>
      <c r="G92" s="1771"/>
      <c r="H92" s="1771">
        <f>+H93</f>
        <v>0</v>
      </c>
      <c r="I92" s="1763">
        <f t="shared" ref="I92:X92" si="62">SUM(I93:I93)</f>
        <v>0</v>
      </c>
      <c r="J92" s="1763">
        <f t="shared" si="62"/>
        <v>0</v>
      </c>
      <c r="K92" s="1763">
        <f t="shared" si="62"/>
        <v>0</v>
      </c>
      <c r="L92" s="1763">
        <f t="shared" si="62"/>
        <v>0</v>
      </c>
      <c r="M92" s="1763">
        <f t="shared" si="62"/>
        <v>0</v>
      </c>
      <c r="N92" s="1763">
        <f t="shared" si="62"/>
        <v>0</v>
      </c>
      <c r="O92" s="1697">
        <f t="shared" si="62"/>
        <v>0</v>
      </c>
      <c r="P92" s="1697"/>
      <c r="Q92" s="1697"/>
      <c r="R92" s="1697"/>
      <c r="S92" s="1697"/>
      <c r="T92" s="1697"/>
      <c r="U92" s="1697"/>
      <c r="V92" s="1697"/>
      <c r="W92" s="1697"/>
      <c r="X92" s="1698">
        <f t="shared" si="62"/>
        <v>0</v>
      </c>
      <c r="Y92" s="4066"/>
    </row>
    <row r="93" spans="1:25" s="639" customFormat="1" hidden="1">
      <c r="A93" s="4089"/>
      <c r="B93" s="1699" t="s">
        <v>25</v>
      </c>
      <c r="C93" s="4083"/>
      <c r="D93" s="1700">
        <f>M93+O93+P93+Q93+R93+S93+T93</f>
        <v>0</v>
      </c>
      <c r="E93" s="1777"/>
      <c r="F93" s="1777"/>
      <c r="G93" s="1777"/>
      <c r="H93" s="1777"/>
      <c r="I93" s="1778"/>
      <c r="J93" s="1778"/>
      <c r="K93" s="1778"/>
      <c r="L93" s="1778"/>
      <c r="M93" s="1701">
        <f>E93+I93+J93+K93+L93+N93</f>
        <v>0</v>
      </c>
      <c r="N93" s="1778"/>
      <c r="O93" s="1701"/>
      <c r="P93" s="1701"/>
      <c r="Q93" s="1701"/>
      <c r="R93" s="1701"/>
      <c r="S93" s="1701"/>
      <c r="T93" s="1701"/>
      <c r="U93" s="1701"/>
      <c r="V93" s="1701"/>
      <c r="W93" s="1701"/>
      <c r="X93" s="1703">
        <f>SUM(P93:T93)</f>
        <v>0</v>
      </c>
      <c r="Y93" s="4066"/>
    </row>
    <row r="94" spans="1:25" s="639" customFormat="1" ht="13.5" hidden="1" customHeight="1">
      <c r="A94" s="4089"/>
      <c r="B94" s="1707" t="s">
        <v>29</v>
      </c>
      <c r="C94" s="4083"/>
      <c r="D94" s="1771">
        <f>+D95+D96</f>
        <v>0</v>
      </c>
      <c r="E94" s="1695">
        <f>+E95+E96</f>
        <v>0</v>
      </c>
      <c r="F94" s="1695">
        <f t="shared" ref="F94:O94" si="63">+F95+F96</f>
        <v>0</v>
      </c>
      <c r="G94" s="1695">
        <f t="shared" si="63"/>
        <v>0</v>
      </c>
      <c r="H94" s="1695">
        <f t="shared" si="63"/>
        <v>0</v>
      </c>
      <c r="I94" s="1695">
        <f t="shared" si="63"/>
        <v>0</v>
      </c>
      <c r="J94" s="1695">
        <f t="shared" si="63"/>
        <v>0</v>
      </c>
      <c r="K94" s="1695">
        <f t="shared" si="63"/>
        <v>0</v>
      </c>
      <c r="L94" s="1695">
        <f t="shared" si="63"/>
        <v>0</v>
      </c>
      <c r="M94" s="1695">
        <f t="shared" si="63"/>
        <v>0</v>
      </c>
      <c r="N94" s="1695">
        <f t="shared" si="63"/>
        <v>0</v>
      </c>
      <c r="O94" s="1695">
        <f t="shared" si="63"/>
        <v>0</v>
      </c>
      <c r="P94" s="1697"/>
      <c r="Q94" s="1697"/>
      <c r="R94" s="1697"/>
      <c r="S94" s="1697"/>
      <c r="T94" s="1697"/>
      <c r="U94" s="1697"/>
      <c r="V94" s="1697"/>
      <c r="W94" s="1697"/>
      <c r="X94" s="1698">
        <f>+X95</f>
        <v>0</v>
      </c>
      <c r="Y94" s="4066"/>
    </row>
    <row r="95" spans="1:25" s="639" customFormat="1" ht="13.5" hidden="1" customHeight="1">
      <c r="A95" s="4089"/>
      <c r="B95" s="1699" t="s">
        <v>32</v>
      </c>
      <c r="C95" s="4083"/>
      <c r="D95" s="1700">
        <f>M95+O95+P95+Q95+R95+S95+T95</f>
        <v>0</v>
      </c>
      <c r="E95" s="1706"/>
      <c r="F95" s="1706"/>
      <c r="G95" s="1706"/>
      <c r="H95" s="1706"/>
      <c r="I95" s="1701"/>
      <c r="J95" s="1701"/>
      <c r="K95" s="1701"/>
      <c r="L95" s="1778"/>
      <c r="M95" s="1701">
        <f>E95+I95+J95+K95+L95+N95</f>
        <v>0</v>
      </c>
      <c r="N95" s="1778"/>
      <c r="O95" s="1701"/>
      <c r="P95" s="1701"/>
      <c r="Q95" s="1701"/>
      <c r="R95" s="1701"/>
      <c r="S95" s="1701"/>
      <c r="T95" s="1701"/>
      <c r="U95" s="1701"/>
      <c r="V95" s="1701"/>
      <c r="W95" s="1701"/>
      <c r="X95" s="1703">
        <f>SUM(P95:T95)</f>
        <v>0</v>
      </c>
      <c r="Y95" s="4066"/>
    </row>
    <row r="96" spans="1:25" s="639" customFormat="1" ht="12" hidden="1" customHeight="1">
      <c r="A96" s="4089"/>
      <c r="B96" s="1699" t="s">
        <v>25</v>
      </c>
      <c r="C96" s="4083"/>
      <c r="D96" s="1700">
        <f>M96+O96+P96+Q96+R96+S96+T96</f>
        <v>0</v>
      </c>
      <c r="E96" s="1706"/>
      <c r="F96" s="1706"/>
      <c r="G96" s="1706"/>
      <c r="H96" s="1706"/>
      <c r="I96" s="1701"/>
      <c r="J96" s="1727">
        <v>0</v>
      </c>
      <c r="K96" s="1727">
        <v>0</v>
      </c>
      <c r="L96" s="1779">
        <v>0</v>
      </c>
      <c r="M96" s="1701">
        <f>E96+I96+J96+K96+L96+N96</f>
        <v>0</v>
      </c>
      <c r="N96" s="1424">
        <v>0</v>
      </c>
      <c r="O96" s="1727">
        <v>0</v>
      </c>
      <c r="P96" s="1701"/>
      <c r="Q96" s="1701"/>
      <c r="R96" s="1701"/>
      <c r="S96" s="1701"/>
      <c r="T96" s="1701"/>
      <c r="U96" s="1701"/>
      <c r="V96" s="1701"/>
      <c r="W96" s="1701"/>
      <c r="X96" s="1703">
        <f>SUM(P96:T96)</f>
        <v>0</v>
      </c>
      <c r="Y96" s="4066"/>
    </row>
    <row r="97" spans="1:29" s="639" customFormat="1" ht="13.5" hidden="1" customHeight="1">
      <c r="A97" s="4089"/>
      <c r="B97" s="1049" t="s">
        <v>33</v>
      </c>
      <c r="C97" s="1689"/>
      <c r="D97" s="1746">
        <f>+D98+D100</f>
        <v>0</v>
      </c>
      <c r="E97" s="1691">
        <f>+E98+E100</f>
        <v>0</v>
      </c>
      <c r="F97" s="1691"/>
      <c r="G97" s="1691"/>
      <c r="H97" s="1691">
        <f t="shared" ref="H97:O97" si="64">+H98+H100</f>
        <v>0</v>
      </c>
      <c r="I97" s="1691">
        <f t="shared" si="64"/>
        <v>0</v>
      </c>
      <c r="J97" s="1691">
        <f t="shared" si="64"/>
        <v>0</v>
      </c>
      <c r="K97" s="1691">
        <f t="shared" si="64"/>
        <v>0</v>
      </c>
      <c r="L97" s="1747">
        <f t="shared" si="64"/>
        <v>0</v>
      </c>
      <c r="M97" s="1746">
        <f>+M98+M100</f>
        <v>0</v>
      </c>
      <c r="N97" s="1746">
        <f t="shared" si="64"/>
        <v>0</v>
      </c>
      <c r="O97" s="1691">
        <f t="shared" si="64"/>
        <v>0</v>
      </c>
      <c r="P97" s="1691"/>
      <c r="Q97" s="1691"/>
      <c r="R97" s="1691"/>
      <c r="S97" s="1691"/>
      <c r="T97" s="1691"/>
      <c r="U97" s="1691"/>
      <c r="V97" s="1691"/>
      <c r="W97" s="1691"/>
      <c r="X97" s="3820" t="s">
        <v>75</v>
      </c>
      <c r="Y97" s="4066"/>
      <c r="Z97" s="1780"/>
    </row>
    <row r="98" spans="1:29" s="1743" customFormat="1" ht="14.25" hidden="1" customHeight="1">
      <c r="A98" s="4089"/>
      <c r="B98" s="1694" t="s">
        <v>22</v>
      </c>
      <c r="C98" s="4083" t="s">
        <v>203</v>
      </c>
      <c r="D98" s="1763">
        <f>+D99</f>
        <v>0</v>
      </c>
      <c r="E98" s="1695">
        <f>+E99</f>
        <v>0</v>
      </c>
      <c r="F98" s="1695"/>
      <c r="G98" s="1695"/>
      <c r="H98" s="1695">
        <f>+H99</f>
        <v>0</v>
      </c>
      <c r="I98" s="1697">
        <f t="shared" ref="I98:O98" si="65">SUM(I99:I99)</f>
        <v>0</v>
      </c>
      <c r="J98" s="1697">
        <f t="shared" si="65"/>
        <v>0</v>
      </c>
      <c r="K98" s="1697">
        <f t="shared" si="65"/>
        <v>0</v>
      </c>
      <c r="L98" s="1763">
        <f t="shared" si="65"/>
        <v>0</v>
      </c>
      <c r="M98" s="1763">
        <f t="shared" si="65"/>
        <v>0</v>
      </c>
      <c r="N98" s="1763">
        <f t="shared" si="65"/>
        <v>0</v>
      </c>
      <c r="O98" s="1697">
        <f t="shared" si="65"/>
        <v>0</v>
      </c>
      <c r="P98" s="1697"/>
      <c r="Q98" s="1697"/>
      <c r="R98" s="1697"/>
      <c r="S98" s="1697"/>
      <c r="T98" s="1697"/>
      <c r="U98" s="1697"/>
      <c r="V98" s="1697"/>
      <c r="W98" s="1697"/>
      <c r="X98" s="3820"/>
      <c r="Y98" s="4066"/>
      <c r="Z98" s="1780"/>
    </row>
    <row r="99" spans="1:29" s="1743" customFormat="1" hidden="1">
      <c r="A99" s="4089"/>
      <c r="B99" s="1699" t="s">
        <v>25</v>
      </c>
      <c r="C99" s="4083"/>
      <c r="D99" s="1700">
        <f>M99+O99+P99+Q99+R99+S99+T99</f>
        <v>0</v>
      </c>
      <c r="E99" s="1706"/>
      <c r="F99" s="1706"/>
      <c r="G99" s="1706"/>
      <c r="H99" s="1706"/>
      <c r="I99" s="1701"/>
      <c r="J99" s="1701"/>
      <c r="K99" s="1701"/>
      <c r="L99" s="1778"/>
      <c r="M99" s="1701">
        <f>E99+I99+J99+K99+L99+N99</f>
        <v>0</v>
      </c>
      <c r="N99" s="1778"/>
      <c r="O99" s="1701"/>
      <c r="P99" s="1701"/>
      <c r="Q99" s="1701"/>
      <c r="R99" s="1701"/>
      <c r="S99" s="1701"/>
      <c r="T99" s="1701"/>
      <c r="U99" s="1701"/>
      <c r="V99" s="1701"/>
      <c r="W99" s="1701"/>
      <c r="X99" s="3820"/>
      <c r="Y99" s="4066"/>
      <c r="Z99" s="1780"/>
    </row>
    <row r="100" spans="1:29" s="1743" customFormat="1" ht="12.75" hidden="1" customHeight="1">
      <c r="A100" s="4089"/>
      <c r="B100" s="1707" t="s">
        <v>29</v>
      </c>
      <c r="C100" s="4083"/>
      <c r="D100" s="1763">
        <f t="shared" ref="D100:O100" si="66">+D101+D102</f>
        <v>0</v>
      </c>
      <c r="E100" s="1697">
        <f t="shared" si="66"/>
        <v>0</v>
      </c>
      <c r="F100" s="1697">
        <f t="shared" si="66"/>
        <v>0</v>
      </c>
      <c r="G100" s="1697">
        <f t="shared" si="66"/>
        <v>0</v>
      </c>
      <c r="H100" s="1697">
        <f t="shared" si="66"/>
        <v>0</v>
      </c>
      <c r="I100" s="1697">
        <f t="shared" si="66"/>
        <v>0</v>
      </c>
      <c r="J100" s="1697">
        <f t="shared" si="66"/>
        <v>0</v>
      </c>
      <c r="K100" s="1697">
        <f t="shared" si="66"/>
        <v>0</v>
      </c>
      <c r="L100" s="1697">
        <f t="shared" si="66"/>
        <v>0</v>
      </c>
      <c r="M100" s="1697">
        <f t="shared" si="66"/>
        <v>0</v>
      </c>
      <c r="N100" s="1697">
        <f t="shared" si="66"/>
        <v>0</v>
      </c>
      <c r="O100" s="1697">
        <f t="shared" si="66"/>
        <v>0</v>
      </c>
      <c r="P100" s="1697"/>
      <c r="Q100" s="1697"/>
      <c r="R100" s="1697"/>
      <c r="S100" s="1697"/>
      <c r="T100" s="1697"/>
      <c r="U100" s="1697"/>
      <c r="V100" s="1697"/>
      <c r="W100" s="1697"/>
      <c r="X100" s="3820"/>
      <c r="Y100" s="4066"/>
      <c r="Z100" s="1780"/>
    </row>
    <row r="101" spans="1:29" s="1743" customFormat="1" ht="12.75" hidden="1" customHeight="1">
      <c r="A101" s="4089"/>
      <c r="B101" s="1705" t="s">
        <v>32</v>
      </c>
      <c r="C101" s="4083"/>
      <c r="D101" s="1700">
        <f>M101+O101+P101+Q101+R101+S101+T101</f>
        <v>0</v>
      </c>
      <c r="E101" s="1706"/>
      <c r="F101" s="1706"/>
      <c r="G101" s="1706"/>
      <c r="H101" s="1706"/>
      <c r="I101" s="1701"/>
      <c r="J101" s="1701"/>
      <c r="K101" s="1701"/>
      <c r="L101" s="1778"/>
      <c r="M101" s="1701">
        <f>E101+I101+J101+K101+L101+N101</f>
        <v>0</v>
      </c>
      <c r="N101" s="1778"/>
      <c r="O101" s="1701"/>
      <c r="P101" s="1701"/>
      <c r="Q101" s="1701"/>
      <c r="R101" s="1701"/>
      <c r="S101" s="1701"/>
      <c r="T101" s="1701"/>
      <c r="U101" s="1701"/>
      <c r="V101" s="1701"/>
      <c r="W101" s="1701"/>
      <c r="X101" s="3820"/>
      <c r="Y101" s="4066"/>
      <c r="Z101" s="1780"/>
    </row>
    <row r="102" spans="1:29" s="1743" customFormat="1" ht="12.75" hidden="1" customHeight="1">
      <c r="A102" s="4089"/>
      <c r="B102" s="1699" t="s">
        <v>25</v>
      </c>
      <c r="C102" s="4083"/>
      <c r="D102" s="1700">
        <f>M102+O102+P102+Q102+R102+S102+T102</f>
        <v>0</v>
      </c>
      <c r="E102" s="1706"/>
      <c r="F102" s="1706"/>
      <c r="G102" s="1706"/>
      <c r="H102" s="1706"/>
      <c r="I102" s="1701"/>
      <c r="J102" s="1727">
        <v>0</v>
      </c>
      <c r="K102" s="1727">
        <v>0</v>
      </c>
      <c r="L102" s="1727">
        <v>0</v>
      </c>
      <c r="M102" s="1701">
        <f>E102+I102+J102+K102+L102+N102</f>
        <v>0</v>
      </c>
      <c r="N102" s="1727">
        <v>0</v>
      </c>
      <c r="O102" s="1735">
        <v>0</v>
      </c>
      <c r="P102" s="1702"/>
      <c r="Q102" s="1702"/>
      <c r="R102" s="1702"/>
      <c r="S102" s="1702"/>
      <c r="T102" s="1702"/>
      <c r="U102" s="1702"/>
      <c r="V102" s="1702"/>
      <c r="W102" s="1702"/>
      <c r="X102" s="3820"/>
      <c r="Y102" s="4088"/>
      <c r="Z102" s="1780"/>
    </row>
    <row r="103" spans="1:29" ht="18.75" hidden="1" customHeight="1">
      <c r="A103" s="4081" t="s">
        <v>79</v>
      </c>
      <c r="B103" s="1737" t="s">
        <v>204</v>
      </c>
      <c r="C103" s="1738" t="s">
        <v>125</v>
      </c>
      <c r="D103" s="1738"/>
      <c r="E103" s="1739"/>
      <c r="F103" s="1739"/>
      <c r="G103" s="1739"/>
      <c r="H103" s="1739"/>
      <c r="I103" s="1740"/>
      <c r="J103" s="1740"/>
      <c r="K103" s="1740"/>
      <c r="L103" s="1740"/>
      <c r="M103" s="1740"/>
      <c r="N103" s="1740"/>
      <c r="O103" s="1740"/>
      <c r="P103" s="1740"/>
      <c r="Q103" s="1740"/>
      <c r="R103" s="1740"/>
      <c r="S103" s="1740"/>
      <c r="T103" s="1740"/>
      <c r="U103" s="1740"/>
      <c r="V103" s="1740"/>
      <c r="W103" s="1740"/>
      <c r="X103" s="1742"/>
      <c r="Y103" s="4091" t="s">
        <v>205</v>
      </c>
    </row>
    <row r="104" spans="1:29" ht="15" hidden="1" customHeight="1">
      <c r="A104" s="4089"/>
      <c r="B104" s="1049" t="s">
        <v>21</v>
      </c>
      <c r="C104" s="1781"/>
      <c r="D104" s="1690">
        <f>+D105+D108</f>
        <v>0</v>
      </c>
      <c r="E104" s="1691">
        <f t="shared" ref="E104:O104" si="67">+E105+E108</f>
        <v>0</v>
      </c>
      <c r="F104" s="1691">
        <f t="shared" si="67"/>
        <v>0</v>
      </c>
      <c r="G104" s="1691">
        <f t="shared" si="67"/>
        <v>0</v>
      </c>
      <c r="H104" s="1691">
        <f t="shared" si="67"/>
        <v>0</v>
      </c>
      <c r="I104" s="1691">
        <f t="shared" si="67"/>
        <v>0</v>
      </c>
      <c r="J104" s="1691">
        <f t="shared" si="67"/>
        <v>0</v>
      </c>
      <c r="K104" s="1691">
        <f t="shared" si="67"/>
        <v>0</v>
      </c>
      <c r="L104" s="1692">
        <f>+L105+L108</f>
        <v>0</v>
      </c>
      <c r="M104" s="1782">
        <f>+M105+M108</f>
        <v>0</v>
      </c>
      <c r="N104" s="1691">
        <f t="shared" si="67"/>
        <v>0</v>
      </c>
      <c r="O104" s="1691">
        <f t="shared" si="67"/>
        <v>0</v>
      </c>
      <c r="P104" s="1691"/>
      <c r="Q104" s="1746"/>
      <c r="R104" s="1746"/>
      <c r="S104" s="1746"/>
      <c r="T104" s="1746"/>
      <c r="U104" s="1746"/>
      <c r="V104" s="1746"/>
      <c r="W104" s="1746"/>
      <c r="X104" s="1693">
        <f>+X105+X108</f>
        <v>0</v>
      </c>
      <c r="Y104" s="4066"/>
      <c r="Z104" s="1082"/>
    </row>
    <row r="105" spans="1:29" ht="12" hidden="1" customHeight="1">
      <c r="A105" s="4089"/>
      <c r="B105" s="1694" t="s">
        <v>22</v>
      </c>
      <c r="C105" s="4100" t="s">
        <v>206</v>
      </c>
      <c r="D105" s="1695">
        <f>+D106+D107</f>
        <v>0</v>
      </c>
      <c r="E105" s="1695">
        <f>+E106+E107</f>
        <v>0</v>
      </c>
      <c r="F105" s="1695">
        <f>+F106+F107</f>
        <v>0</v>
      </c>
      <c r="G105" s="1695">
        <f>+G106+G107</f>
        <v>0</v>
      </c>
      <c r="H105" s="1695">
        <f>+H106+H107</f>
        <v>0</v>
      </c>
      <c r="I105" s="1697">
        <f>SUM(I106:I107)</f>
        <v>0</v>
      </c>
      <c r="J105" s="1697">
        <f>SUM(J106:J107)</f>
        <v>0</v>
      </c>
      <c r="K105" s="1697">
        <f>SUM(K106:K107)</f>
        <v>0</v>
      </c>
      <c r="L105" s="1712">
        <f>L106+L107</f>
        <v>0</v>
      </c>
      <c r="M105" s="1712">
        <f>M106+M107</f>
        <v>0</v>
      </c>
      <c r="N105" s="1697">
        <f>N106+N107</f>
        <v>0</v>
      </c>
      <c r="O105" s="1697">
        <f>O106+O107</f>
        <v>0</v>
      </c>
      <c r="P105" s="1697"/>
      <c r="Q105" s="1697"/>
      <c r="R105" s="1697"/>
      <c r="S105" s="1697"/>
      <c r="T105" s="1697"/>
      <c r="U105" s="1697"/>
      <c r="V105" s="1697"/>
      <c r="W105" s="1697"/>
      <c r="X105" s="1698">
        <f>X106+X107</f>
        <v>0</v>
      </c>
      <c r="Y105" s="4066"/>
      <c r="Z105" s="1082"/>
    </row>
    <row r="106" spans="1:29" ht="12" hidden="1" customHeight="1">
      <c r="A106" s="4089"/>
      <c r="B106" s="1699" t="s">
        <v>23</v>
      </c>
      <c r="C106" s="4101"/>
      <c r="D106" s="1700">
        <f>M106+O106+P106+Q106+R106+S106+T106</f>
        <v>0</v>
      </c>
      <c r="E106" s="1706">
        <f>F106+G106+H106</f>
        <v>0</v>
      </c>
      <c r="F106" s="1706"/>
      <c r="G106" s="1706"/>
      <c r="H106" s="1706"/>
      <c r="I106" s="1701"/>
      <c r="J106" s="1701"/>
      <c r="K106" s="1701"/>
      <c r="L106" s="1702"/>
      <c r="M106" s="1701">
        <f>E106+I106+J106+K106+L106+N106</f>
        <v>0</v>
      </c>
      <c r="N106" s="1701"/>
      <c r="O106" s="1701"/>
      <c r="P106" s="1701"/>
      <c r="Q106" s="1701"/>
      <c r="R106" s="1701"/>
      <c r="S106" s="1701"/>
      <c r="T106" s="1701"/>
      <c r="U106" s="1701"/>
      <c r="V106" s="1701"/>
      <c r="W106" s="1701"/>
      <c r="X106" s="1703">
        <f>SUM(P106:T106)</f>
        <v>0</v>
      </c>
      <c r="Y106" s="4066"/>
      <c r="Z106" s="1082">
        <f>D106-D114</f>
        <v>0</v>
      </c>
      <c r="AA106" s="1082"/>
    </row>
    <row r="107" spans="1:29" ht="12" hidden="1" customHeight="1">
      <c r="A107" s="4089"/>
      <c r="B107" s="1699" t="s">
        <v>25</v>
      </c>
      <c r="C107" s="4101"/>
      <c r="D107" s="1700">
        <f>M107+O107+P107+Q107+R107+S107+T107</f>
        <v>0</v>
      </c>
      <c r="E107" s="1706"/>
      <c r="F107" s="1706"/>
      <c r="G107" s="1706"/>
      <c r="H107" s="1706"/>
      <c r="I107" s="1701"/>
      <c r="J107" s="1701"/>
      <c r="K107" s="1701"/>
      <c r="L107" s="1702"/>
      <c r="M107" s="1701">
        <f>E107+I107+J107+K107+L107+N107</f>
        <v>0</v>
      </c>
      <c r="N107" s="1701"/>
      <c r="O107" s="1701"/>
      <c r="P107" s="1701"/>
      <c r="Q107" s="1701"/>
      <c r="R107" s="1701"/>
      <c r="S107" s="1701"/>
      <c r="T107" s="1701"/>
      <c r="U107" s="1701"/>
      <c r="V107" s="1701"/>
      <c r="W107" s="1701"/>
      <c r="X107" s="1703">
        <f>SUM(P107:T107)</f>
        <v>0</v>
      </c>
      <c r="Y107" s="4066"/>
      <c r="Z107" s="1082">
        <f>D109-D117</f>
        <v>0</v>
      </c>
    </row>
    <row r="108" spans="1:29" ht="12" hidden="1" customHeight="1">
      <c r="A108" s="4089"/>
      <c r="B108" s="1707" t="s">
        <v>29</v>
      </c>
      <c r="C108" s="4101"/>
      <c r="D108" s="1695">
        <f>+D110+D109</f>
        <v>0</v>
      </c>
      <c r="E108" s="1695">
        <f t="shared" ref="E108:O108" si="68">+E110+E109</f>
        <v>0</v>
      </c>
      <c r="F108" s="1695">
        <f t="shared" si="68"/>
        <v>0</v>
      </c>
      <c r="G108" s="1695">
        <f t="shared" si="68"/>
        <v>0</v>
      </c>
      <c r="H108" s="1695">
        <f t="shared" si="68"/>
        <v>0</v>
      </c>
      <c r="I108" s="1695">
        <f t="shared" si="68"/>
        <v>0</v>
      </c>
      <c r="J108" s="1695">
        <f t="shared" si="68"/>
        <v>0</v>
      </c>
      <c r="K108" s="1695">
        <f t="shared" si="68"/>
        <v>0</v>
      </c>
      <c r="L108" s="1696">
        <f t="shared" si="68"/>
        <v>0</v>
      </c>
      <c r="M108" s="1712">
        <f>+M110+M109</f>
        <v>0</v>
      </c>
      <c r="N108" s="1697">
        <f t="shared" si="68"/>
        <v>0</v>
      </c>
      <c r="O108" s="1695">
        <f t="shared" si="68"/>
        <v>0</v>
      </c>
      <c r="P108" s="1695"/>
      <c r="Q108" s="1695"/>
      <c r="R108" s="1763"/>
      <c r="S108" s="1763"/>
      <c r="T108" s="1763"/>
      <c r="U108" s="1763"/>
      <c r="V108" s="1763"/>
      <c r="W108" s="1763"/>
      <c r="X108" s="1698">
        <f>+X110</f>
        <v>0</v>
      </c>
      <c r="Y108" s="4066"/>
      <c r="Z108" s="1082"/>
      <c r="AA108" s="1082"/>
      <c r="AB108" s="1082"/>
      <c r="AC108" s="1082"/>
    </row>
    <row r="109" spans="1:29" ht="12" hidden="1" customHeight="1">
      <c r="A109" s="4089"/>
      <c r="B109" s="1699" t="s">
        <v>23</v>
      </c>
      <c r="C109" s="4101"/>
      <c r="D109" s="1700">
        <f>M109+O109+P109+Q109+R109+S109+T109</f>
        <v>0</v>
      </c>
      <c r="E109" s="1706">
        <f>F109+G109+H109</f>
        <v>0</v>
      </c>
      <c r="F109" s="1709"/>
      <c r="G109" s="1709"/>
      <c r="H109" s="1709"/>
      <c r="I109" s="1710"/>
      <c r="J109" s="1710"/>
      <c r="K109" s="1710"/>
      <c r="L109" s="1702"/>
      <c r="M109" s="1701">
        <f>E109+I109+J109+K109+L109+N109</f>
        <v>0</v>
      </c>
      <c r="N109" s="1701"/>
      <c r="O109" s="1730">
        <v>0</v>
      </c>
      <c r="P109" s="1697"/>
      <c r="Q109" s="1763"/>
      <c r="R109" s="1763"/>
      <c r="S109" s="1763"/>
      <c r="T109" s="1763"/>
      <c r="U109" s="1763"/>
      <c r="V109" s="1763"/>
      <c r="W109" s="1763"/>
      <c r="X109" s="1703">
        <f>SUM(P109:T109)</f>
        <v>0</v>
      </c>
      <c r="Y109" s="4066"/>
    </row>
    <row r="110" spans="1:29" ht="12" hidden="1" customHeight="1">
      <c r="A110" s="4098"/>
      <c r="B110" s="1699" t="s">
        <v>25</v>
      </c>
      <c r="C110" s="4102"/>
      <c r="D110" s="1700">
        <f>M110+O110+P110+Q110+R110+S110+T110</f>
        <v>0</v>
      </c>
      <c r="E110" s="1706"/>
      <c r="F110" s="1709"/>
      <c r="G110" s="1709"/>
      <c r="H110" s="1706"/>
      <c r="I110" s="1701"/>
      <c r="J110" s="1701"/>
      <c r="K110" s="1701"/>
      <c r="L110" s="1702"/>
      <c r="M110" s="1701">
        <f>E110+I110+J110+K110+L110+N110</f>
        <v>0</v>
      </c>
      <c r="N110" s="1701"/>
      <c r="O110" s="1701"/>
      <c r="P110" s="1701"/>
      <c r="Q110" s="1701"/>
      <c r="R110" s="1701"/>
      <c r="S110" s="1701"/>
      <c r="T110" s="1701"/>
      <c r="U110" s="1701"/>
      <c r="V110" s="1701"/>
      <c r="W110" s="1701"/>
      <c r="X110" s="1703">
        <f>SUM(P110:T110)</f>
        <v>0</v>
      </c>
      <c r="Y110" s="4066"/>
    </row>
    <row r="111" spans="1:29" ht="14.25" hidden="1" customHeight="1">
      <c r="A111" s="4098"/>
      <c r="B111" s="1049" t="s">
        <v>33</v>
      </c>
      <c r="C111" s="1744"/>
      <c r="D111" s="1691">
        <f t="shared" ref="D111:O111" si="69">+D112+D115</f>
        <v>0</v>
      </c>
      <c r="E111" s="1691">
        <f t="shared" si="69"/>
        <v>0</v>
      </c>
      <c r="F111" s="1691">
        <f t="shared" si="69"/>
        <v>0</v>
      </c>
      <c r="G111" s="1691">
        <f t="shared" si="69"/>
        <v>0</v>
      </c>
      <c r="H111" s="1691">
        <f t="shared" si="69"/>
        <v>0</v>
      </c>
      <c r="I111" s="1691">
        <f t="shared" si="69"/>
        <v>0</v>
      </c>
      <c r="J111" s="1691">
        <f t="shared" si="69"/>
        <v>0</v>
      </c>
      <c r="K111" s="1691">
        <f t="shared" si="69"/>
        <v>0</v>
      </c>
      <c r="L111" s="1692">
        <f t="shared" si="69"/>
        <v>0</v>
      </c>
      <c r="M111" s="1782">
        <f>+M112+M115</f>
        <v>0</v>
      </c>
      <c r="N111" s="1691">
        <f t="shared" si="69"/>
        <v>0</v>
      </c>
      <c r="O111" s="1691">
        <f t="shared" si="69"/>
        <v>0</v>
      </c>
      <c r="P111" s="1746"/>
      <c r="Q111" s="1746"/>
      <c r="R111" s="1746"/>
      <c r="S111" s="1746"/>
      <c r="T111" s="1746"/>
      <c r="U111" s="1746"/>
      <c r="V111" s="1746"/>
      <c r="W111" s="1746"/>
      <c r="X111" s="3820" t="s">
        <v>75</v>
      </c>
      <c r="Y111" s="4066"/>
    </row>
    <row r="112" spans="1:29" ht="12.95" hidden="1" customHeight="1">
      <c r="A112" s="4098"/>
      <c r="B112" s="1694" t="s">
        <v>22</v>
      </c>
      <c r="C112" s="4103" t="s">
        <v>206</v>
      </c>
      <c r="D112" s="1697">
        <f t="shared" ref="D112:O112" si="70">+D113+D114</f>
        <v>0</v>
      </c>
      <c r="E112" s="1697">
        <f t="shared" si="70"/>
        <v>0</v>
      </c>
      <c r="F112" s="1697">
        <f t="shared" si="70"/>
        <v>0</v>
      </c>
      <c r="G112" s="1697">
        <f t="shared" si="70"/>
        <v>0</v>
      </c>
      <c r="H112" s="1697">
        <f t="shared" si="70"/>
        <v>0</v>
      </c>
      <c r="I112" s="1697">
        <f t="shared" si="70"/>
        <v>0</v>
      </c>
      <c r="J112" s="1697">
        <f t="shared" si="70"/>
        <v>0</v>
      </c>
      <c r="K112" s="1697">
        <f t="shared" si="70"/>
        <v>0</v>
      </c>
      <c r="L112" s="1712">
        <f t="shared" si="70"/>
        <v>0</v>
      </c>
      <c r="M112" s="1712">
        <f>+M113+M114</f>
        <v>0</v>
      </c>
      <c r="N112" s="1697">
        <f t="shared" si="70"/>
        <v>0</v>
      </c>
      <c r="O112" s="1697">
        <f t="shared" si="70"/>
        <v>0</v>
      </c>
      <c r="P112" s="1763"/>
      <c r="Q112" s="1763"/>
      <c r="R112" s="1763"/>
      <c r="S112" s="1763"/>
      <c r="T112" s="1763"/>
      <c r="U112" s="1763"/>
      <c r="V112" s="1763"/>
      <c r="W112" s="1763"/>
      <c r="X112" s="3820"/>
      <c r="Y112" s="4066"/>
    </row>
    <row r="113" spans="1:25" ht="12" hidden="1" customHeight="1">
      <c r="A113" s="4098"/>
      <c r="B113" s="1699" t="s">
        <v>25</v>
      </c>
      <c r="C113" s="4103"/>
      <c r="D113" s="1700">
        <f>M113+O113+P113+Q113+R113+S113+T113</f>
        <v>0</v>
      </c>
      <c r="E113" s="1706"/>
      <c r="F113" s="1706"/>
      <c r="G113" s="1706"/>
      <c r="H113" s="1706"/>
      <c r="I113" s="1701"/>
      <c r="J113" s="1701"/>
      <c r="K113" s="1701"/>
      <c r="L113" s="1702"/>
      <c r="M113" s="1701">
        <f>E113+I113+J113+K113+L113+N113</f>
        <v>0</v>
      </c>
      <c r="N113" s="1701"/>
      <c r="O113" s="1701"/>
      <c r="P113" s="1701"/>
      <c r="Q113" s="1701"/>
      <c r="R113" s="1701"/>
      <c r="S113" s="1701"/>
      <c r="T113" s="1701"/>
      <c r="U113" s="1701"/>
      <c r="V113" s="1701"/>
      <c r="W113" s="1701"/>
      <c r="X113" s="3820"/>
      <c r="Y113" s="4066"/>
    </row>
    <row r="114" spans="1:25" ht="12" hidden="1" customHeight="1">
      <c r="A114" s="4098"/>
      <c r="B114" s="1699" t="s">
        <v>36</v>
      </c>
      <c r="C114" s="4103"/>
      <c r="D114" s="1700">
        <f>M114+O114+P114+Q114+R114+S114+T114</f>
        <v>0</v>
      </c>
      <c r="E114" s="1706">
        <f>+F114+G114+H114</f>
        <v>0</v>
      </c>
      <c r="F114" s="1706"/>
      <c r="G114" s="1706"/>
      <c r="H114" s="1783"/>
      <c r="I114" s="1701"/>
      <c r="J114" s="1701"/>
      <c r="K114" s="1701"/>
      <c r="L114" s="1702"/>
      <c r="M114" s="1701">
        <f>E114+I114+J114+K114+L114+N114</f>
        <v>0</v>
      </c>
      <c r="N114" s="1701"/>
      <c r="O114" s="1701"/>
      <c r="P114" s="1701"/>
      <c r="Q114" s="1701"/>
      <c r="R114" s="1701"/>
      <c r="S114" s="1701"/>
      <c r="T114" s="1701"/>
      <c r="U114" s="1701"/>
      <c r="V114" s="1701"/>
      <c r="W114" s="1701"/>
      <c r="X114" s="3820"/>
      <c r="Y114" s="4066"/>
    </row>
    <row r="115" spans="1:25" ht="12" hidden="1" customHeight="1">
      <c r="A115" s="4098"/>
      <c r="B115" s="1707" t="s">
        <v>29</v>
      </c>
      <c r="C115" s="4103"/>
      <c r="D115" s="1697">
        <f t="shared" ref="D115:O115" si="71">+D116+D117</f>
        <v>0</v>
      </c>
      <c r="E115" s="1697">
        <f t="shared" si="71"/>
        <v>0</v>
      </c>
      <c r="F115" s="1697">
        <f t="shared" si="71"/>
        <v>0</v>
      </c>
      <c r="G115" s="1697">
        <f t="shared" si="71"/>
        <v>0</v>
      </c>
      <c r="H115" s="1697">
        <f t="shared" si="71"/>
        <v>0</v>
      </c>
      <c r="I115" s="1697">
        <f t="shared" si="71"/>
        <v>0</v>
      </c>
      <c r="J115" s="1697">
        <f t="shared" si="71"/>
        <v>0</v>
      </c>
      <c r="K115" s="1697">
        <f t="shared" si="71"/>
        <v>0</v>
      </c>
      <c r="L115" s="1712">
        <f t="shared" si="71"/>
        <v>0</v>
      </c>
      <c r="M115" s="1712">
        <f>+M116+M117</f>
        <v>0</v>
      </c>
      <c r="N115" s="1697">
        <f t="shared" si="71"/>
        <v>0</v>
      </c>
      <c r="O115" s="1697">
        <f t="shared" si="71"/>
        <v>0</v>
      </c>
      <c r="P115" s="1763"/>
      <c r="Q115" s="1763"/>
      <c r="R115" s="1763"/>
      <c r="S115" s="1763"/>
      <c r="T115" s="1763"/>
      <c r="U115" s="1763"/>
      <c r="V115" s="1763"/>
      <c r="W115" s="1763"/>
      <c r="X115" s="3820"/>
      <c r="Y115" s="4066"/>
    </row>
    <row r="116" spans="1:25" ht="12" hidden="1" customHeight="1">
      <c r="A116" s="4098"/>
      <c r="B116" s="1699" t="s">
        <v>25</v>
      </c>
      <c r="C116" s="4103"/>
      <c r="D116" s="1700">
        <f>M116+O116+P116+Q116+R116+S116+T116</f>
        <v>0</v>
      </c>
      <c r="E116" s="1706">
        <f>+F116+G116+H116</f>
        <v>0</v>
      </c>
      <c r="F116" s="1784"/>
      <c r="G116" s="1784"/>
      <c r="H116" s="1784"/>
      <c r="I116" s="1701"/>
      <c r="J116" s="1701"/>
      <c r="K116" s="1701"/>
      <c r="L116" s="1701"/>
      <c r="M116" s="1701">
        <f>E116+I116+J116+K116+L116+N116</f>
        <v>0</v>
      </c>
      <c r="N116" s="1701"/>
      <c r="O116" s="1701"/>
      <c r="P116" s="1701"/>
      <c r="Q116" s="1701"/>
      <c r="R116" s="1701"/>
      <c r="S116" s="1701"/>
      <c r="T116" s="1701"/>
      <c r="U116" s="1701"/>
      <c r="V116" s="1701"/>
      <c r="W116" s="1701"/>
      <c r="X116" s="3820"/>
      <c r="Y116" s="4066"/>
    </row>
    <row r="117" spans="1:25" ht="12" hidden="1" customHeight="1" thickBot="1">
      <c r="A117" s="4099"/>
      <c r="B117" s="1714" t="s">
        <v>31</v>
      </c>
      <c r="C117" s="4104"/>
      <c r="D117" s="1715">
        <f>M117+O117+P117+Q117+R117+S117+T117</f>
        <v>0</v>
      </c>
      <c r="E117" s="1785">
        <f>+F117+G117+H117</f>
        <v>0</v>
      </c>
      <c r="F117" s="1786"/>
      <c r="G117" s="1786"/>
      <c r="H117" s="1088"/>
      <c r="I117" s="963"/>
      <c r="J117" s="1761"/>
      <c r="K117" s="1761"/>
      <c r="L117" s="963"/>
      <c r="M117" s="1718">
        <f>E117+I117+J117+K117+L117+N117</f>
        <v>0</v>
      </c>
      <c r="N117" s="963"/>
      <c r="O117" s="1718"/>
      <c r="P117" s="963"/>
      <c r="Q117" s="963"/>
      <c r="R117" s="963"/>
      <c r="S117" s="963"/>
      <c r="T117" s="963"/>
      <c r="U117" s="963"/>
      <c r="V117" s="963"/>
      <c r="W117" s="963"/>
      <c r="X117" s="3822"/>
      <c r="Y117" s="4067"/>
    </row>
    <row r="118" spans="1:25" ht="26.25" hidden="1" customHeight="1">
      <c r="A118" s="4089" t="s">
        <v>80</v>
      </c>
      <c r="B118" s="1719" t="s">
        <v>207</v>
      </c>
      <c r="C118" s="1774" t="s">
        <v>95</v>
      </c>
      <c r="D118" s="1774"/>
      <c r="E118" s="105"/>
      <c r="F118" s="105"/>
      <c r="G118" s="105"/>
      <c r="H118" s="105"/>
      <c r="I118" s="106"/>
      <c r="J118" s="106"/>
      <c r="K118" s="106"/>
      <c r="L118" s="1787"/>
      <c r="M118" s="106"/>
      <c r="N118" s="106"/>
      <c r="O118" s="106"/>
      <c r="P118" s="106"/>
      <c r="Q118" s="106"/>
      <c r="R118" s="106"/>
      <c r="S118" s="106"/>
      <c r="T118" s="106"/>
      <c r="U118" s="106"/>
      <c r="V118" s="106"/>
      <c r="W118" s="106"/>
      <c r="X118" s="1721"/>
      <c r="Y118" s="4066" t="s">
        <v>208</v>
      </c>
    </row>
    <row r="119" spans="1:25" ht="14.25" hidden="1" customHeight="1">
      <c r="A119" s="4089"/>
      <c r="B119" s="1320" t="s">
        <v>21</v>
      </c>
      <c r="C119" s="1781"/>
      <c r="D119" s="1690">
        <f t="shared" ref="D119:N119" si="72">+D120+D123</f>
        <v>0</v>
      </c>
      <c r="E119" s="1722">
        <f t="shared" si="72"/>
        <v>0</v>
      </c>
      <c r="F119" s="1691">
        <f t="shared" si="72"/>
        <v>0</v>
      </c>
      <c r="G119" s="1691">
        <f t="shared" si="72"/>
        <v>0</v>
      </c>
      <c r="H119" s="1691">
        <f t="shared" si="72"/>
        <v>0</v>
      </c>
      <c r="I119" s="1691">
        <f t="shared" si="72"/>
        <v>0</v>
      </c>
      <c r="J119" s="1722">
        <f t="shared" si="72"/>
        <v>0</v>
      </c>
      <c r="K119" s="1722">
        <f t="shared" si="72"/>
        <v>0</v>
      </c>
      <c r="L119" s="1723">
        <f t="shared" si="72"/>
        <v>0</v>
      </c>
      <c r="M119" s="1691">
        <f>+M120+M123</f>
        <v>0</v>
      </c>
      <c r="N119" s="1745">
        <f t="shared" si="72"/>
        <v>0</v>
      </c>
      <c r="O119" s="1745">
        <f>+O120+O123</f>
        <v>0</v>
      </c>
      <c r="P119" s="1746"/>
      <c r="Q119" s="1746"/>
      <c r="R119" s="1746"/>
      <c r="S119" s="1746"/>
      <c r="T119" s="1746"/>
      <c r="U119" s="1746"/>
      <c r="V119" s="1746"/>
      <c r="W119" s="1746"/>
      <c r="X119" s="1788">
        <f>+X120+X123</f>
        <v>0</v>
      </c>
      <c r="Y119" s="4066"/>
    </row>
    <row r="120" spans="1:25" ht="12" hidden="1" customHeight="1">
      <c r="A120" s="4089"/>
      <c r="B120" s="1694" t="s">
        <v>22</v>
      </c>
      <c r="C120" s="4100" t="s">
        <v>206</v>
      </c>
      <c r="D120" s="1695">
        <f>+D121+D122</f>
        <v>0</v>
      </c>
      <c r="E120" s="1725">
        <f>+E121+E122</f>
        <v>0</v>
      </c>
      <c r="F120" s="1771">
        <f>+F121+F122</f>
        <v>0</v>
      </c>
      <c r="G120" s="1771">
        <f>+G121+G122</f>
        <v>0</v>
      </c>
      <c r="H120" s="1771">
        <f>+H121+H122</f>
        <v>0</v>
      </c>
      <c r="I120" s="1763">
        <f>SUM(I121:I122)</f>
        <v>0</v>
      </c>
      <c r="J120" s="1789">
        <f>SUM(J121:J122)</f>
        <v>0</v>
      </c>
      <c r="K120" s="1730">
        <f>SUM(K121:K122)</f>
        <v>0</v>
      </c>
      <c r="L120" s="1734">
        <f>L121+L122</f>
        <v>0</v>
      </c>
      <c r="M120" s="1697">
        <f>SUM(M121:M122)</f>
        <v>0</v>
      </c>
      <c r="N120" s="1730">
        <f>N121+N122</f>
        <v>0</v>
      </c>
      <c r="O120" s="1730">
        <f>O121+O122</f>
        <v>0</v>
      </c>
      <c r="P120" s="1697"/>
      <c r="Q120" s="1697"/>
      <c r="R120" s="1697"/>
      <c r="S120" s="1697"/>
      <c r="T120" s="1697"/>
      <c r="U120" s="1697"/>
      <c r="V120" s="1697"/>
      <c r="W120" s="1697"/>
      <c r="X120" s="1790">
        <f>X121+X122</f>
        <v>0</v>
      </c>
      <c r="Y120" s="4066"/>
    </row>
    <row r="121" spans="1:25" ht="12" hidden="1" customHeight="1">
      <c r="A121" s="4089"/>
      <c r="B121" s="1699" t="s">
        <v>23</v>
      </c>
      <c r="C121" s="4101"/>
      <c r="D121" s="1700">
        <f>M121+O121+P121+Q121+R121+S121+T121</f>
        <v>0</v>
      </c>
      <c r="E121" s="1729">
        <v>0</v>
      </c>
      <c r="F121" s="1706"/>
      <c r="G121" s="1706"/>
      <c r="H121" s="1706"/>
      <c r="I121" s="1701"/>
      <c r="J121" s="1727">
        <v>0</v>
      </c>
      <c r="K121" s="1727">
        <v>0</v>
      </c>
      <c r="L121" s="1735">
        <v>0</v>
      </c>
      <c r="M121" s="1701">
        <f>E121+I121+J121+K121+L121+N121</f>
        <v>0</v>
      </c>
      <c r="N121" s="1424">
        <v>0</v>
      </c>
      <c r="O121" s="1424">
        <v>0</v>
      </c>
      <c r="P121" s="1701"/>
      <c r="Q121" s="1701"/>
      <c r="R121" s="1701"/>
      <c r="S121" s="1701"/>
      <c r="T121" s="1701"/>
      <c r="U121" s="1701"/>
      <c r="V121" s="1701"/>
      <c r="W121" s="1701"/>
      <c r="X121" s="1728">
        <f>+P121+Q121+R121+S121</f>
        <v>0</v>
      </c>
      <c r="Y121" s="4066"/>
    </row>
    <row r="122" spans="1:25" ht="12" hidden="1" customHeight="1">
      <c r="A122" s="4089"/>
      <c r="B122" s="1699" t="s">
        <v>25</v>
      </c>
      <c r="C122" s="4101"/>
      <c r="D122" s="1700">
        <f>M122+O122+P122+Q122+R122+S122+T122</f>
        <v>0</v>
      </c>
      <c r="E122" s="1729">
        <v>0</v>
      </c>
      <c r="F122" s="1706"/>
      <c r="G122" s="1706"/>
      <c r="H122" s="1706"/>
      <c r="I122" s="1701"/>
      <c r="J122" s="1727">
        <v>0</v>
      </c>
      <c r="K122" s="1727">
        <v>0</v>
      </c>
      <c r="L122" s="1735">
        <f>10000-10000</f>
        <v>0</v>
      </c>
      <c r="M122" s="1701">
        <f>E122+I122+J122+K122+L122+N122</f>
        <v>0</v>
      </c>
      <c r="N122" s="1424">
        <v>0</v>
      </c>
      <c r="O122" s="1424">
        <v>0</v>
      </c>
      <c r="P122" s="1701"/>
      <c r="Q122" s="1701"/>
      <c r="R122" s="1701"/>
      <c r="S122" s="1701"/>
      <c r="T122" s="1701"/>
      <c r="U122" s="1701"/>
      <c r="V122" s="1701"/>
      <c r="W122" s="1701"/>
      <c r="X122" s="1728">
        <f>+P122+Q122+R122+S122</f>
        <v>0</v>
      </c>
      <c r="Y122" s="4066"/>
    </row>
    <row r="123" spans="1:25" ht="12" hidden="1" customHeight="1">
      <c r="A123" s="4089"/>
      <c r="B123" s="1758" t="s">
        <v>29</v>
      </c>
      <c r="C123" s="4101"/>
      <c r="D123" s="1695">
        <f>+D124</f>
        <v>0</v>
      </c>
      <c r="E123" s="1725">
        <f t="shared" ref="E123:M123" si="73">+E124</f>
        <v>0</v>
      </c>
      <c r="F123" s="1695">
        <f t="shared" si="73"/>
        <v>0</v>
      </c>
      <c r="G123" s="1695">
        <f t="shared" si="73"/>
        <v>0</v>
      </c>
      <c r="H123" s="1695">
        <f t="shared" si="73"/>
        <v>0</v>
      </c>
      <c r="I123" s="1695">
        <f t="shared" si="73"/>
        <v>0</v>
      </c>
      <c r="J123" s="1725">
        <f t="shared" si="73"/>
        <v>0</v>
      </c>
      <c r="K123" s="1725">
        <f t="shared" si="73"/>
        <v>0</v>
      </c>
      <c r="L123" s="1791">
        <f t="shared" si="73"/>
        <v>0</v>
      </c>
      <c r="M123" s="1697">
        <f t="shared" si="73"/>
        <v>0</v>
      </c>
      <c r="N123" s="1789">
        <f>+N124</f>
        <v>0</v>
      </c>
      <c r="O123" s="1789">
        <f>+O124</f>
        <v>0</v>
      </c>
      <c r="P123" s="1763"/>
      <c r="Q123" s="1763"/>
      <c r="R123" s="1763"/>
      <c r="S123" s="1763"/>
      <c r="T123" s="1763"/>
      <c r="U123" s="1763"/>
      <c r="V123" s="1763"/>
      <c r="W123" s="1763"/>
      <c r="X123" s="1790">
        <f>+X124</f>
        <v>0</v>
      </c>
      <c r="Y123" s="4066"/>
    </row>
    <row r="124" spans="1:25" ht="12" hidden="1" customHeight="1">
      <c r="A124" s="4089"/>
      <c r="B124" s="1699" t="s">
        <v>25</v>
      </c>
      <c r="C124" s="4102"/>
      <c r="D124" s="1700">
        <f>M124+O124+P124+Q124+R124+S124+T124</f>
        <v>0</v>
      </c>
      <c r="E124" s="1729">
        <v>0</v>
      </c>
      <c r="F124" s="1283"/>
      <c r="G124" s="1283"/>
      <c r="H124" s="1706"/>
      <c r="I124" s="1701"/>
      <c r="J124" s="1727">
        <v>0</v>
      </c>
      <c r="K124" s="1727">
        <v>0</v>
      </c>
      <c r="L124" s="1735">
        <f>30000-30000</f>
        <v>0</v>
      </c>
      <c r="M124" s="1701">
        <f>E124+I124+J124+K124+L124+N124</f>
        <v>0</v>
      </c>
      <c r="N124" s="1424">
        <v>0</v>
      </c>
      <c r="O124" s="1424">
        <v>0</v>
      </c>
      <c r="P124" s="1701"/>
      <c r="Q124" s="1701"/>
      <c r="R124" s="1701"/>
      <c r="S124" s="1701"/>
      <c r="T124" s="1701"/>
      <c r="U124" s="1701"/>
      <c r="V124" s="1701"/>
      <c r="W124" s="1701"/>
      <c r="X124" s="1728">
        <f>+P124+Q124+R124+S124</f>
        <v>0</v>
      </c>
      <c r="Y124" s="4066"/>
    </row>
    <row r="125" spans="1:25" ht="13.5" hidden="1" customHeight="1">
      <c r="A125" s="4089"/>
      <c r="B125" s="1320" t="s">
        <v>33</v>
      </c>
      <c r="C125" s="1744"/>
      <c r="D125" s="1691">
        <f t="shared" ref="D125:N125" si="74">+D126+D128</f>
        <v>0</v>
      </c>
      <c r="E125" s="1722">
        <f t="shared" si="74"/>
        <v>0</v>
      </c>
      <c r="F125" s="1691">
        <f t="shared" si="74"/>
        <v>0</v>
      </c>
      <c r="G125" s="1691">
        <f t="shared" si="74"/>
        <v>0</v>
      </c>
      <c r="H125" s="1691">
        <f t="shared" si="74"/>
        <v>0</v>
      </c>
      <c r="I125" s="1691">
        <f t="shared" si="74"/>
        <v>0</v>
      </c>
      <c r="J125" s="1722">
        <f t="shared" si="74"/>
        <v>0</v>
      </c>
      <c r="K125" s="1722">
        <f t="shared" si="74"/>
        <v>0</v>
      </c>
      <c r="L125" s="1723">
        <f t="shared" si="74"/>
        <v>0</v>
      </c>
      <c r="M125" s="1691">
        <f>+M126+M128</f>
        <v>0</v>
      </c>
      <c r="N125" s="1745">
        <f t="shared" si="74"/>
        <v>0</v>
      </c>
      <c r="O125" s="1745">
        <f>+O126+O128</f>
        <v>0</v>
      </c>
      <c r="P125" s="1746"/>
      <c r="Q125" s="1746"/>
      <c r="R125" s="1746"/>
      <c r="S125" s="1746"/>
      <c r="T125" s="1746"/>
      <c r="U125" s="1746"/>
      <c r="V125" s="1746"/>
      <c r="W125" s="1746"/>
      <c r="X125" s="3843" t="s">
        <v>75</v>
      </c>
      <c r="Y125" s="4066"/>
    </row>
    <row r="126" spans="1:25" ht="12.75" hidden="1" customHeight="1">
      <c r="A126" s="4089"/>
      <c r="B126" s="1694" t="s">
        <v>22</v>
      </c>
      <c r="C126" s="4103" t="s">
        <v>206</v>
      </c>
      <c r="D126" s="1697">
        <f>+D127</f>
        <v>0</v>
      </c>
      <c r="E126" s="1730">
        <f t="shared" ref="E126:O126" si="75">+E127</f>
        <v>0</v>
      </c>
      <c r="F126" s="1697">
        <f t="shared" si="75"/>
        <v>0</v>
      </c>
      <c r="G126" s="1697">
        <f t="shared" si="75"/>
        <v>0</v>
      </c>
      <c r="H126" s="1697">
        <f t="shared" si="75"/>
        <v>0</v>
      </c>
      <c r="I126" s="1697">
        <f t="shared" si="75"/>
        <v>0</v>
      </c>
      <c r="J126" s="1730">
        <f t="shared" si="75"/>
        <v>0</v>
      </c>
      <c r="K126" s="1730">
        <f t="shared" si="75"/>
        <v>0</v>
      </c>
      <c r="L126" s="1734">
        <f t="shared" si="75"/>
        <v>0</v>
      </c>
      <c r="M126" s="1697">
        <f t="shared" si="75"/>
        <v>0</v>
      </c>
      <c r="N126" s="1730">
        <f t="shared" si="75"/>
        <v>0</v>
      </c>
      <c r="O126" s="1730">
        <f t="shared" si="75"/>
        <v>0</v>
      </c>
      <c r="P126" s="1697"/>
      <c r="Q126" s="1697"/>
      <c r="R126" s="1697"/>
      <c r="S126" s="1697"/>
      <c r="T126" s="1697"/>
      <c r="U126" s="1697"/>
      <c r="V126" s="1697"/>
      <c r="W126" s="1697"/>
      <c r="X126" s="3843"/>
      <c r="Y126" s="4066"/>
    </row>
    <row r="127" spans="1:25" ht="12.75" hidden="1" customHeight="1">
      <c r="A127" s="4089"/>
      <c r="B127" s="1699" t="s">
        <v>25</v>
      </c>
      <c r="C127" s="4103"/>
      <c r="D127" s="1700">
        <f>M127+O127+P127+Q127+R127+S127+T127</f>
        <v>0</v>
      </c>
      <c r="E127" s="1729">
        <v>0</v>
      </c>
      <c r="F127" s="1706"/>
      <c r="G127" s="1706"/>
      <c r="H127" s="1706"/>
      <c r="I127" s="1701"/>
      <c r="J127" s="1727">
        <v>0</v>
      </c>
      <c r="K127" s="1727">
        <v>0</v>
      </c>
      <c r="L127" s="1735">
        <f>10000-10000</f>
        <v>0</v>
      </c>
      <c r="M127" s="1701">
        <f>E127+I127+J127+K127+L127+N127</f>
        <v>0</v>
      </c>
      <c r="N127" s="1424">
        <v>0</v>
      </c>
      <c r="O127" s="1424">
        <v>0</v>
      </c>
      <c r="P127" s="1701"/>
      <c r="Q127" s="1701"/>
      <c r="R127" s="1701"/>
      <c r="S127" s="1701"/>
      <c r="T127" s="1701"/>
      <c r="U127" s="1701"/>
      <c r="V127" s="1701"/>
      <c r="W127" s="1701"/>
      <c r="X127" s="3843"/>
      <c r="Y127" s="4066"/>
    </row>
    <row r="128" spans="1:25" ht="12.75" hidden="1" customHeight="1">
      <c r="A128" s="4089"/>
      <c r="B128" s="1758" t="s">
        <v>29</v>
      </c>
      <c r="C128" s="4103"/>
      <c r="D128" s="1697">
        <f>+D129</f>
        <v>0</v>
      </c>
      <c r="E128" s="1730">
        <f t="shared" ref="E128:O128" si="76">+E129</f>
        <v>0</v>
      </c>
      <c r="F128" s="1697">
        <f t="shared" si="76"/>
        <v>0</v>
      </c>
      <c r="G128" s="1697">
        <f t="shared" si="76"/>
        <v>0</v>
      </c>
      <c r="H128" s="1697">
        <f t="shared" si="76"/>
        <v>0</v>
      </c>
      <c r="I128" s="1697">
        <f t="shared" si="76"/>
        <v>0</v>
      </c>
      <c r="J128" s="1730">
        <f t="shared" si="76"/>
        <v>0</v>
      </c>
      <c r="K128" s="1730">
        <f t="shared" si="76"/>
        <v>0</v>
      </c>
      <c r="L128" s="1734">
        <f t="shared" si="76"/>
        <v>0</v>
      </c>
      <c r="M128" s="1697">
        <f t="shared" si="76"/>
        <v>0</v>
      </c>
      <c r="N128" s="1730">
        <f t="shared" si="76"/>
        <v>0</v>
      </c>
      <c r="O128" s="1730">
        <f t="shared" si="76"/>
        <v>0</v>
      </c>
      <c r="P128" s="1697"/>
      <c r="Q128" s="1697"/>
      <c r="R128" s="1697"/>
      <c r="S128" s="1697"/>
      <c r="T128" s="1697"/>
      <c r="U128" s="1697"/>
      <c r="V128" s="1697"/>
      <c r="W128" s="1697"/>
      <c r="X128" s="3843"/>
      <c r="Y128" s="4066"/>
    </row>
    <row r="129" spans="1:27" ht="12.75" hidden="1" customHeight="1">
      <c r="A129" s="4089"/>
      <c r="B129" s="1699" t="s">
        <v>25</v>
      </c>
      <c r="C129" s="4103"/>
      <c r="D129" s="1700">
        <f>M129+O129+P129+Q129+R129+S129+T129</f>
        <v>0</v>
      </c>
      <c r="E129" s="1729">
        <v>0</v>
      </c>
      <c r="F129" s="1784"/>
      <c r="G129" s="1784"/>
      <c r="H129" s="1784"/>
      <c r="I129" s="1701"/>
      <c r="J129" s="1727">
        <v>0</v>
      </c>
      <c r="K129" s="1727">
        <v>0</v>
      </c>
      <c r="L129" s="1735">
        <f>30000-30000</f>
        <v>0</v>
      </c>
      <c r="M129" s="1701">
        <f>E129+I129+J129+K129+L129+N129</f>
        <v>0</v>
      </c>
      <c r="N129" s="1424">
        <v>0</v>
      </c>
      <c r="O129" s="1424">
        <v>0</v>
      </c>
      <c r="P129" s="1701"/>
      <c r="Q129" s="1701"/>
      <c r="R129" s="1701"/>
      <c r="S129" s="1701"/>
      <c r="T129" s="1701"/>
      <c r="U129" s="1701"/>
      <c r="V129" s="1701"/>
      <c r="W129" s="1701"/>
      <c r="X129" s="3843"/>
      <c r="Y129" s="4088"/>
    </row>
    <row r="130" spans="1:27" s="243" customFormat="1" ht="30" hidden="1" customHeight="1">
      <c r="A130" s="3974"/>
      <c r="B130" s="1792"/>
      <c r="C130" s="1793" t="s">
        <v>125</v>
      </c>
      <c r="D130" s="362"/>
      <c r="E130" s="362"/>
      <c r="F130" s="362"/>
      <c r="G130" s="362"/>
      <c r="H130" s="362"/>
      <c r="I130" s="362"/>
      <c r="J130" s="362"/>
      <c r="K130" s="362"/>
      <c r="L130" s="362"/>
      <c r="M130" s="362"/>
      <c r="N130" s="1794"/>
      <c r="O130" s="1794"/>
      <c r="P130" s="1795"/>
      <c r="Q130" s="1795"/>
      <c r="R130" s="1795"/>
      <c r="S130" s="1795"/>
      <c r="T130" s="1795"/>
      <c r="U130" s="1795"/>
      <c r="V130" s="1795"/>
      <c r="W130" s="1795"/>
      <c r="X130" s="1796"/>
      <c r="Y130" s="4106" t="s">
        <v>126</v>
      </c>
    </row>
    <row r="131" spans="1:27" s="243" customFormat="1" ht="16.5" hidden="1" customHeight="1">
      <c r="A131" s="4105"/>
      <c r="B131" s="1797" t="s">
        <v>21</v>
      </c>
      <c r="C131" s="1798"/>
      <c r="D131" s="414">
        <f>+D132</f>
        <v>0</v>
      </c>
      <c r="E131" s="414">
        <f t="shared" ref="E131:O131" si="77">+E132</f>
        <v>0</v>
      </c>
      <c r="F131" s="414">
        <f t="shared" si="77"/>
        <v>0</v>
      </c>
      <c r="G131" s="414">
        <f t="shared" si="77"/>
        <v>0</v>
      </c>
      <c r="H131" s="414">
        <f t="shared" si="77"/>
        <v>0</v>
      </c>
      <c r="I131" s="414">
        <f t="shared" si="77"/>
        <v>0</v>
      </c>
      <c r="J131" s="414">
        <f t="shared" si="77"/>
        <v>0</v>
      </c>
      <c r="K131" s="414">
        <f t="shared" si="77"/>
        <v>0</v>
      </c>
      <c r="L131" s="414">
        <f t="shared" si="77"/>
        <v>0</v>
      </c>
      <c r="M131" s="414">
        <f t="shared" si="77"/>
        <v>0</v>
      </c>
      <c r="N131" s="414">
        <f t="shared" si="77"/>
        <v>0</v>
      </c>
      <c r="O131" s="414">
        <f t="shared" si="77"/>
        <v>0</v>
      </c>
      <c r="P131" s="414"/>
      <c r="Q131" s="414"/>
      <c r="R131" s="1799"/>
      <c r="S131" s="1799"/>
      <c r="T131" s="1799"/>
      <c r="U131" s="1799"/>
      <c r="V131" s="1799"/>
      <c r="W131" s="1799"/>
      <c r="X131" s="1800">
        <f>+X132</f>
        <v>0</v>
      </c>
      <c r="Y131" s="4106"/>
      <c r="Z131" s="1704"/>
      <c r="AA131" s="1704"/>
    </row>
    <row r="132" spans="1:27" s="243" customFormat="1" ht="14.25" hidden="1" customHeight="1">
      <c r="A132" s="4105"/>
      <c r="B132" s="1801" t="s">
        <v>29</v>
      </c>
      <c r="C132" s="3741" t="s">
        <v>209</v>
      </c>
      <c r="D132" s="1802">
        <f t="shared" ref="D132:X132" si="78">+D133</f>
        <v>0</v>
      </c>
      <c r="E132" s="1802">
        <f t="shared" si="78"/>
        <v>0</v>
      </c>
      <c r="F132" s="1802">
        <f t="shared" si="78"/>
        <v>0</v>
      </c>
      <c r="G132" s="1802">
        <f t="shared" si="78"/>
        <v>0</v>
      </c>
      <c r="H132" s="1802">
        <f t="shared" si="78"/>
        <v>0</v>
      </c>
      <c r="I132" s="1802">
        <f t="shared" si="78"/>
        <v>0</v>
      </c>
      <c r="J132" s="1802">
        <f t="shared" si="78"/>
        <v>0</v>
      </c>
      <c r="K132" s="1802">
        <f t="shared" si="78"/>
        <v>0</v>
      </c>
      <c r="L132" s="1802">
        <f t="shared" si="78"/>
        <v>0</v>
      </c>
      <c r="M132" s="1802">
        <f t="shared" si="78"/>
        <v>0</v>
      </c>
      <c r="N132" s="98">
        <f>N133</f>
        <v>0</v>
      </c>
      <c r="O132" s="98">
        <f>O133</f>
        <v>0</v>
      </c>
      <c r="P132" s="98"/>
      <c r="Q132" s="98"/>
      <c r="R132" s="98"/>
      <c r="S132" s="98"/>
      <c r="T132" s="98"/>
      <c r="U132" s="98"/>
      <c r="V132" s="98"/>
      <c r="W132" s="98"/>
      <c r="X132" s="1803">
        <f t="shared" si="78"/>
        <v>0</v>
      </c>
      <c r="Y132" s="4024"/>
    </row>
    <row r="133" spans="1:27" s="243" customFormat="1" ht="13.5" hidden="1" customHeight="1">
      <c r="A133" s="4105"/>
      <c r="B133" s="1804" t="s">
        <v>31</v>
      </c>
      <c r="C133" s="3625"/>
      <c r="D133" s="1805">
        <v>0</v>
      </c>
      <c r="E133" s="1806">
        <v>0</v>
      </c>
      <c r="F133" s="1806">
        <v>0</v>
      </c>
      <c r="G133" s="1806"/>
      <c r="H133" s="1806"/>
      <c r="I133" s="1806">
        <v>0</v>
      </c>
      <c r="J133" s="1806">
        <v>0</v>
      </c>
      <c r="K133" s="1806">
        <v>0</v>
      </c>
      <c r="L133" s="1806">
        <v>0</v>
      </c>
      <c r="M133" s="1807">
        <f>E133+I133+J133+K133+L133</f>
        <v>0</v>
      </c>
      <c r="N133" s="1808">
        <v>0</v>
      </c>
      <c r="O133" s="1808">
        <f>7680-7680</f>
        <v>0</v>
      </c>
      <c r="P133" s="1808"/>
      <c r="Q133" s="1808"/>
      <c r="R133" s="1808"/>
      <c r="S133" s="1808"/>
      <c r="T133" s="1808"/>
      <c r="U133" s="1808"/>
      <c r="V133" s="1808"/>
      <c r="W133" s="1808"/>
      <c r="X133" s="1809">
        <f>SUM(P133:T133)</f>
        <v>0</v>
      </c>
      <c r="Y133" s="4024"/>
    </row>
    <row r="134" spans="1:27" s="243" customFormat="1" ht="15.75" hidden="1" customHeight="1">
      <c r="A134" s="4105"/>
      <c r="B134" s="1810" t="s">
        <v>33</v>
      </c>
      <c r="C134" s="1798"/>
      <c r="D134" s="414">
        <f>+D135</f>
        <v>0</v>
      </c>
      <c r="E134" s="414">
        <f t="shared" ref="E134:N135" si="79">+E135</f>
        <v>0</v>
      </c>
      <c r="F134" s="414">
        <f t="shared" si="79"/>
        <v>0</v>
      </c>
      <c r="G134" s="414">
        <f t="shared" si="79"/>
        <v>0</v>
      </c>
      <c r="H134" s="414">
        <f t="shared" si="79"/>
        <v>0</v>
      </c>
      <c r="I134" s="414">
        <f t="shared" si="79"/>
        <v>0</v>
      </c>
      <c r="J134" s="414">
        <f t="shared" si="79"/>
        <v>0</v>
      </c>
      <c r="K134" s="414">
        <f t="shared" si="79"/>
        <v>0</v>
      </c>
      <c r="L134" s="414">
        <f t="shared" si="79"/>
        <v>0</v>
      </c>
      <c r="M134" s="414">
        <f t="shared" si="79"/>
        <v>0</v>
      </c>
      <c r="N134" s="414">
        <f t="shared" si="79"/>
        <v>0</v>
      </c>
      <c r="O134" s="414">
        <f>O135</f>
        <v>0</v>
      </c>
      <c r="P134" s="414"/>
      <c r="Q134" s="414"/>
      <c r="R134" s="1799"/>
      <c r="S134" s="1799"/>
      <c r="T134" s="1799"/>
      <c r="U134" s="1799"/>
      <c r="V134" s="1799"/>
      <c r="W134" s="1799"/>
      <c r="X134" s="3635" t="s">
        <v>75</v>
      </c>
      <c r="Y134" s="4024"/>
    </row>
    <row r="135" spans="1:27" s="243" customFormat="1" ht="12.75" hidden="1" customHeight="1">
      <c r="A135" s="4105"/>
      <c r="B135" s="1801" t="s">
        <v>29</v>
      </c>
      <c r="C135" s="3741" t="s">
        <v>209</v>
      </c>
      <c r="D135" s="1802">
        <f>+D136</f>
        <v>0</v>
      </c>
      <c r="E135" s="1802">
        <f t="shared" si="79"/>
        <v>0</v>
      </c>
      <c r="F135" s="1802">
        <f t="shared" si="79"/>
        <v>0</v>
      </c>
      <c r="G135" s="1802">
        <f t="shared" si="79"/>
        <v>0</v>
      </c>
      <c r="H135" s="1802">
        <f t="shared" si="79"/>
        <v>0</v>
      </c>
      <c r="I135" s="1802">
        <f t="shared" si="79"/>
        <v>0</v>
      </c>
      <c r="J135" s="1802">
        <f t="shared" si="79"/>
        <v>0</v>
      </c>
      <c r="K135" s="1802">
        <f t="shared" si="79"/>
        <v>0</v>
      </c>
      <c r="L135" s="1802">
        <f t="shared" si="79"/>
        <v>0</v>
      </c>
      <c r="M135" s="1802">
        <f t="shared" si="79"/>
        <v>0</v>
      </c>
      <c r="N135" s="408">
        <f t="shared" si="79"/>
        <v>0</v>
      </c>
      <c r="O135" s="408">
        <f>O136</f>
        <v>0</v>
      </c>
      <c r="P135" s="408"/>
      <c r="Q135" s="408"/>
      <c r="R135" s="408"/>
      <c r="S135" s="408"/>
      <c r="T135" s="408"/>
      <c r="U135" s="408"/>
      <c r="V135" s="408"/>
      <c r="W135" s="408"/>
      <c r="X135" s="3635"/>
      <c r="Y135" s="4024"/>
    </row>
    <row r="136" spans="1:27" s="243" customFormat="1" ht="15.75" hidden="1" customHeight="1">
      <c r="A136" s="4105"/>
      <c r="B136" s="1804" t="s">
        <v>31</v>
      </c>
      <c r="C136" s="3625"/>
      <c r="D136" s="1805">
        <v>0</v>
      </c>
      <c r="E136" s="1811">
        <v>0</v>
      </c>
      <c r="F136" s="1811"/>
      <c r="G136" s="1811"/>
      <c r="H136" s="1811"/>
      <c r="I136" s="1811">
        <v>0</v>
      </c>
      <c r="J136" s="1811">
        <v>0</v>
      </c>
      <c r="K136" s="1811">
        <f>20000-2100-17900</f>
        <v>0</v>
      </c>
      <c r="L136" s="1811">
        <v>0</v>
      </c>
      <c r="M136" s="1807">
        <f>E136+I136+J136+K136+L136</f>
        <v>0</v>
      </c>
      <c r="N136" s="1812">
        <v>0</v>
      </c>
      <c r="O136" s="1812">
        <v>0</v>
      </c>
      <c r="P136" s="1812"/>
      <c r="Q136" s="1812"/>
      <c r="R136" s="1812"/>
      <c r="S136" s="1812"/>
      <c r="T136" s="1812"/>
      <c r="U136" s="1812"/>
      <c r="V136" s="1812"/>
      <c r="W136" s="1812"/>
      <c r="X136" s="3635"/>
      <c r="Y136" s="4024"/>
    </row>
    <row r="137" spans="1:27" ht="21.75" customHeight="1">
      <c r="A137" s="4089" t="s">
        <v>79</v>
      </c>
      <c r="B137" s="1737" t="s">
        <v>541</v>
      </c>
      <c r="C137" s="3115" t="s">
        <v>125</v>
      </c>
      <c r="D137" s="3115"/>
      <c r="E137" s="3115"/>
      <c r="F137" s="3115"/>
      <c r="G137" s="3115"/>
      <c r="H137" s="3115"/>
      <c r="I137" s="3115"/>
      <c r="J137" s="3115"/>
      <c r="K137" s="3115"/>
      <c r="L137" s="3115"/>
      <c r="M137" s="3115"/>
      <c r="N137" s="3115"/>
      <c r="O137" s="1740"/>
      <c r="P137" s="1740"/>
      <c r="Q137" s="1740"/>
      <c r="R137" s="1740"/>
      <c r="S137" s="1740"/>
      <c r="T137" s="1740"/>
      <c r="U137" s="1740"/>
      <c r="V137" s="1740"/>
      <c r="W137" s="1740"/>
      <c r="X137" s="3116"/>
      <c r="Y137" s="4107" t="s">
        <v>438</v>
      </c>
    </row>
    <row r="138" spans="1:27" ht="13.5" customHeight="1">
      <c r="A138" s="4089"/>
      <c r="B138" s="1049" t="s">
        <v>21</v>
      </c>
      <c r="C138" s="3117"/>
      <c r="D138" s="1690">
        <f t="shared" ref="D138:W138" si="80">+D139+D142</f>
        <v>25156056</v>
      </c>
      <c r="E138" s="1690">
        <f t="shared" si="80"/>
        <v>0</v>
      </c>
      <c r="F138" s="1690">
        <f t="shared" si="80"/>
        <v>0</v>
      </c>
      <c r="G138" s="1690">
        <f t="shared" si="80"/>
        <v>0</v>
      </c>
      <c r="H138" s="1690">
        <f t="shared" si="80"/>
        <v>0</v>
      </c>
      <c r="I138" s="1690">
        <f t="shared" si="80"/>
        <v>0</v>
      </c>
      <c r="J138" s="1690">
        <f t="shared" si="80"/>
        <v>0</v>
      </c>
      <c r="K138" s="1690">
        <f t="shared" si="80"/>
        <v>0</v>
      </c>
      <c r="L138" s="1690">
        <f t="shared" si="80"/>
        <v>0</v>
      </c>
      <c r="M138" s="1690">
        <f>+M139+M142</f>
        <v>2071007</v>
      </c>
      <c r="N138" s="1690">
        <f t="shared" si="80"/>
        <v>0</v>
      </c>
      <c r="O138" s="1691">
        <f t="shared" si="80"/>
        <v>2071007</v>
      </c>
      <c r="P138" s="1691">
        <f t="shared" si="80"/>
        <v>3889275</v>
      </c>
      <c r="Q138" s="1691">
        <f t="shared" si="80"/>
        <v>3900000</v>
      </c>
      <c r="R138" s="1691">
        <f t="shared" si="80"/>
        <v>3274335</v>
      </c>
      <c r="S138" s="1691">
        <f t="shared" si="80"/>
        <v>2500000</v>
      </c>
      <c r="T138" s="1691">
        <f t="shared" si="80"/>
        <v>2720411</v>
      </c>
      <c r="U138" s="1691">
        <f t="shared" si="80"/>
        <v>2720411</v>
      </c>
      <c r="V138" s="1691">
        <f t="shared" si="80"/>
        <v>2720411</v>
      </c>
      <c r="W138" s="1691">
        <f t="shared" si="80"/>
        <v>1360206</v>
      </c>
      <c r="X138" s="1693">
        <f>+X139+X142</f>
        <v>19195774</v>
      </c>
      <c r="Y138" s="4107"/>
    </row>
    <row r="139" spans="1:27" ht="13.5" customHeight="1">
      <c r="A139" s="4089"/>
      <c r="B139" s="1694" t="s">
        <v>22</v>
      </c>
      <c r="C139" s="4083" t="s">
        <v>206</v>
      </c>
      <c r="D139" s="1695">
        <f>+D140+D141</f>
        <v>9149279</v>
      </c>
      <c r="E139" s="1695">
        <f t="shared" ref="E139:W139" si="81">+E140+E141</f>
        <v>0</v>
      </c>
      <c r="F139" s="1695">
        <f t="shared" si="81"/>
        <v>0</v>
      </c>
      <c r="G139" s="1695">
        <f t="shared" si="81"/>
        <v>0</v>
      </c>
      <c r="H139" s="1695">
        <f t="shared" si="81"/>
        <v>0</v>
      </c>
      <c r="I139" s="1695">
        <f t="shared" si="81"/>
        <v>0</v>
      </c>
      <c r="J139" s="1695">
        <f t="shared" si="81"/>
        <v>0</v>
      </c>
      <c r="K139" s="1695">
        <f t="shared" si="81"/>
        <v>0</v>
      </c>
      <c r="L139" s="1695">
        <f t="shared" si="81"/>
        <v>0</v>
      </c>
      <c r="M139" s="1695">
        <f>+M140+M141</f>
        <v>753226</v>
      </c>
      <c r="N139" s="1695">
        <f t="shared" si="81"/>
        <v>0</v>
      </c>
      <c r="O139" s="1697">
        <f t="shared" si="81"/>
        <v>753226</v>
      </c>
      <c r="P139" s="1697">
        <f t="shared" si="81"/>
        <v>1414530</v>
      </c>
      <c r="Q139" s="1697">
        <f t="shared" si="81"/>
        <v>1418000</v>
      </c>
      <c r="R139" s="1697">
        <f t="shared" si="81"/>
        <v>1191324</v>
      </c>
      <c r="S139" s="1697">
        <f t="shared" si="81"/>
        <v>909250</v>
      </c>
      <c r="T139" s="1697">
        <f t="shared" si="81"/>
        <v>989414</v>
      </c>
      <c r="U139" s="1697">
        <f t="shared" si="81"/>
        <v>989414</v>
      </c>
      <c r="V139" s="1697">
        <f t="shared" si="81"/>
        <v>989414</v>
      </c>
      <c r="W139" s="1697">
        <f t="shared" si="81"/>
        <v>494707</v>
      </c>
      <c r="X139" s="1698">
        <f>SUM(X140:X141)</f>
        <v>6981523</v>
      </c>
      <c r="Y139" s="4107"/>
    </row>
    <row r="140" spans="1:27" ht="12.6" hidden="1" customHeight="1">
      <c r="A140" s="4089"/>
      <c r="B140" s="1699" t="s">
        <v>23</v>
      </c>
      <c r="C140" s="4083"/>
      <c r="D140" s="1700">
        <f>M140+O140+P140+Q140+R140+S140+T140</f>
        <v>0</v>
      </c>
      <c r="E140" s="3118">
        <v>0</v>
      </c>
      <c r="F140" s="3118"/>
      <c r="G140" s="3118"/>
      <c r="H140" s="3118"/>
      <c r="I140" s="3118">
        <v>0</v>
      </c>
      <c r="J140" s="3118">
        <v>0</v>
      </c>
      <c r="K140" s="3118">
        <v>0</v>
      </c>
      <c r="L140" s="3118">
        <v>0</v>
      </c>
      <c r="M140" s="1701">
        <f>E140+I140+J140+K140+L140+N140</f>
        <v>0</v>
      </c>
      <c r="N140" s="3118">
        <v>0</v>
      </c>
      <c r="O140" s="1701">
        <f>250000-250000</f>
        <v>0</v>
      </c>
      <c r="P140" s="1701">
        <f>500000-500000</f>
        <v>0</v>
      </c>
      <c r="Q140" s="1701">
        <f>450000-450000</f>
        <v>0</v>
      </c>
      <c r="R140" s="1701">
        <f>500000-500000</f>
        <v>0</v>
      </c>
      <c r="S140" s="1701">
        <v>0</v>
      </c>
      <c r="T140" s="1701"/>
      <c r="U140" s="1701"/>
      <c r="V140" s="1701"/>
      <c r="W140" s="1701"/>
      <c r="X140" s="1703">
        <f>SUM(P140:T140)</f>
        <v>0</v>
      </c>
      <c r="Y140" s="4107"/>
    </row>
    <row r="141" spans="1:27" ht="13.5" customHeight="1">
      <c r="A141" s="4089"/>
      <c r="B141" s="3119" t="s">
        <v>299</v>
      </c>
      <c r="C141" s="4083"/>
      <c r="D141" s="3120">
        <f>M141+P141+Q141+R141+S141+T141+U141+V141+W141</f>
        <v>9149279</v>
      </c>
      <c r="E141" s="3118">
        <v>0</v>
      </c>
      <c r="F141" s="3118"/>
      <c r="G141" s="3118"/>
      <c r="H141" s="3118">
        <v>0</v>
      </c>
      <c r="I141" s="3118">
        <v>0</v>
      </c>
      <c r="J141" s="3118">
        <v>0</v>
      </c>
      <c r="K141" s="3118">
        <v>0</v>
      </c>
      <c r="L141" s="3118">
        <v>0</v>
      </c>
      <c r="M141" s="3121">
        <f>+E141+I141+J141+K141+L141+N141+O141</f>
        <v>753226</v>
      </c>
      <c r="N141" s="3118">
        <v>0</v>
      </c>
      <c r="O141" s="1701">
        <f>1455000-496420-205354</f>
        <v>753226</v>
      </c>
      <c r="P141" s="1701">
        <f>2910000-909650-350-585470</f>
        <v>1414530</v>
      </c>
      <c r="Q141" s="1701">
        <f>2546000-1636750+205354+303396</f>
        <v>1418000</v>
      </c>
      <c r="R141" s="1701">
        <f>2910000-2000750-303396+585470</f>
        <v>1191324</v>
      </c>
      <c r="S141" s="1701">
        <v>909250</v>
      </c>
      <c r="T141" s="1701">
        <v>989414</v>
      </c>
      <c r="U141" s="1701">
        <v>989414</v>
      </c>
      <c r="V141" s="1701">
        <v>989414</v>
      </c>
      <c r="W141" s="1701">
        <v>494707</v>
      </c>
      <c r="X141" s="1757">
        <f>SUM(Q141:W141)</f>
        <v>6981523</v>
      </c>
      <c r="Y141" s="4107"/>
    </row>
    <row r="142" spans="1:27" ht="13.5" customHeight="1">
      <c r="A142" s="4089"/>
      <c r="B142" s="1707" t="s">
        <v>29</v>
      </c>
      <c r="C142" s="4083"/>
      <c r="D142" s="1695">
        <f>+D143</f>
        <v>16006777</v>
      </c>
      <c r="E142" s="1695">
        <f t="shared" ref="E142:W142" si="82">+E143</f>
        <v>0</v>
      </c>
      <c r="F142" s="1695">
        <f t="shared" si="82"/>
        <v>0</v>
      </c>
      <c r="G142" s="1695">
        <f t="shared" si="82"/>
        <v>0</v>
      </c>
      <c r="H142" s="1695">
        <f t="shared" si="82"/>
        <v>0</v>
      </c>
      <c r="I142" s="1695">
        <f t="shared" si="82"/>
        <v>0</v>
      </c>
      <c r="J142" s="1695">
        <f t="shared" si="82"/>
        <v>0</v>
      </c>
      <c r="K142" s="1695">
        <f t="shared" si="82"/>
        <v>0</v>
      </c>
      <c r="L142" s="1695">
        <f t="shared" si="82"/>
        <v>0</v>
      </c>
      <c r="M142" s="1695">
        <f t="shared" si="82"/>
        <v>1317781</v>
      </c>
      <c r="N142" s="1695">
        <f t="shared" si="82"/>
        <v>0</v>
      </c>
      <c r="O142" s="1695">
        <f t="shared" si="82"/>
        <v>1317781</v>
      </c>
      <c r="P142" s="1695">
        <f t="shared" si="82"/>
        <v>2474745</v>
      </c>
      <c r="Q142" s="1695">
        <f t="shared" si="82"/>
        <v>2482000</v>
      </c>
      <c r="R142" s="1695">
        <f t="shared" si="82"/>
        <v>2083011</v>
      </c>
      <c r="S142" s="1695">
        <f t="shared" si="82"/>
        <v>1590750</v>
      </c>
      <c r="T142" s="1695">
        <f t="shared" si="82"/>
        <v>1730997</v>
      </c>
      <c r="U142" s="1695">
        <f t="shared" si="82"/>
        <v>1730997</v>
      </c>
      <c r="V142" s="1695">
        <f t="shared" si="82"/>
        <v>1730997</v>
      </c>
      <c r="W142" s="1695">
        <f t="shared" si="82"/>
        <v>865499</v>
      </c>
      <c r="X142" s="1813">
        <f>+X143</f>
        <v>12214251</v>
      </c>
      <c r="Y142" s="4107"/>
    </row>
    <row r="143" spans="1:27" ht="13.5" customHeight="1">
      <c r="A143" s="4089"/>
      <c r="B143" s="3119" t="s">
        <v>458</v>
      </c>
      <c r="C143" s="4083"/>
      <c r="D143" s="3120">
        <f>M143+P143+Q143+R143+S143+T143+U143+V143+W143</f>
        <v>16006777</v>
      </c>
      <c r="E143" s="3118">
        <v>0</v>
      </c>
      <c r="F143" s="3118"/>
      <c r="G143" s="3118"/>
      <c r="H143" s="3118">
        <v>0</v>
      </c>
      <c r="I143" s="3118">
        <v>0</v>
      </c>
      <c r="J143" s="3118">
        <v>0</v>
      </c>
      <c r="K143" s="3118">
        <v>0</v>
      </c>
      <c r="L143" s="3118">
        <v>0</v>
      </c>
      <c r="M143" s="3121">
        <f>+E143+I143+J143+K143+L143+N143+O143</f>
        <v>1317781</v>
      </c>
      <c r="N143" s="3118">
        <v>0</v>
      </c>
      <c r="O143" s="1701">
        <f>2545000-868963-358256</f>
        <v>1317781</v>
      </c>
      <c r="P143" s="1701">
        <f>5090000-1590350+350-1025255</f>
        <v>2474745</v>
      </c>
      <c r="Q143" s="1701">
        <f>4454000-2863250+358256+532994</f>
        <v>2482000</v>
      </c>
      <c r="R143" s="1701">
        <f>5090000-3499250-532994+1025255</f>
        <v>2083011</v>
      </c>
      <c r="S143" s="1701">
        <v>1590750</v>
      </c>
      <c r="T143" s="1701">
        <v>1730997</v>
      </c>
      <c r="U143" s="1701">
        <v>1730997</v>
      </c>
      <c r="V143" s="1701">
        <v>1730997</v>
      </c>
      <c r="W143" s="1701">
        <v>865499</v>
      </c>
      <c r="X143" s="1757">
        <f>SUM(Q143:W143)</f>
        <v>12214251</v>
      </c>
      <c r="Y143" s="4107"/>
    </row>
    <row r="144" spans="1:27" ht="14.25" customHeight="1">
      <c r="A144" s="4089"/>
      <c r="B144" s="1049" t="s">
        <v>33</v>
      </c>
      <c r="C144" s="3117"/>
      <c r="D144" s="1691">
        <f>+D145+D148</f>
        <v>25156056</v>
      </c>
      <c r="E144" s="1691">
        <f>+E145+E148</f>
        <v>0</v>
      </c>
      <c r="F144" s="1691"/>
      <c r="G144" s="1691"/>
      <c r="H144" s="1691"/>
      <c r="I144" s="1691">
        <f t="shared" ref="I144:W144" si="83">+I145+I148</f>
        <v>0</v>
      </c>
      <c r="J144" s="1691">
        <f t="shared" si="83"/>
        <v>0</v>
      </c>
      <c r="K144" s="1691">
        <f t="shared" si="83"/>
        <v>0</v>
      </c>
      <c r="L144" s="1691">
        <f t="shared" si="83"/>
        <v>0</v>
      </c>
      <c r="M144" s="1691">
        <f>+M145+M148</f>
        <v>2071007</v>
      </c>
      <c r="N144" s="1691">
        <f t="shared" si="83"/>
        <v>0</v>
      </c>
      <c r="O144" s="1691">
        <f t="shared" si="83"/>
        <v>2071007</v>
      </c>
      <c r="P144" s="1691">
        <f t="shared" si="83"/>
        <v>3889275</v>
      </c>
      <c r="Q144" s="1691">
        <f t="shared" si="83"/>
        <v>3900000</v>
      </c>
      <c r="R144" s="1691">
        <f t="shared" si="83"/>
        <v>3274335</v>
      </c>
      <c r="S144" s="1691">
        <f t="shared" si="83"/>
        <v>2500000</v>
      </c>
      <c r="T144" s="1691">
        <f t="shared" si="83"/>
        <v>2720411</v>
      </c>
      <c r="U144" s="1691">
        <f t="shared" si="83"/>
        <v>2720411</v>
      </c>
      <c r="V144" s="1691">
        <f t="shared" si="83"/>
        <v>2720411</v>
      </c>
      <c r="W144" s="1691">
        <f t="shared" si="83"/>
        <v>1360206</v>
      </c>
      <c r="X144" s="3820" t="s">
        <v>75</v>
      </c>
      <c r="Y144" s="4107"/>
    </row>
    <row r="145" spans="1:25" ht="13.5" customHeight="1">
      <c r="A145" s="4089"/>
      <c r="B145" s="1694" t="s">
        <v>22</v>
      </c>
      <c r="C145" s="4108" t="s">
        <v>206</v>
      </c>
      <c r="D145" s="1695">
        <f>+D146</f>
        <v>9149279</v>
      </c>
      <c r="E145" s="1695">
        <f t="shared" ref="E145:W145" si="84">+E146</f>
        <v>0</v>
      </c>
      <c r="F145" s="1695">
        <f t="shared" si="84"/>
        <v>0</v>
      </c>
      <c r="G145" s="1695">
        <f t="shared" si="84"/>
        <v>0</v>
      </c>
      <c r="H145" s="1695">
        <f t="shared" si="84"/>
        <v>0</v>
      </c>
      <c r="I145" s="1695">
        <f t="shared" si="84"/>
        <v>0</v>
      </c>
      <c r="J145" s="1695">
        <f t="shared" si="84"/>
        <v>0</v>
      </c>
      <c r="K145" s="1695">
        <f t="shared" si="84"/>
        <v>0</v>
      </c>
      <c r="L145" s="1695">
        <f t="shared" si="84"/>
        <v>0</v>
      </c>
      <c r="M145" s="1695">
        <f t="shared" si="84"/>
        <v>753226</v>
      </c>
      <c r="N145" s="1695">
        <f t="shared" si="84"/>
        <v>0</v>
      </c>
      <c r="O145" s="1697">
        <f t="shared" si="84"/>
        <v>753226</v>
      </c>
      <c r="P145" s="1697">
        <f t="shared" si="84"/>
        <v>1414530</v>
      </c>
      <c r="Q145" s="1697">
        <f t="shared" si="84"/>
        <v>1418000</v>
      </c>
      <c r="R145" s="1697">
        <f t="shared" si="84"/>
        <v>1191324</v>
      </c>
      <c r="S145" s="1697">
        <f t="shared" si="84"/>
        <v>909250</v>
      </c>
      <c r="T145" s="1697">
        <f t="shared" si="84"/>
        <v>989414</v>
      </c>
      <c r="U145" s="1697">
        <f t="shared" si="84"/>
        <v>989414</v>
      </c>
      <c r="V145" s="1697">
        <f t="shared" si="84"/>
        <v>989414</v>
      </c>
      <c r="W145" s="1697">
        <f t="shared" si="84"/>
        <v>494707</v>
      </c>
      <c r="X145" s="3820"/>
      <c r="Y145" s="4107"/>
    </row>
    <row r="146" spans="1:25" ht="12.75" customHeight="1">
      <c r="A146" s="4089"/>
      <c r="B146" s="3119" t="s">
        <v>299</v>
      </c>
      <c r="C146" s="4108"/>
      <c r="D146" s="3120">
        <f>M146+P146+Q146+R146+S146+T146+U146+V146+W146</f>
        <v>9149279</v>
      </c>
      <c r="E146" s="3118">
        <v>0</v>
      </c>
      <c r="F146" s="3118"/>
      <c r="G146" s="3118"/>
      <c r="H146" s="3118"/>
      <c r="I146" s="3118">
        <v>0</v>
      </c>
      <c r="J146" s="3118">
        <v>0</v>
      </c>
      <c r="K146" s="3118">
        <v>0</v>
      </c>
      <c r="L146" s="3118">
        <v>0</v>
      </c>
      <c r="M146" s="3121">
        <f>+E146+I146+J146+K146+L146+N146+O146</f>
        <v>753226</v>
      </c>
      <c r="N146" s="3118">
        <v>0</v>
      </c>
      <c r="O146" s="1701">
        <f>1455000-496420-205354</f>
        <v>753226</v>
      </c>
      <c r="P146" s="1701">
        <f>2910000-909650-350-585470</f>
        <v>1414530</v>
      </c>
      <c r="Q146" s="1701">
        <f>2546000-1636750+205354+303396</f>
        <v>1418000</v>
      </c>
      <c r="R146" s="1701">
        <f>2910000-2000750-303396+585470</f>
        <v>1191324</v>
      </c>
      <c r="S146" s="1701">
        <v>909250</v>
      </c>
      <c r="T146" s="1701">
        <v>989414</v>
      </c>
      <c r="U146" s="1701">
        <v>989414</v>
      </c>
      <c r="V146" s="1701">
        <v>989414</v>
      </c>
      <c r="W146" s="1701">
        <v>494707</v>
      </c>
      <c r="X146" s="3820"/>
      <c r="Y146" s="4107"/>
    </row>
    <row r="147" spans="1:25" ht="11.25" customHeight="1">
      <c r="A147" s="4089"/>
      <c r="B147" s="1699" t="s">
        <v>36</v>
      </c>
      <c r="C147" s="4108"/>
      <c r="D147" s="3118">
        <f>+E147+I147+J147+K147+L147+N147</f>
        <v>0</v>
      </c>
      <c r="E147" s="3118">
        <v>0</v>
      </c>
      <c r="F147" s="3118"/>
      <c r="G147" s="3118"/>
      <c r="H147" s="3118"/>
      <c r="I147" s="3118"/>
      <c r="J147" s="3118"/>
      <c r="K147" s="3118">
        <v>0</v>
      </c>
      <c r="L147" s="3118">
        <v>0</v>
      </c>
      <c r="M147" s="3118">
        <v>0</v>
      </c>
      <c r="N147" s="3118"/>
      <c r="O147" s="3122"/>
      <c r="P147" s="1701"/>
      <c r="Q147" s="1701"/>
      <c r="R147" s="1701"/>
      <c r="S147" s="1701"/>
      <c r="T147" s="1701"/>
      <c r="U147" s="1701"/>
      <c r="V147" s="1701"/>
      <c r="W147" s="1701"/>
      <c r="X147" s="3820"/>
      <c r="Y147" s="4107"/>
    </row>
    <row r="148" spans="1:25" ht="12.75" customHeight="1">
      <c r="A148" s="4089"/>
      <c r="B148" s="1707" t="s">
        <v>29</v>
      </c>
      <c r="C148" s="4108"/>
      <c r="D148" s="1695">
        <f>+D149</f>
        <v>16006777</v>
      </c>
      <c r="E148" s="1695">
        <f t="shared" ref="E148:W148" si="85">+E149</f>
        <v>0</v>
      </c>
      <c r="F148" s="1695">
        <f t="shared" si="85"/>
        <v>0</v>
      </c>
      <c r="G148" s="1695">
        <f t="shared" si="85"/>
        <v>0</v>
      </c>
      <c r="H148" s="1695">
        <f t="shared" si="85"/>
        <v>0</v>
      </c>
      <c r="I148" s="1695">
        <f t="shared" si="85"/>
        <v>0</v>
      </c>
      <c r="J148" s="1695">
        <f t="shared" si="85"/>
        <v>0</v>
      </c>
      <c r="K148" s="1695">
        <f t="shared" si="85"/>
        <v>0</v>
      </c>
      <c r="L148" s="1695">
        <f t="shared" si="85"/>
        <v>0</v>
      </c>
      <c r="M148" s="1695">
        <f t="shared" si="85"/>
        <v>1317781</v>
      </c>
      <c r="N148" s="1695">
        <f t="shared" si="85"/>
        <v>0</v>
      </c>
      <c r="O148" s="1697">
        <f t="shared" si="85"/>
        <v>1317781</v>
      </c>
      <c r="P148" s="1697">
        <f t="shared" si="85"/>
        <v>2474745</v>
      </c>
      <c r="Q148" s="1697">
        <f t="shared" si="85"/>
        <v>2482000</v>
      </c>
      <c r="R148" s="1697">
        <f t="shared" si="85"/>
        <v>2083011</v>
      </c>
      <c r="S148" s="1697">
        <f t="shared" si="85"/>
        <v>1590750</v>
      </c>
      <c r="T148" s="1697">
        <f t="shared" si="85"/>
        <v>1730997</v>
      </c>
      <c r="U148" s="1697">
        <f t="shared" si="85"/>
        <v>1730997</v>
      </c>
      <c r="V148" s="1697">
        <f t="shared" si="85"/>
        <v>1730997</v>
      </c>
      <c r="W148" s="1697">
        <f t="shared" si="85"/>
        <v>865499</v>
      </c>
      <c r="X148" s="3820"/>
      <c r="Y148" s="4107"/>
    </row>
    <row r="149" spans="1:25" ht="12.75" customHeight="1">
      <c r="A149" s="4097"/>
      <c r="B149" s="3119" t="s">
        <v>458</v>
      </c>
      <c r="C149" s="4108"/>
      <c r="D149" s="3121">
        <f>M149+P149+Q149+R149+S149+T149+U149+V149+W149</f>
        <v>16006777</v>
      </c>
      <c r="E149" s="1700">
        <v>0</v>
      </c>
      <c r="F149" s="1700"/>
      <c r="G149" s="1700"/>
      <c r="H149" s="1700"/>
      <c r="I149" s="1700">
        <v>0</v>
      </c>
      <c r="J149" s="1700">
        <v>0</v>
      </c>
      <c r="K149" s="1700">
        <v>0</v>
      </c>
      <c r="L149" s="1700">
        <v>0</v>
      </c>
      <c r="M149" s="3121">
        <f>+E149+I149+J149+K149+L149+N149+O149</f>
        <v>1317781</v>
      </c>
      <c r="N149" s="1700">
        <v>0</v>
      </c>
      <c r="O149" s="1701">
        <f>2545000-868963-358256</f>
        <v>1317781</v>
      </c>
      <c r="P149" s="1701">
        <f>5090000-1590350+350-1025255</f>
        <v>2474745</v>
      </c>
      <c r="Q149" s="1701">
        <f>4454000-2863250+358256+532994</f>
        <v>2482000</v>
      </c>
      <c r="R149" s="1701">
        <f>5090000-3499250-532994+1025255</f>
        <v>2083011</v>
      </c>
      <c r="S149" s="1701">
        <v>1590750</v>
      </c>
      <c r="T149" s="1701">
        <v>1730997</v>
      </c>
      <c r="U149" s="1701">
        <v>1730997</v>
      </c>
      <c r="V149" s="1701">
        <v>1730997</v>
      </c>
      <c r="W149" s="1701">
        <v>865499</v>
      </c>
      <c r="X149" s="3820"/>
      <c r="Y149" s="4107"/>
    </row>
    <row r="150" spans="1:25" ht="11.25" hidden="1" customHeight="1">
      <c r="A150" s="1814"/>
      <c r="B150" s="1815" t="s">
        <v>31</v>
      </c>
      <c r="C150" s="1816"/>
      <c r="D150" s="1817">
        <f>+E150+I150+J150+K150+L150+N150</f>
        <v>0</v>
      </c>
      <c r="E150" s="1818">
        <v>0</v>
      </c>
      <c r="F150" s="1818"/>
      <c r="G150" s="1818"/>
      <c r="H150" s="1818"/>
      <c r="I150" s="1819"/>
      <c r="J150" s="1820"/>
      <c r="K150" s="1819"/>
      <c r="L150" s="1819"/>
      <c r="M150" s="1819"/>
      <c r="N150" s="1819"/>
      <c r="O150" s="1819"/>
      <c r="P150" s="1819"/>
      <c r="Q150" s="1819"/>
      <c r="R150" s="1819"/>
      <c r="S150" s="1819"/>
      <c r="T150" s="1819"/>
      <c r="U150" s="1819"/>
      <c r="V150" s="1819"/>
      <c r="W150" s="1819"/>
      <c r="X150" s="1821"/>
      <c r="Y150" s="1822"/>
    </row>
    <row r="151" spans="1:25" ht="27" hidden="1" customHeight="1">
      <c r="A151" s="4089" t="s">
        <v>104</v>
      </c>
      <c r="B151" s="1684" t="s">
        <v>293</v>
      </c>
      <c r="C151" s="1793" t="s">
        <v>95</v>
      </c>
      <c r="D151" s="1823"/>
      <c r="E151" s="1793"/>
      <c r="F151" s="1793"/>
      <c r="G151" s="1793"/>
      <c r="H151" s="1793"/>
      <c r="I151" s="1793"/>
      <c r="J151" s="1793"/>
      <c r="K151" s="1793"/>
      <c r="L151" s="1793"/>
      <c r="M151" s="1793"/>
      <c r="N151" s="1793"/>
      <c r="O151" s="1824"/>
      <c r="P151" s="1824"/>
      <c r="Q151" s="1824"/>
      <c r="R151" s="1824"/>
      <c r="S151" s="1824"/>
      <c r="T151" s="1824"/>
      <c r="U151" s="1824"/>
      <c r="V151" s="1824"/>
      <c r="W151" s="1824"/>
      <c r="X151" s="1825"/>
      <c r="Y151" s="4112" t="s">
        <v>205</v>
      </c>
    </row>
    <row r="152" spans="1:25" ht="11.25" hidden="1" customHeight="1">
      <c r="A152" s="4089"/>
      <c r="B152" s="1810" t="s">
        <v>21</v>
      </c>
      <c r="C152" s="1826"/>
      <c r="D152" s="1827">
        <f t="shared" ref="D152:R152" si="86">+D153+D156</f>
        <v>0</v>
      </c>
      <c r="E152" s="1827">
        <f t="shared" si="86"/>
        <v>0</v>
      </c>
      <c r="F152" s="1827">
        <f t="shared" si="86"/>
        <v>0</v>
      </c>
      <c r="G152" s="1827">
        <f t="shared" si="86"/>
        <v>0</v>
      </c>
      <c r="H152" s="1827">
        <f t="shared" si="86"/>
        <v>0</v>
      </c>
      <c r="I152" s="1827">
        <f t="shared" si="86"/>
        <v>0</v>
      </c>
      <c r="J152" s="1827">
        <f t="shared" si="86"/>
        <v>0</v>
      </c>
      <c r="K152" s="1827">
        <f t="shared" si="86"/>
        <v>0</v>
      </c>
      <c r="L152" s="1827">
        <f t="shared" si="86"/>
        <v>0</v>
      </c>
      <c r="M152" s="1827">
        <f>+M153+M156</f>
        <v>0</v>
      </c>
      <c r="N152" s="1827">
        <f t="shared" si="86"/>
        <v>0</v>
      </c>
      <c r="O152" s="1828">
        <f t="shared" si="86"/>
        <v>0</v>
      </c>
      <c r="P152" s="1828">
        <f t="shared" si="86"/>
        <v>0</v>
      </c>
      <c r="Q152" s="1828">
        <f t="shared" si="86"/>
        <v>0</v>
      </c>
      <c r="R152" s="1828">
        <f t="shared" si="86"/>
        <v>0</v>
      </c>
      <c r="S152" s="1828"/>
      <c r="T152" s="1828"/>
      <c r="U152" s="1828"/>
      <c r="V152" s="1828"/>
      <c r="W152" s="1828"/>
      <c r="X152" s="1829">
        <f>+X153+X156</f>
        <v>0</v>
      </c>
      <c r="Y152" s="4112"/>
    </row>
    <row r="153" spans="1:25" ht="12.75" hidden="1" customHeight="1">
      <c r="A153" s="4089"/>
      <c r="B153" s="1830" t="s">
        <v>22</v>
      </c>
      <c r="C153" s="3741" t="s">
        <v>206</v>
      </c>
      <c r="D153" s="98">
        <f t="shared" ref="D153:R153" si="87">+D154+D155</f>
        <v>0</v>
      </c>
      <c r="E153" s="98">
        <f t="shared" si="87"/>
        <v>0</v>
      </c>
      <c r="F153" s="98">
        <f t="shared" si="87"/>
        <v>0</v>
      </c>
      <c r="G153" s="98">
        <f t="shared" si="87"/>
        <v>0</v>
      </c>
      <c r="H153" s="98">
        <f t="shared" si="87"/>
        <v>0</v>
      </c>
      <c r="I153" s="98">
        <f t="shared" si="87"/>
        <v>0</v>
      </c>
      <c r="J153" s="98">
        <f t="shared" si="87"/>
        <v>0</v>
      </c>
      <c r="K153" s="98">
        <f t="shared" si="87"/>
        <v>0</v>
      </c>
      <c r="L153" s="98">
        <f t="shared" si="87"/>
        <v>0</v>
      </c>
      <c r="M153" s="98">
        <f>+M154+M155</f>
        <v>0</v>
      </c>
      <c r="N153" s="98">
        <f t="shared" si="87"/>
        <v>0</v>
      </c>
      <c r="O153" s="1831">
        <f t="shared" si="87"/>
        <v>0</v>
      </c>
      <c r="P153" s="1831">
        <f t="shared" si="87"/>
        <v>0</v>
      </c>
      <c r="Q153" s="1831">
        <f t="shared" si="87"/>
        <v>0</v>
      </c>
      <c r="R153" s="1831">
        <f t="shared" si="87"/>
        <v>0</v>
      </c>
      <c r="S153" s="1831"/>
      <c r="T153" s="1831"/>
      <c r="U153" s="1831"/>
      <c r="V153" s="1831"/>
      <c r="W153" s="1831"/>
      <c r="X153" s="1803">
        <f>SUM(X154:X155)</f>
        <v>0</v>
      </c>
      <c r="Y153" s="4112"/>
    </row>
    <row r="154" spans="1:25" ht="12.75" hidden="1" customHeight="1">
      <c r="A154" s="4089"/>
      <c r="B154" s="1815" t="s">
        <v>23</v>
      </c>
      <c r="C154" s="3625"/>
      <c r="D154" s="1805">
        <f>M154+N154+O154+P154+Q154+R154</f>
        <v>0</v>
      </c>
      <c r="E154" s="1345">
        <v>0</v>
      </c>
      <c r="F154" s="1345"/>
      <c r="G154" s="1345"/>
      <c r="H154" s="1345"/>
      <c r="I154" s="1345">
        <v>0</v>
      </c>
      <c r="J154" s="1345">
        <v>0</v>
      </c>
      <c r="K154" s="1345">
        <v>0</v>
      </c>
      <c r="L154" s="1345">
        <v>0</v>
      </c>
      <c r="M154" s="1807">
        <f>E154+I154+J154+K154+L154</f>
        <v>0</v>
      </c>
      <c r="N154" s="1345">
        <v>0</v>
      </c>
      <c r="O154" s="1832">
        <f>23000-23000</f>
        <v>0</v>
      </c>
      <c r="P154" s="1832">
        <f>12000-12000</f>
        <v>0</v>
      </c>
      <c r="Q154" s="1832">
        <v>0</v>
      </c>
      <c r="R154" s="1832">
        <v>0</v>
      </c>
      <c r="S154" s="1832"/>
      <c r="T154" s="1832"/>
      <c r="U154" s="1832"/>
      <c r="V154" s="1832"/>
      <c r="W154" s="1832"/>
      <c r="X154" s="1809">
        <f>SUM(P154:T154)</f>
        <v>0</v>
      </c>
      <c r="Y154" s="4112"/>
    </row>
    <row r="155" spans="1:25" ht="12.75" hidden="1" customHeight="1">
      <c r="A155" s="4089"/>
      <c r="B155" s="1833" t="s">
        <v>299</v>
      </c>
      <c r="C155" s="3625"/>
      <c r="D155" s="1805">
        <f>M155+N155+O155+P155+Q155+R155</f>
        <v>0</v>
      </c>
      <c r="E155" s="1345">
        <v>0</v>
      </c>
      <c r="F155" s="1345"/>
      <c r="G155" s="1345"/>
      <c r="H155" s="1345">
        <v>0</v>
      </c>
      <c r="I155" s="1345">
        <v>0</v>
      </c>
      <c r="J155" s="1345">
        <v>0</v>
      </c>
      <c r="K155" s="1345">
        <v>0</v>
      </c>
      <c r="L155" s="1345">
        <v>0</v>
      </c>
      <c r="M155" s="1807">
        <f>E155+I155+J155+K155+L155</f>
        <v>0</v>
      </c>
      <c r="N155" s="1345">
        <v>0</v>
      </c>
      <c r="O155" s="1832">
        <f>36000-36000</f>
        <v>0</v>
      </c>
      <c r="P155" s="1832">
        <f>18000-18000</f>
        <v>0</v>
      </c>
      <c r="Q155" s="1832">
        <v>0</v>
      </c>
      <c r="R155" s="1832">
        <v>0</v>
      </c>
      <c r="S155" s="1832"/>
      <c r="T155" s="1832"/>
      <c r="U155" s="1832"/>
      <c r="V155" s="1832"/>
      <c r="W155" s="1832"/>
      <c r="X155" s="1809">
        <f>SUM(P155:T155)</f>
        <v>0</v>
      </c>
      <c r="Y155" s="4112"/>
    </row>
    <row r="156" spans="1:25" ht="12.75" hidden="1" customHeight="1">
      <c r="A156" s="4089"/>
      <c r="B156" s="1834" t="s">
        <v>29</v>
      </c>
      <c r="C156" s="3625"/>
      <c r="D156" s="98">
        <f t="shared" ref="D156:X156" si="88">+D157</f>
        <v>0</v>
      </c>
      <c r="E156" s="98">
        <f t="shared" si="88"/>
        <v>0</v>
      </c>
      <c r="F156" s="98">
        <f t="shared" si="88"/>
        <v>0</v>
      </c>
      <c r="G156" s="98">
        <f t="shared" si="88"/>
        <v>0</v>
      </c>
      <c r="H156" s="98">
        <f t="shared" si="88"/>
        <v>0</v>
      </c>
      <c r="I156" s="98">
        <f t="shared" si="88"/>
        <v>0</v>
      </c>
      <c r="J156" s="98">
        <f t="shared" si="88"/>
        <v>0</v>
      </c>
      <c r="K156" s="98">
        <f t="shared" si="88"/>
        <v>0</v>
      </c>
      <c r="L156" s="98">
        <f t="shared" si="88"/>
        <v>0</v>
      </c>
      <c r="M156" s="98">
        <f t="shared" si="88"/>
        <v>0</v>
      </c>
      <c r="N156" s="98">
        <f t="shared" si="88"/>
        <v>0</v>
      </c>
      <c r="O156" s="98">
        <f t="shared" si="88"/>
        <v>0</v>
      </c>
      <c r="P156" s="98">
        <f t="shared" si="88"/>
        <v>0</v>
      </c>
      <c r="Q156" s="98">
        <f t="shared" si="88"/>
        <v>0</v>
      </c>
      <c r="R156" s="98">
        <f t="shared" si="88"/>
        <v>0</v>
      </c>
      <c r="S156" s="98"/>
      <c r="T156" s="98"/>
      <c r="U156" s="98"/>
      <c r="V156" s="98"/>
      <c r="W156" s="98"/>
      <c r="X156" s="1835">
        <f t="shared" si="88"/>
        <v>0</v>
      </c>
      <c r="Y156" s="4112"/>
    </row>
    <row r="157" spans="1:25" ht="12.75" hidden="1" customHeight="1">
      <c r="A157" s="4089"/>
      <c r="B157" s="1833" t="s">
        <v>458</v>
      </c>
      <c r="C157" s="3625"/>
      <c r="D157" s="1805">
        <f>M157+N157+O157+P157+Q157+R157</f>
        <v>0</v>
      </c>
      <c r="E157" s="1345">
        <v>0</v>
      </c>
      <c r="F157" s="1345"/>
      <c r="G157" s="1345"/>
      <c r="H157" s="1345">
        <v>0</v>
      </c>
      <c r="I157" s="1345">
        <v>0</v>
      </c>
      <c r="J157" s="1345">
        <v>0</v>
      </c>
      <c r="K157" s="1345">
        <v>0</v>
      </c>
      <c r="L157" s="1345">
        <v>0</v>
      </c>
      <c r="M157" s="1807">
        <f>E157+I157+J157+K157+L157</f>
        <v>0</v>
      </c>
      <c r="N157" s="1345">
        <v>0</v>
      </c>
      <c r="O157" s="1832">
        <f>64000-64000</f>
        <v>0</v>
      </c>
      <c r="P157" s="1832">
        <f>32000-32000</f>
        <v>0</v>
      </c>
      <c r="Q157" s="1832">
        <v>0</v>
      </c>
      <c r="R157" s="1832">
        <v>0</v>
      </c>
      <c r="S157" s="1832"/>
      <c r="T157" s="1832"/>
      <c r="U157" s="1832"/>
      <c r="V157" s="1832"/>
      <c r="W157" s="1832"/>
      <c r="X157" s="1809">
        <f>SUM(P157:T157)</f>
        <v>0</v>
      </c>
      <c r="Y157" s="4112"/>
    </row>
    <row r="158" spans="1:25" ht="13.5" hidden="1" customHeight="1">
      <c r="A158" s="4089"/>
      <c r="B158" s="1810" t="s">
        <v>33</v>
      </c>
      <c r="C158" s="1826"/>
      <c r="D158" s="1828">
        <f>+D159+D162</f>
        <v>0</v>
      </c>
      <c r="E158" s="1828">
        <f>+E159+E162</f>
        <v>0</v>
      </c>
      <c r="F158" s="1828"/>
      <c r="G158" s="1828"/>
      <c r="H158" s="1828"/>
      <c r="I158" s="1828">
        <f t="shared" ref="I158:R158" si="89">+I159+I162</f>
        <v>0</v>
      </c>
      <c r="J158" s="1828">
        <f t="shared" si="89"/>
        <v>0</v>
      </c>
      <c r="K158" s="1828">
        <f t="shared" si="89"/>
        <v>0</v>
      </c>
      <c r="L158" s="1828">
        <f t="shared" si="89"/>
        <v>0</v>
      </c>
      <c r="M158" s="1828">
        <f>+M159+M162</f>
        <v>0</v>
      </c>
      <c r="N158" s="1828">
        <f t="shared" si="89"/>
        <v>0</v>
      </c>
      <c r="O158" s="1828">
        <f t="shared" si="89"/>
        <v>0</v>
      </c>
      <c r="P158" s="1828">
        <f t="shared" si="89"/>
        <v>0</v>
      </c>
      <c r="Q158" s="1828">
        <f t="shared" si="89"/>
        <v>0</v>
      </c>
      <c r="R158" s="1828">
        <f t="shared" si="89"/>
        <v>0</v>
      </c>
      <c r="S158" s="1828"/>
      <c r="T158" s="1828"/>
      <c r="U158" s="1828"/>
      <c r="V158" s="1828"/>
      <c r="W158" s="1828"/>
      <c r="X158" s="4086" t="s">
        <v>75</v>
      </c>
      <c r="Y158" s="4112"/>
    </row>
    <row r="159" spans="1:25" ht="12.75" hidden="1" customHeight="1">
      <c r="A159" s="4089"/>
      <c r="B159" s="1830" t="s">
        <v>22</v>
      </c>
      <c r="C159" s="4113" t="s">
        <v>206</v>
      </c>
      <c r="D159" s="98">
        <f t="shared" ref="D159:R159" si="90">+D160</f>
        <v>0</v>
      </c>
      <c r="E159" s="98">
        <f t="shared" si="90"/>
        <v>0</v>
      </c>
      <c r="F159" s="98">
        <f t="shared" si="90"/>
        <v>0</v>
      </c>
      <c r="G159" s="98">
        <f t="shared" si="90"/>
        <v>0</v>
      </c>
      <c r="H159" s="98">
        <f t="shared" si="90"/>
        <v>0</v>
      </c>
      <c r="I159" s="98">
        <f t="shared" si="90"/>
        <v>0</v>
      </c>
      <c r="J159" s="98">
        <f t="shared" si="90"/>
        <v>0</v>
      </c>
      <c r="K159" s="98">
        <f t="shared" si="90"/>
        <v>0</v>
      </c>
      <c r="L159" s="98">
        <f t="shared" si="90"/>
        <v>0</v>
      </c>
      <c r="M159" s="98">
        <f t="shared" si="90"/>
        <v>0</v>
      </c>
      <c r="N159" s="98">
        <f t="shared" si="90"/>
        <v>0</v>
      </c>
      <c r="O159" s="1831">
        <f t="shared" si="90"/>
        <v>0</v>
      </c>
      <c r="P159" s="1831">
        <f t="shared" si="90"/>
        <v>0</v>
      </c>
      <c r="Q159" s="1831">
        <f t="shared" si="90"/>
        <v>0</v>
      </c>
      <c r="R159" s="1831">
        <f t="shared" si="90"/>
        <v>0</v>
      </c>
      <c r="S159" s="1831"/>
      <c r="T159" s="1831"/>
      <c r="U159" s="1831"/>
      <c r="V159" s="1831"/>
      <c r="W159" s="1831"/>
      <c r="X159" s="4086"/>
      <c r="Y159" s="4112"/>
    </row>
    <row r="160" spans="1:25" ht="12.75" hidden="1" customHeight="1">
      <c r="A160" s="4089"/>
      <c r="B160" s="1833" t="s">
        <v>299</v>
      </c>
      <c r="C160" s="4113"/>
      <c r="D160" s="1805">
        <f>M160+N160+O160+P160+Q160+R160</f>
        <v>0</v>
      </c>
      <c r="E160" s="1345">
        <v>0</v>
      </c>
      <c r="F160" s="1345"/>
      <c r="G160" s="1345"/>
      <c r="H160" s="1345"/>
      <c r="I160" s="1345">
        <v>0</v>
      </c>
      <c r="J160" s="1345">
        <v>0</v>
      </c>
      <c r="K160" s="1345">
        <v>0</v>
      </c>
      <c r="L160" s="1345">
        <v>0</v>
      </c>
      <c r="M160" s="1807">
        <f>E160+I160+J160+K160+L160</f>
        <v>0</v>
      </c>
      <c r="N160" s="1345">
        <v>0</v>
      </c>
      <c r="O160" s="1832">
        <f>36000-36000</f>
        <v>0</v>
      </c>
      <c r="P160" s="1832">
        <f>18000-18000</f>
        <v>0</v>
      </c>
      <c r="Q160" s="1832">
        <v>0</v>
      </c>
      <c r="R160" s="1832">
        <v>0</v>
      </c>
      <c r="S160" s="1832"/>
      <c r="T160" s="1832"/>
      <c r="U160" s="1832"/>
      <c r="V160" s="1832"/>
      <c r="W160" s="1832"/>
      <c r="X160" s="4086"/>
      <c r="Y160" s="4112"/>
    </row>
    <row r="161" spans="1:25" ht="11.25" hidden="1" customHeight="1">
      <c r="A161" s="4089"/>
      <c r="B161" s="1815" t="s">
        <v>36</v>
      </c>
      <c r="C161" s="4113"/>
      <c r="D161" s="1345">
        <f>+E161+I161+J161+K161+L161+N161</f>
        <v>0</v>
      </c>
      <c r="E161" s="1345">
        <v>0</v>
      </c>
      <c r="F161" s="1345"/>
      <c r="G161" s="1345"/>
      <c r="H161" s="1345"/>
      <c r="I161" s="1345"/>
      <c r="J161" s="1345"/>
      <c r="K161" s="1345">
        <v>0</v>
      </c>
      <c r="L161" s="1345">
        <v>0</v>
      </c>
      <c r="M161" s="1345">
        <v>0</v>
      </c>
      <c r="N161" s="1345"/>
      <c r="O161" s="2221"/>
      <c r="P161" s="1832"/>
      <c r="Q161" s="1832"/>
      <c r="R161" s="1832"/>
      <c r="S161" s="1832"/>
      <c r="T161" s="1832"/>
      <c r="U161" s="1832"/>
      <c r="V161" s="1832"/>
      <c r="W161" s="1832"/>
      <c r="X161" s="4086"/>
      <c r="Y161" s="4112"/>
    </row>
    <row r="162" spans="1:25" ht="12.75" hidden="1" customHeight="1">
      <c r="A162" s="4089"/>
      <c r="B162" s="1834" t="s">
        <v>29</v>
      </c>
      <c r="C162" s="4113"/>
      <c r="D162" s="98">
        <f t="shared" ref="D162:R162" si="91">+D163</f>
        <v>0</v>
      </c>
      <c r="E162" s="98">
        <f t="shared" si="91"/>
        <v>0</v>
      </c>
      <c r="F162" s="98">
        <f t="shared" si="91"/>
        <v>0</v>
      </c>
      <c r="G162" s="98">
        <f t="shared" si="91"/>
        <v>0</v>
      </c>
      <c r="H162" s="98">
        <f t="shared" si="91"/>
        <v>0</v>
      </c>
      <c r="I162" s="98">
        <f t="shared" si="91"/>
        <v>0</v>
      </c>
      <c r="J162" s="98">
        <f t="shared" si="91"/>
        <v>0</v>
      </c>
      <c r="K162" s="98">
        <f t="shared" si="91"/>
        <v>0</v>
      </c>
      <c r="L162" s="98">
        <f t="shared" si="91"/>
        <v>0</v>
      </c>
      <c r="M162" s="98">
        <f t="shared" si="91"/>
        <v>0</v>
      </c>
      <c r="N162" s="98">
        <f t="shared" si="91"/>
        <v>0</v>
      </c>
      <c r="O162" s="1831">
        <f t="shared" si="91"/>
        <v>0</v>
      </c>
      <c r="P162" s="1831">
        <f t="shared" si="91"/>
        <v>0</v>
      </c>
      <c r="Q162" s="1831">
        <f t="shared" si="91"/>
        <v>0</v>
      </c>
      <c r="R162" s="1831">
        <f t="shared" si="91"/>
        <v>0</v>
      </c>
      <c r="S162" s="1831"/>
      <c r="T162" s="1831"/>
      <c r="U162" s="1831"/>
      <c r="V162" s="1831"/>
      <c r="W162" s="1831"/>
      <c r="X162" s="4086"/>
      <c r="Y162" s="4112"/>
    </row>
    <row r="163" spans="1:25" s="1838" customFormat="1" ht="15.75" hidden="1" customHeight="1">
      <c r="A163" s="4089"/>
      <c r="B163" s="1833" t="s">
        <v>458</v>
      </c>
      <c r="C163" s="4113"/>
      <c r="D163" s="1805">
        <f>M163+N163+O163+P163+Q163+R163</f>
        <v>0</v>
      </c>
      <c r="E163" s="1836">
        <v>0</v>
      </c>
      <c r="F163" s="1836"/>
      <c r="G163" s="1836"/>
      <c r="H163" s="1836"/>
      <c r="I163" s="1836">
        <v>0</v>
      </c>
      <c r="J163" s="1836">
        <v>0</v>
      </c>
      <c r="K163" s="1836">
        <v>0</v>
      </c>
      <c r="L163" s="1836">
        <v>0</v>
      </c>
      <c r="M163" s="1807">
        <f>E163+I163+J163+K163+L163</f>
        <v>0</v>
      </c>
      <c r="N163" s="1836">
        <v>0</v>
      </c>
      <c r="O163" s="1837">
        <f>64000-64000</f>
        <v>0</v>
      </c>
      <c r="P163" s="1837">
        <f>32000-32000</f>
        <v>0</v>
      </c>
      <c r="Q163" s="1837">
        <v>0</v>
      </c>
      <c r="R163" s="1837">
        <v>0</v>
      </c>
      <c r="S163" s="1837"/>
      <c r="T163" s="1837"/>
      <c r="U163" s="1837"/>
      <c r="V163" s="1837"/>
      <c r="W163" s="1837"/>
      <c r="X163" s="4086"/>
      <c r="Y163" s="4112"/>
    </row>
    <row r="164" spans="1:25" ht="35.25" hidden="1" customHeight="1">
      <c r="A164" s="4089">
        <v>0</v>
      </c>
      <c r="B164" s="1839" t="s">
        <v>210</v>
      </c>
      <c r="C164" s="1840" t="s">
        <v>95</v>
      </c>
      <c r="D164" s="1840"/>
      <c r="E164" s="1841"/>
      <c r="F164" s="1841"/>
      <c r="G164" s="1841"/>
      <c r="H164" s="1841"/>
      <c r="I164" s="1842"/>
      <c r="J164" s="1842"/>
      <c r="K164" s="1842"/>
      <c r="L164" s="1842"/>
      <c r="M164" s="1842"/>
      <c r="N164" s="1842"/>
      <c r="O164" s="1842"/>
      <c r="P164" s="1842"/>
      <c r="Q164" s="1842"/>
      <c r="R164" s="1842"/>
      <c r="S164" s="1842"/>
      <c r="T164" s="1842"/>
      <c r="U164" s="1842"/>
      <c r="V164" s="1842"/>
      <c r="W164" s="1842"/>
      <c r="X164" s="1843"/>
      <c r="Y164" s="4066" t="s">
        <v>211</v>
      </c>
    </row>
    <row r="165" spans="1:25" ht="11.25" hidden="1" customHeight="1">
      <c r="A165" s="4089"/>
      <c r="B165" s="1844" t="s">
        <v>21</v>
      </c>
      <c r="C165" s="1826"/>
      <c r="D165" s="1845">
        <f t="shared" ref="D165:L165" si="92">+D166+D169</f>
        <v>0</v>
      </c>
      <c r="E165" s="1846">
        <f t="shared" si="92"/>
        <v>0</v>
      </c>
      <c r="F165" s="1847">
        <f t="shared" si="92"/>
        <v>0</v>
      </c>
      <c r="G165" s="1847">
        <f t="shared" si="92"/>
        <v>0</v>
      </c>
      <c r="H165" s="1847">
        <f t="shared" si="92"/>
        <v>0</v>
      </c>
      <c r="I165" s="1847">
        <f t="shared" si="92"/>
        <v>0</v>
      </c>
      <c r="J165" s="1847">
        <f t="shared" si="92"/>
        <v>0</v>
      </c>
      <c r="K165" s="1847">
        <f t="shared" si="92"/>
        <v>0</v>
      </c>
      <c r="L165" s="1847">
        <f t="shared" si="92"/>
        <v>0</v>
      </c>
      <c r="M165" s="1848"/>
      <c r="N165" s="1849"/>
      <c r="O165" s="1850"/>
      <c r="P165" s="1850"/>
      <c r="Q165" s="1850"/>
      <c r="R165" s="1850"/>
      <c r="S165" s="1850"/>
      <c r="T165" s="1850"/>
      <c r="U165" s="1850"/>
      <c r="V165" s="1850"/>
      <c r="W165" s="1850"/>
      <c r="X165" s="1851"/>
      <c r="Y165" s="4066"/>
    </row>
    <row r="166" spans="1:25" ht="11.25" hidden="1" customHeight="1">
      <c r="A166" s="4089"/>
      <c r="B166" s="1852" t="s">
        <v>22</v>
      </c>
      <c r="C166" s="4109" t="s">
        <v>203</v>
      </c>
      <c r="D166" s="1853">
        <f>+D167+D168</f>
        <v>0</v>
      </c>
      <c r="E166" s="1854">
        <f>+E167+E168</f>
        <v>0</v>
      </c>
      <c r="F166" s="1853">
        <f>+F167+F168</f>
        <v>0</v>
      </c>
      <c r="G166" s="1853">
        <f>+G167+G168</f>
        <v>0</v>
      </c>
      <c r="H166" s="1853">
        <f>+H167+H168</f>
        <v>0</v>
      </c>
      <c r="I166" s="1855">
        <f>SUM(I167:I168)</f>
        <v>0</v>
      </c>
      <c r="J166" s="1855">
        <f>SUM(J167:J168)</f>
        <v>0</v>
      </c>
      <c r="K166" s="1855">
        <f>SUM(K167:K168)</f>
        <v>0</v>
      </c>
      <c r="L166" s="1855">
        <f>SUM(L167:L168)</f>
        <v>0</v>
      </c>
      <c r="M166" s="1855"/>
      <c r="N166" s="1856"/>
      <c r="O166" s="1857"/>
      <c r="P166" s="1857"/>
      <c r="Q166" s="1857"/>
      <c r="R166" s="1857"/>
      <c r="S166" s="1857"/>
      <c r="T166" s="1857"/>
      <c r="U166" s="1857"/>
      <c r="V166" s="1857"/>
      <c r="W166" s="1857"/>
      <c r="X166" s="1858"/>
      <c r="Y166" s="4066"/>
    </row>
    <row r="167" spans="1:25" ht="11.25" hidden="1" customHeight="1">
      <c r="A167" s="4089"/>
      <c r="B167" s="1859" t="s">
        <v>23</v>
      </c>
      <c r="C167" s="3675"/>
      <c r="D167" s="1860">
        <f>+E167+I167+J167+K167+L167+N167</f>
        <v>0</v>
      </c>
      <c r="E167" s="1861"/>
      <c r="F167" s="1862"/>
      <c r="G167" s="1862"/>
      <c r="H167" s="1862"/>
      <c r="I167" s="1863">
        <v>0</v>
      </c>
      <c r="J167" s="1863">
        <v>0</v>
      </c>
      <c r="K167" s="1863">
        <v>0</v>
      </c>
      <c r="L167" s="1863">
        <v>0</v>
      </c>
      <c r="M167" s="1863"/>
      <c r="N167" s="1864"/>
      <c r="O167" s="1863"/>
      <c r="P167" s="1863"/>
      <c r="Q167" s="1863"/>
      <c r="R167" s="1863"/>
      <c r="S167" s="1863"/>
      <c r="T167" s="1863"/>
      <c r="U167" s="1863"/>
      <c r="V167" s="1863"/>
      <c r="W167" s="1863"/>
      <c r="X167" s="1821"/>
      <c r="Y167" s="4066"/>
    </row>
    <row r="168" spans="1:25" ht="11.25" hidden="1" customHeight="1">
      <c r="A168" s="4089"/>
      <c r="B168" s="1865" t="s">
        <v>24</v>
      </c>
      <c r="C168" s="3675"/>
      <c r="D168" s="1860">
        <f>+E168+I168+J168+K168+L168+N168</f>
        <v>0</v>
      </c>
      <c r="E168" s="1866">
        <v>0</v>
      </c>
      <c r="F168" s="1867"/>
      <c r="G168" s="1867"/>
      <c r="H168" s="1867">
        <v>0</v>
      </c>
      <c r="I168" s="1868"/>
      <c r="J168" s="1868"/>
      <c r="K168" s="1863"/>
      <c r="L168" s="1863"/>
      <c r="M168" s="1863"/>
      <c r="N168" s="1864"/>
      <c r="O168" s="1863"/>
      <c r="P168" s="1863"/>
      <c r="Q168" s="1863"/>
      <c r="R168" s="1863"/>
      <c r="S168" s="1863"/>
      <c r="T168" s="1863"/>
      <c r="U168" s="1863"/>
      <c r="V168" s="1863"/>
      <c r="W168" s="1863"/>
      <c r="X168" s="1821"/>
      <c r="Y168" s="4066"/>
    </row>
    <row r="169" spans="1:25" ht="11.25" hidden="1" customHeight="1">
      <c r="A169" s="4089"/>
      <c r="B169" s="1869" t="s">
        <v>29</v>
      </c>
      <c r="C169" s="3675"/>
      <c r="D169" s="1853">
        <f t="shared" ref="D169:L169" si="93">+D170</f>
        <v>0</v>
      </c>
      <c r="E169" s="1854">
        <f t="shared" si="93"/>
        <v>0</v>
      </c>
      <c r="F169" s="1853"/>
      <c r="G169" s="1853"/>
      <c r="H169" s="1853">
        <f t="shared" si="93"/>
        <v>0</v>
      </c>
      <c r="I169" s="1870">
        <f t="shared" si="93"/>
        <v>0</v>
      </c>
      <c r="J169" s="1870">
        <f t="shared" si="93"/>
        <v>0</v>
      </c>
      <c r="K169" s="1870">
        <f>+K170</f>
        <v>0</v>
      </c>
      <c r="L169" s="1870">
        <f t="shared" si="93"/>
        <v>0</v>
      </c>
      <c r="M169" s="1870"/>
      <c r="N169" s="1871"/>
      <c r="O169" s="1853"/>
      <c r="P169" s="1853"/>
      <c r="Q169" s="1853"/>
      <c r="R169" s="1853"/>
      <c r="S169" s="1853"/>
      <c r="T169" s="1853"/>
      <c r="U169" s="1853"/>
      <c r="V169" s="1853"/>
      <c r="W169" s="1853"/>
      <c r="X169" s="1872"/>
      <c r="Y169" s="4066"/>
    </row>
    <row r="170" spans="1:25" ht="11.25" hidden="1" customHeight="1">
      <c r="A170" s="4089"/>
      <c r="B170" s="1859" t="s">
        <v>32</v>
      </c>
      <c r="C170" s="3675"/>
      <c r="D170" s="1860">
        <f>+E170+I170+J170+K170+L170+N170</f>
        <v>0</v>
      </c>
      <c r="E170" s="1866">
        <v>0</v>
      </c>
      <c r="F170" s="1867"/>
      <c r="G170" s="1867"/>
      <c r="H170" s="1867">
        <v>0</v>
      </c>
      <c r="I170" s="1868"/>
      <c r="J170" s="1868"/>
      <c r="K170" s="1863"/>
      <c r="L170" s="1863"/>
      <c r="M170" s="1863"/>
      <c r="N170" s="1864"/>
      <c r="O170" s="1863"/>
      <c r="P170" s="1863"/>
      <c r="Q170" s="1863"/>
      <c r="R170" s="1863"/>
      <c r="S170" s="1863"/>
      <c r="T170" s="1863"/>
      <c r="U170" s="1863"/>
      <c r="V170" s="1863"/>
      <c r="W170" s="1863"/>
      <c r="X170" s="1821"/>
      <c r="Y170" s="4066"/>
    </row>
    <row r="171" spans="1:25" ht="11.25" hidden="1" customHeight="1">
      <c r="A171" s="4089"/>
      <c r="B171" s="1844" t="s">
        <v>33</v>
      </c>
      <c r="C171" s="1826"/>
      <c r="D171" s="1850">
        <f>+D172+D175</f>
        <v>0</v>
      </c>
      <c r="E171" s="1873">
        <f>+E172+E175</f>
        <v>0</v>
      </c>
      <c r="F171" s="1873"/>
      <c r="G171" s="1873"/>
      <c r="H171" s="1873"/>
      <c r="I171" s="1850">
        <f>+I172+I175</f>
        <v>0</v>
      </c>
      <c r="J171" s="1850">
        <f>+J172+J175</f>
        <v>0</v>
      </c>
      <c r="K171" s="1850">
        <f>+K172+K175</f>
        <v>0</v>
      </c>
      <c r="L171" s="1847">
        <f>+L172+L175</f>
        <v>0</v>
      </c>
      <c r="M171" s="1848"/>
      <c r="N171" s="1849"/>
      <c r="O171" s="1850"/>
      <c r="P171" s="1850"/>
      <c r="Q171" s="1850"/>
      <c r="R171" s="1850"/>
      <c r="S171" s="1850"/>
      <c r="T171" s="1850"/>
      <c r="U171" s="1850"/>
      <c r="V171" s="1850"/>
      <c r="W171" s="1850"/>
      <c r="X171" s="1874"/>
      <c r="Y171" s="4066"/>
    </row>
    <row r="172" spans="1:25" ht="11.25" hidden="1" customHeight="1">
      <c r="A172" s="4089"/>
      <c r="B172" s="1852" t="s">
        <v>22</v>
      </c>
      <c r="C172" s="4110" t="s">
        <v>203</v>
      </c>
      <c r="D172" s="1853">
        <f>+D173+D174</f>
        <v>0</v>
      </c>
      <c r="E172" s="1854">
        <f>+E173+E174</f>
        <v>0</v>
      </c>
      <c r="F172" s="1854"/>
      <c r="G172" s="1854"/>
      <c r="H172" s="1854"/>
      <c r="I172" s="1855">
        <f>+I173+I174</f>
        <v>0</v>
      </c>
      <c r="J172" s="1855">
        <f>+J173+J174</f>
        <v>0</v>
      </c>
      <c r="K172" s="1857">
        <f>+K173+K174</f>
        <v>0</v>
      </c>
      <c r="L172" s="1855">
        <f>+L173+L174</f>
        <v>0</v>
      </c>
      <c r="M172" s="1855"/>
      <c r="N172" s="1856"/>
      <c r="O172" s="1857"/>
      <c r="P172" s="1857"/>
      <c r="Q172" s="1857"/>
      <c r="R172" s="1857"/>
      <c r="S172" s="1857"/>
      <c r="T172" s="1857"/>
      <c r="U172" s="1857"/>
      <c r="V172" s="1857"/>
      <c r="W172" s="1857"/>
      <c r="X172" s="1874"/>
      <c r="Y172" s="4066"/>
    </row>
    <row r="173" spans="1:25" ht="11.25" hidden="1" customHeight="1">
      <c r="A173" s="4089"/>
      <c r="B173" s="1865" t="s">
        <v>24</v>
      </c>
      <c r="C173" s="4111"/>
      <c r="D173" s="1860">
        <f>+E173+I173+J173+K173+L173+N173</f>
        <v>0</v>
      </c>
      <c r="E173" s="1866">
        <v>0</v>
      </c>
      <c r="F173" s="1866"/>
      <c r="G173" s="1866"/>
      <c r="H173" s="1866"/>
      <c r="I173" s="1868"/>
      <c r="J173" s="1868"/>
      <c r="K173" s="1868"/>
      <c r="L173" s="1863"/>
      <c r="M173" s="1863"/>
      <c r="N173" s="1864"/>
      <c r="O173" s="1863"/>
      <c r="P173" s="1863"/>
      <c r="Q173" s="1863"/>
      <c r="R173" s="1863"/>
      <c r="S173" s="1863"/>
      <c r="T173" s="1863"/>
      <c r="U173" s="1863"/>
      <c r="V173" s="1863"/>
      <c r="W173" s="1863"/>
      <c r="X173" s="1874"/>
      <c r="Y173" s="4066"/>
    </row>
    <row r="174" spans="1:25" ht="11.25" hidden="1" customHeight="1">
      <c r="A174" s="4089"/>
      <c r="B174" s="1859" t="s">
        <v>36</v>
      </c>
      <c r="C174" s="4111"/>
      <c r="D174" s="1860">
        <f>+E174+I174+J174+K174+L174+N174</f>
        <v>0</v>
      </c>
      <c r="E174" s="1866">
        <v>0</v>
      </c>
      <c r="F174" s="1866"/>
      <c r="G174" s="1866"/>
      <c r="H174" s="1866"/>
      <c r="I174" s="1863"/>
      <c r="J174" s="1875"/>
      <c r="K174" s="1868">
        <v>0</v>
      </c>
      <c r="L174" s="1863">
        <v>0</v>
      </c>
      <c r="M174" s="1863"/>
      <c r="N174" s="1863"/>
      <c r="O174" s="1863"/>
      <c r="P174" s="1863"/>
      <c r="Q174" s="1863"/>
      <c r="R174" s="1863"/>
      <c r="S174" s="1863"/>
      <c r="T174" s="1863"/>
      <c r="U174" s="1863"/>
      <c r="V174" s="1863"/>
      <c r="W174" s="1863"/>
      <c r="X174" s="1874"/>
      <c r="Y174" s="4066"/>
    </row>
    <row r="175" spans="1:25" ht="11.25" hidden="1" customHeight="1">
      <c r="A175" s="4089"/>
      <c r="B175" s="1869" t="s">
        <v>29</v>
      </c>
      <c r="C175" s="4111"/>
      <c r="D175" s="1853">
        <f>+D176+D177</f>
        <v>0</v>
      </c>
      <c r="E175" s="1876">
        <f>+E176</f>
        <v>0</v>
      </c>
      <c r="F175" s="1876"/>
      <c r="G175" s="1876"/>
      <c r="H175" s="1876"/>
      <c r="I175" s="1855">
        <f>+I176+I177</f>
        <v>0</v>
      </c>
      <c r="J175" s="1855">
        <f>+J176+J177</f>
        <v>0</v>
      </c>
      <c r="K175" s="1857">
        <f>+K176+K177</f>
        <v>0</v>
      </c>
      <c r="L175" s="1855">
        <f>+L176+L177</f>
        <v>0</v>
      </c>
      <c r="M175" s="1855"/>
      <c r="N175" s="1855"/>
      <c r="O175" s="1857"/>
      <c r="P175" s="1857"/>
      <c r="Q175" s="1857"/>
      <c r="R175" s="1857"/>
      <c r="S175" s="1857"/>
      <c r="T175" s="1857"/>
      <c r="U175" s="1857"/>
      <c r="V175" s="1857"/>
      <c r="W175" s="1857"/>
      <c r="X175" s="1874"/>
      <c r="Y175" s="4066"/>
    </row>
    <row r="176" spans="1:25" ht="11.25" hidden="1" customHeight="1">
      <c r="A176" s="4089"/>
      <c r="B176" s="1865" t="s">
        <v>32</v>
      </c>
      <c r="C176" s="4111"/>
      <c r="D176" s="1860">
        <f>+E176+I176+J176+K176+L176+N176</f>
        <v>0</v>
      </c>
      <c r="E176" s="1817">
        <v>0</v>
      </c>
      <c r="F176" s="1817"/>
      <c r="G176" s="1817"/>
      <c r="H176" s="1817"/>
      <c r="I176" s="1877"/>
      <c r="J176" s="1877"/>
      <c r="K176" s="1877"/>
      <c r="L176" s="1878"/>
      <c r="M176" s="1878"/>
      <c r="N176" s="1864"/>
      <c r="O176" s="1863"/>
      <c r="P176" s="1863"/>
      <c r="Q176" s="1863"/>
      <c r="R176" s="1863"/>
      <c r="S176" s="1863"/>
      <c r="T176" s="1863"/>
      <c r="U176" s="1863"/>
      <c r="V176" s="1863"/>
      <c r="W176" s="1863"/>
      <c r="X176" s="1874"/>
      <c r="Y176" s="4066"/>
    </row>
    <row r="177" spans="1:26" ht="11.25" hidden="1" customHeight="1">
      <c r="A177" s="4089"/>
      <c r="B177" s="1865" t="s">
        <v>31</v>
      </c>
      <c r="C177" s="4111"/>
      <c r="D177" s="1860">
        <f>+E177+I177+J177+K177+L177+N177</f>
        <v>0</v>
      </c>
      <c r="E177" s="1818">
        <v>0</v>
      </c>
      <c r="F177" s="1818"/>
      <c r="G177" s="1818"/>
      <c r="H177" s="1818"/>
      <c r="I177" s="1819"/>
      <c r="J177" s="1820"/>
      <c r="K177" s="1819"/>
      <c r="L177" s="1819"/>
      <c r="M177" s="1819"/>
      <c r="N177" s="1819"/>
      <c r="O177" s="1819"/>
      <c r="P177" s="1819"/>
      <c r="Q177" s="1819"/>
      <c r="R177" s="1819"/>
      <c r="S177" s="1819"/>
      <c r="T177" s="1819"/>
      <c r="U177" s="1819"/>
      <c r="V177" s="1819"/>
      <c r="W177" s="1819"/>
      <c r="X177" s="1821"/>
      <c r="Y177" s="4066"/>
    </row>
    <row r="178" spans="1:26" s="1838" customFormat="1" ht="36" customHeight="1">
      <c r="A178" s="3123" t="s">
        <v>212</v>
      </c>
      <c r="B178" s="3124"/>
      <c r="C178" s="3124"/>
      <c r="D178" s="3124"/>
      <c r="E178" s="3125"/>
      <c r="F178" s="3125">
        <f>+D182-D189</f>
        <v>0</v>
      </c>
      <c r="G178" s="3125"/>
      <c r="H178" s="3125"/>
      <c r="I178" s="3124"/>
      <c r="J178" s="3124"/>
      <c r="K178" s="3124"/>
      <c r="L178" s="3124"/>
      <c r="M178" s="3124"/>
      <c r="N178" s="3124"/>
      <c r="O178" s="3124"/>
      <c r="P178" s="3124"/>
      <c r="Q178" s="3124"/>
      <c r="R178" s="3124"/>
      <c r="S178" s="3124"/>
      <c r="T178" s="3124"/>
      <c r="U178" s="3124"/>
      <c r="V178" s="3124"/>
      <c r="W178" s="3124"/>
      <c r="X178" s="3126"/>
      <c r="Y178" s="3127"/>
    </row>
    <row r="179" spans="1:26" s="3214" customFormat="1" ht="19.5" customHeight="1">
      <c r="A179" s="1645"/>
      <c r="B179" s="1646" t="s">
        <v>90</v>
      </c>
      <c r="C179" s="288"/>
      <c r="D179" s="289">
        <f>+D180+D181</f>
        <v>144060800</v>
      </c>
      <c r="E179" s="289">
        <f t="shared" ref="E179:X179" si="94">+E180+E181</f>
        <v>0</v>
      </c>
      <c r="F179" s="289">
        <f t="shared" si="94"/>
        <v>0</v>
      </c>
      <c r="G179" s="289">
        <f t="shared" si="94"/>
        <v>0</v>
      </c>
      <c r="H179" s="289">
        <f t="shared" si="94"/>
        <v>0</v>
      </c>
      <c r="I179" s="289">
        <f t="shared" si="94"/>
        <v>0</v>
      </c>
      <c r="J179" s="289">
        <f t="shared" si="94"/>
        <v>0</v>
      </c>
      <c r="K179" s="289">
        <f t="shared" si="94"/>
        <v>0</v>
      </c>
      <c r="L179" s="289">
        <f t="shared" si="94"/>
        <v>0</v>
      </c>
      <c r="M179" s="3128">
        <f>+M180+M181</f>
        <v>0</v>
      </c>
      <c r="N179" s="3128">
        <f t="shared" si="94"/>
        <v>0</v>
      </c>
      <c r="O179" s="3128">
        <f t="shared" si="94"/>
        <v>0</v>
      </c>
      <c r="P179" s="3128">
        <f t="shared" si="94"/>
        <v>0</v>
      </c>
      <c r="Q179" s="289">
        <f t="shared" si="94"/>
        <v>27618240</v>
      </c>
      <c r="R179" s="289">
        <f t="shared" si="94"/>
        <v>18864240</v>
      </c>
      <c r="S179" s="289">
        <f t="shared" si="94"/>
        <v>36547360</v>
      </c>
      <c r="T179" s="289">
        <f t="shared" si="94"/>
        <v>20384000</v>
      </c>
      <c r="U179" s="289">
        <f t="shared" si="94"/>
        <v>40060800</v>
      </c>
      <c r="V179" s="289">
        <f t="shared" si="94"/>
        <v>586160</v>
      </c>
      <c r="W179" s="289">
        <f t="shared" si="94"/>
        <v>0</v>
      </c>
      <c r="X179" s="195">
        <f t="shared" si="94"/>
        <v>83029840</v>
      </c>
      <c r="Y179" s="1647"/>
    </row>
    <row r="180" spans="1:26" s="3214" customFormat="1" ht="12.75" customHeight="1">
      <c r="A180" s="1648"/>
      <c r="B180" s="3129" t="s">
        <v>91</v>
      </c>
      <c r="C180" s="3130"/>
      <c r="D180" s="1532">
        <f>D205</f>
        <v>0</v>
      </c>
      <c r="E180" s="1532">
        <f t="shared" ref="E180:W180" si="95">E205</f>
        <v>0</v>
      </c>
      <c r="F180" s="1532">
        <f t="shared" si="95"/>
        <v>0</v>
      </c>
      <c r="G180" s="1532">
        <f t="shared" si="95"/>
        <v>0</v>
      </c>
      <c r="H180" s="1532">
        <f t="shared" si="95"/>
        <v>0</v>
      </c>
      <c r="I180" s="1532">
        <f t="shared" si="95"/>
        <v>0</v>
      </c>
      <c r="J180" s="1532">
        <f t="shared" si="95"/>
        <v>0</v>
      </c>
      <c r="K180" s="1532">
        <f t="shared" si="95"/>
        <v>0</v>
      </c>
      <c r="L180" s="1532">
        <f t="shared" si="95"/>
        <v>0</v>
      </c>
      <c r="M180" s="3131">
        <f t="shared" si="95"/>
        <v>0</v>
      </c>
      <c r="N180" s="3131">
        <f t="shared" si="95"/>
        <v>0</v>
      </c>
      <c r="O180" s="3131">
        <f t="shared" si="95"/>
        <v>0</v>
      </c>
      <c r="P180" s="3131">
        <f t="shared" si="95"/>
        <v>0</v>
      </c>
      <c r="Q180" s="1532">
        <f t="shared" si="95"/>
        <v>0</v>
      </c>
      <c r="R180" s="1532">
        <f t="shared" si="95"/>
        <v>0</v>
      </c>
      <c r="S180" s="1532">
        <f t="shared" si="95"/>
        <v>0</v>
      </c>
      <c r="T180" s="1532">
        <f t="shared" si="95"/>
        <v>0</v>
      </c>
      <c r="U180" s="1532">
        <f t="shared" si="95"/>
        <v>0</v>
      </c>
      <c r="V180" s="1532">
        <f t="shared" si="95"/>
        <v>0</v>
      </c>
      <c r="W180" s="1532">
        <f t="shared" si="95"/>
        <v>0</v>
      </c>
      <c r="X180" s="2434">
        <f>SUM(P180:S180)</f>
        <v>0</v>
      </c>
      <c r="Y180" s="1647"/>
    </row>
    <row r="181" spans="1:26" s="3214" customFormat="1" ht="15" customHeight="1">
      <c r="A181" s="1648"/>
      <c r="B181" s="3132" t="s">
        <v>20</v>
      </c>
      <c r="C181" s="3133"/>
      <c r="D181" s="3134">
        <f>+D209+D196</f>
        <v>144060800</v>
      </c>
      <c r="E181" s="3134">
        <f t="shared" ref="E181:W181" si="96">+E209+E196</f>
        <v>0</v>
      </c>
      <c r="F181" s="3134">
        <f t="shared" si="96"/>
        <v>0</v>
      </c>
      <c r="G181" s="3134">
        <f t="shared" si="96"/>
        <v>0</v>
      </c>
      <c r="H181" s="3134">
        <f t="shared" si="96"/>
        <v>0</v>
      </c>
      <c r="I181" s="3134">
        <f t="shared" si="96"/>
        <v>0</v>
      </c>
      <c r="J181" s="3134">
        <f t="shared" si="96"/>
        <v>0</v>
      </c>
      <c r="K181" s="3134">
        <f t="shared" si="96"/>
        <v>0</v>
      </c>
      <c r="L181" s="3134">
        <f t="shared" si="96"/>
        <v>0</v>
      </c>
      <c r="M181" s="3135">
        <f t="shared" si="96"/>
        <v>0</v>
      </c>
      <c r="N181" s="3135">
        <f t="shared" si="96"/>
        <v>0</v>
      </c>
      <c r="O181" s="3135">
        <f t="shared" si="96"/>
        <v>0</v>
      </c>
      <c r="P181" s="3135">
        <f t="shared" si="96"/>
        <v>0</v>
      </c>
      <c r="Q181" s="3134">
        <f t="shared" si="96"/>
        <v>27618240</v>
      </c>
      <c r="R181" s="3134">
        <f t="shared" si="96"/>
        <v>18864240</v>
      </c>
      <c r="S181" s="3134">
        <f t="shared" si="96"/>
        <v>36547360</v>
      </c>
      <c r="T181" s="3134">
        <f t="shared" si="96"/>
        <v>20384000</v>
      </c>
      <c r="U181" s="3134">
        <f t="shared" si="96"/>
        <v>40060800</v>
      </c>
      <c r="V181" s="3134">
        <f t="shared" si="96"/>
        <v>586160</v>
      </c>
      <c r="W181" s="3134">
        <f t="shared" si="96"/>
        <v>0</v>
      </c>
      <c r="X181" s="2434">
        <f>SUM(P181:S181)</f>
        <v>83029840</v>
      </c>
      <c r="Y181" s="1647"/>
      <c r="Z181" s="468"/>
    </row>
    <row r="182" spans="1:26" ht="14.25" customHeight="1">
      <c r="A182" s="1648"/>
      <c r="B182" s="1320" t="s">
        <v>21</v>
      </c>
      <c r="C182" s="3136"/>
      <c r="D182" s="1879">
        <f>+D183</f>
        <v>144060800</v>
      </c>
      <c r="E182" s="1880" t="e">
        <f t="shared" ref="E182:W182" si="97">+E183</f>
        <v>#REF!</v>
      </c>
      <c r="F182" s="1879" t="e">
        <f t="shared" si="97"/>
        <v>#REF!</v>
      </c>
      <c r="G182" s="1879" t="e">
        <f t="shared" si="97"/>
        <v>#REF!</v>
      </c>
      <c r="H182" s="1879" t="e">
        <f t="shared" si="97"/>
        <v>#REF!</v>
      </c>
      <c r="I182" s="1880" t="e">
        <f t="shared" si="97"/>
        <v>#REF!</v>
      </c>
      <c r="J182" s="1880" t="e">
        <f t="shared" si="97"/>
        <v>#REF!</v>
      </c>
      <c r="K182" s="1880" t="e">
        <f t="shared" si="97"/>
        <v>#REF!</v>
      </c>
      <c r="L182" s="1880">
        <f t="shared" si="97"/>
        <v>0</v>
      </c>
      <c r="M182" s="1883">
        <f t="shared" si="97"/>
        <v>0</v>
      </c>
      <c r="N182" s="1883">
        <f t="shared" si="97"/>
        <v>0</v>
      </c>
      <c r="O182" s="1883">
        <f t="shared" si="97"/>
        <v>0</v>
      </c>
      <c r="P182" s="1883">
        <f t="shared" si="97"/>
        <v>0</v>
      </c>
      <c r="Q182" s="1880">
        <f t="shared" si="97"/>
        <v>27618240</v>
      </c>
      <c r="R182" s="1880">
        <f t="shared" si="97"/>
        <v>18864240</v>
      </c>
      <c r="S182" s="1880">
        <f t="shared" si="97"/>
        <v>36547360</v>
      </c>
      <c r="T182" s="1880">
        <f t="shared" si="97"/>
        <v>20384000</v>
      </c>
      <c r="U182" s="1880">
        <f t="shared" si="97"/>
        <v>40060800</v>
      </c>
      <c r="V182" s="1880">
        <f t="shared" si="97"/>
        <v>586160</v>
      </c>
      <c r="W182" s="1880">
        <f t="shared" si="97"/>
        <v>0</v>
      </c>
      <c r="X182" s="1579">
        <f>+X183</f>
        <v>144060800</v>
      </c>
      <c r="Y182" s="1647"/>
      <c r="Z182" s="1082"/>
    </row>
    <row r="183" spans="1:26" ht="12.95" customHeight="1">
      <c r="A183" s="3137"/>
      <c r="B183" s="1657" t="s">
        <v>22</v>
      </c>
      <c r="C183" s="1658"/>
      <c r="D183" s="1659">
        <f>+D187+D188+D184</f>
        <v>144060800</v>
      </c>
      <c r="E183" s="1659" t="e">
        <f t="shared" ref="E183:W183" si="98">+E187+E188+E184</f>
        <v>#REF!</v>
      </c>
      <c r="F183" s="1659" t="e">
        <f t="shared" si="98"/>
        <v>#REF!</v>
      </c>
      <c r="G183" s="1659" t="e">
        <f t="shared" si="98"/>
        <v>#REF!</v>
      </c>
      <c r="H183" s="1659" t="e">
        <f t="shared" si="98"/>
        <v>#REF!</v>
      </c>
      <c r="I183" s="1659" t="e">
        <f t="shared" si="98"/>
        <v>#REF!</v>
      </c>
      <c r="J183" s="1659" t="e">
        <f t="shared" si="98"/>
        <v>#REF!</v>
      </c>
      <c r="K183" s="1659" t="e">
        <f t="shared" si="98"/>
        <v>#REF!</v>
      </c>
      <c r="L183" s="1659">
        <f t="shared" si="98"/>
        <v>0</v>
      </c>
      <c r="M183" s="3138">
        <f t="shared" si="98"/>
        <v>0</v>
      </c>
      <c r="N183" s="3138">
        <f t="shared" si="98"/>
        <v>0</v>
      </c>
      <c r="O183" s="3138">
        <f t="shared" si="98"/>
        <v>0</v>
      </c>
      <c r="P183" s="3138">
        <f t="shared" si="98"/>
        <v>0</v>
      </c>
      <c r="Q183" s="1659">
        <f t="shared" si="98"/>
        <v>27618240</v>
      </c>
      <c r="R183" s="1659">
        <f t="shared" si="98"/>
        <v>18864240</v>
      </c>
      <c r="S183" s="1659">
        <f t="shared" si="98"/>
        <v>36547360</v>
      </c>
      <c r="T183" s="1659">
        <f t="shared" si="98"/>
        <v>20384000</v>
      </c>
      <c r="U183" s="1659">
        <f t="shared" si="98"/>
        <v>40060800</v>
      </c>
      <c r="V183" s="1659">
        <f t="shared" si="98"/>
        <v>586160</v>
      </c>
      <c r="W183" s="1659">
        <f t="shared" si="98"/>
        <v>0</v>
      </c>
      <c r="X183" s="1660">
        <f>+X187+X188</f>
        <v>144060800</v>
      </c>
      <c r="Y183" s="1647"/>
    </row>
    <row r="184" spans="1:26" ht="12.95" hidden="1" customHeight="1">
      <c r="A184" s="1661"/>
      <c r="B184" s="1662" t="s">
        <v>23</v>
      </c>
      <c r="C184" s="1663"/>
      <c r="D184" s="1664">
        <f>D206</f>
        <v>0</v>
      </c>
      <c r="E184" s="1664">
        <f t="shared" ref="E184:W184" si="99">E206</f>
        <v>0</v>
      </c>
      <c r="F184" s="1664">
        <f t="shared" si="99"/>
        <v>0</v>
      </c>
      <c r="G184" s="1664">
        <f t="shared" si="99"/>
        <v>0</v>
      </c>
      <c r="H184" s="1664">
        <f t="shared" si="99"/>
        <v>0</v>
      </c>
      <c r="I184" s="1664">
        <f t="shared" si="99"/>
        <v>0</v>
      </c>
      <c r="J184" s="1664">
        <f t="shared" si="99"/>
        <v>0</v>
      </c>
      <c r="K184" s="1664">
        <f t="shared" si="99"/>
        <v>0</v>
      </c>
      <c r="L184" s="1664">
        <f t="shared" si="99"/>
        <v>0</v>
      </c>
      <c r="M184" s="3139">
        <f t="shared" si="99"/>
        <v>0</v>
      </c>
      <c r="N184" s="3139">
        <f t="shared" si="99"/>
        <v>0</v>
      </c>
      <c r="O184" s="3139">
        <f t="shared" si="99"/>
        <v>0</v>
      </c>
      <c r="P184" s="3139">
        <f t="shared" si="99"/>
        <v>0</v>
      </c>
      <c r="Q184" s="1664">
        <f t="shared" si="99"/>
        <v>0</v>
      </c>
      <c r="R184" s="1664">
        <f t="shared" si="99"/>
        <v>0</v>
      </c>
      <c r="S184" s="1664">
        <f t="shared" si="99"/>
        <v>0</v>
      </c>
      <c r="T184" s="1664">
        <f t="shared" si="99"/>
        <v>0</v>
      </c>
      <c r="U184" s="1664">
        <f t="shared" si="99"/>
        <v>0</v>
      </c>
      <c r="V184" s="1664">
        <f t="shared" si="99"/>
        <v>0</v>
      </c>
      <c r="W184" s="1664">
        <f t="shared" si="99"/>
        <v>0</v>
      </c>
      <c r="X184" s="1703"/>
      <c r="Y184" s="1647"/>
    </row>
    <row r="185" spans="1:26" ht="13.5" hidden="1" customHeight="1">
      <c r="A185" s="1661"/>
      <c r="B185" s="2403" t="s">
        <v>24</v>
      </c>
      <c r="C185" s="3140"/>
      <c r="D185" s="2412">
        <v>0</v>
      </c>
      <c r="E185" s="2412">
        <v>0</v>
      </c>
      <c r="F185" s="2412">
        <v>0</v>
      </c>
      <c r="G185" s="2412">
        <v>0</v>
      </c>
      <c r="H185" s="2412">
        <v>0</v>
      </c>
      <c r="I185" s="2412">
        <v>0</v>
      </c>
      <c r="J185" s="2412">
        <v>0</v>
      </c>
      <c r="K185" s="2412">
        <v>0</v>
      </c>
      <c r="L185" s="3141">
        <v>0</v>
      </c>
      <c r="M185" s="3066">
        <v>0</v>
      </c>
      <c r="N185" s="3066">
        <v>0</v>
      </c>
      <c r="O185" s="3142"/>
      <c r="P185" s="3142"/>
      <c r="Q185" s="2412"/>
      <c r="R185" s="2412"/>
      <c r="S185" s="2412"/>
      <c r="T185" s="2412"/>
      <c r="U185" s="2412"/>
      <c r="V185" s="2412"/>
      <c r="W185" s="2412"/>
      <c r="X185" s="1703"/>
      <c r="Y185" s="1647"/>
    </row>
    <row r="186" spans="1:26" ht="12.75" hidden="1" customHeight="1">
      <c r="A186" s="1661"/>
      <c r="B186" s="1667" t="s">
        <v>24</v>
      </c>
      <c r="C186" s="3140"/>
      <c r="D186" s="2412">
        <v>0</v>
      </c>
      <c r="E186" s="2412">
        <v>0</v>
      </c>
      <c r="F186" s="2412">
        <v>0</v>
      </c>
      <c r="G186" s="2412">
        <v>0</v>
      </c>
      <c r="H186" s="2412">
        <v>0</v>
      </c>
      <c r="I186" s="2412">
        <v>0</v>
      </c>
      <c r="J186" s="2412">
        <v>0</v>
      </c>
      <c r="K186" s="2412">
        <v>0</v>
      </c>
      <c r="L186" s="3141">
        <v>0</v>
      </c>
      <c r="M186" s="3066">
        <v>0</v>
      </c>
      <c r="N186" s="3066">
        <v>0</v>
      </c>
      <c r="O186" s="3142"/>
      <c r="P186" s="3142"/>
      <c r="Q186" s="2412"/>
      <c r="R186" s="2412"/>
      <c r="S186" s="2412"/>
      <c r="T186" s="2412"/>
      <c r="U186" s="2412"/>
      <c r="V186" s="2412"/>
      <c r="W186" s="2412"/>
      <c r="X186" s="1703"/>
      <c r="Y186" s="1647"/>
    </row>
    <row r="187" spans="1:26" s="1838" customFormat="1" ht="12.75" customHeight="1">
      <c r="A187" s="3143"/>
      <c r="B187" s="3144" t="s">
        <v>25</v>
      </c>
      <c r="C187" s="3140"/>
      <c r="D187" s="2412">
        <f>+D198</f>
        <v>144060800</v>
      </c>
      <c r="E187" s="2412">
        <f t="shared" ref="E187:W187" si="100">+E198</f>
        <v>0</v>
      </c>
      <c r="F187" s="2412">
        <f t="shared" si="100"/>
        <v>0</v>
      </c>
      <c r="G187" s="2412">
        <f t="shared" si="100"/>
        <v>0</v>
      </c>
      <c r="H187" s="2412">
        <f t="shared" si="100"/>
        <v>0</v>
      </c>
      <c r="I187" s="2412">
        <f t="shared" si="100"/>
        <v>0</v>
      </c>
      <c r="J187" s="2412">
        <f t="shared" si="100"/>
        <v>0</v>
      </c>
      <c r="K187" s="2412">
        <f t="shared" si="100"/>
        <v>0</v>
      </c>
      <c r="L187" s="2412">
        <f t="shared" si="100"/>
        <v>0</v>
      </c>
      <c r="M187" s="3142">
        <f t="shared" si="100"/>
        <v>0</v>
      </c>
      <c r="N187" s="3142">
        <f t="shared" si="100"/>
        <v>0</v>
      </c>
      <c r="O187" s="3142">
        <f t="shared" si="100"/>
        <v>0</v>
      </c>
      <c r="P187" s="3142">
        <f t="shared" si="100"/>
        <v>0</v>
      </c>
      <c r="Q187" s="2412">
        <f t="shared" si="100"/>
        <v>27618240</v>
      </c>
      <c r="R187" s="2412">
        <f t="shared" si="100"/>
        <v>18864240</v>
      </c>
      <c r="S187" s="2412">
        <f t="shared" si="100"/>
        <v>36547360</v>
      </c>
      <c r="T187" s="2412">
        <f t="shared" si="100"/>
        <v>20384000</v>
      </c>
      <c r="U187" s="2412">
        <f t="shared" si="100"/>
        <v>40060800</v>
      </c>
      <c r="V187" s="2412">
        <f t="shared" si="100"/>
        <v>586160</v>
      </c>
      <c r="W187" s="2412">
        <f t="shared" si="100"/>
        <v>0</v>
      </c>
      <c r="X187" s="1703">
        <f>SUM(Q187:W187)</f>
        <v>144060800</v>
      </c>
      <c r="Y187" s="3145"/>
    </row>
    <row r="188" spans="1:26" ht="12.75" hidden="1" customHeight="1">
      <c r="A188" s="1661"/>
      <c r="B188" s="1662" t="s">
        <v>76</v>
      </c>
      <c r="C188" s="1668"/>
      <c r="D188" s="1664">
        <f>+D211+D199</f>
        <v>0</v>
      </c>
      <c r="E188" s="1664" t="e">
        <f>+#REF!+E211+E199</f>
        <v>#REF!</v>
      </c>
      <c r="F188" s="1664" t="e">
        <f>+#REF!+F211+F199</f>
        <v>#REF!</v>
      </c>
      <c r="G188" s="1664" t="e">
        <f>+#REF!+G211+G199</f>
        <v>#REF!</v>
      </c>
      <c r="H188" s="1664" t="e">
        <f>+#REF!+H211+H199</f>
        <v>#REF!</v>
      </c>
      <c r="I188" s="1664" t="e">
        <f>+#REF!+I211+I199</f>
        <v>#REF!</v>
      </c>
      <c r="J188" s="1664" t="e">
        <f>+#REF!+J211+J199</f>
        <v>#REF!</v>
      </c>
      <c r="K188" s="1664" t="e">
        <f>+#REF!+K211+K199</f>
        <v>#REF!</v>
      </c>
      <c r="L188" s="1664">
        <f>+L211+L199</f>
        <v>0</v>
      </c>
      <c r="M188" s="3139">
        <f>+M211+M199</f>
        <v>0</v>
      </c>
      <c r="N188" s="3139"/>
      <c r="O188" s="3139">
        <f>+O211+O199</f>
        <v>0</v>
      </c>
      <c r="P188" s="3139"/>
      <c r="Q188" s="1664"/>
      <c r="R188" s="1664"/>
      <c r="S188" s="1664"/>
      <c r="T188" s="1664"/>
      <c r="U188" s="1664"/>
      <c r="V188" s="1664"/>
      <c r="W188" s="1664"/>
      <c r="X188" s="1703">
        <f>SUM(P188:T188)</f>
        <v>0</v>
      </c>
      <c r="Y188" s="1647"/>
    </row>
    <row r="189" spans="1:26" ht="15" customHeight="1">
      <c r="A189" s="1648"/>
      <c r="B189" s="1320" t="s">
        <v>33</v>
      </c>
      <c r="C189" s="1881"/>
      <c r="D189" s="1746">
        <f>+D190</f>
        <v>144060800</v>
      </c>
      <c r="E189" s="1746" t="e">
        <f t="shared" ref="E189:W189" si="101">+E190</f>
        <v>#REF!</v>
      </c>
      <c r="F189" s="1746" t="e">
        <f t="shared" si="101"/>
        <v>#REF!</v>
      </c>
      <c r="G189" s="1746" t="e">
        <f t="shared" si="101"/>
        <v>#REF!</v>
      </c>
      <c r="H189" s="1746" t="e">
        <f t="shared" si="101"/>
        <v>#REF!</v>
      </c>
      <c r="I189" s="1746" t="e">
        <f t="shared" si="101"/>
        <v>#REF!</v>
      </c>
      <c r="J189" s="1746" t="e">
        <f t="shared" si="101"/>
        <v>#REF!</v>
      </c>
      <c r="K189" s="1746" t="e">
        <f t="shared" si="101"/>
        <v>#REF!</v>
      </c>
      <c r="L189" s="1746">
        <f t="shared" si="101"/>
        <v>0</v>
      </c>
      <c r="M189" s="1745">
        <f t="shared" si="101"/>
        <v>0</v>
      </c>
      <c r="N189" s="1745">
        <f t="shared" si="101"/>
        <v>0</v>
      </c>
      <c r="O189" s="1745">
        <f t="shared" si="101"/>
        <v>0</v>
      </c>
      <c r="P189" s="1745">
        <f t="shared" si="101"/>
        <v>0</v>
      </c>
      <c r="Q189" s="1746">
        <f t="shared" si="101"/>
        <v>27618240</v>
      </c>
      <c r="R189" s="1746">
        <f t="shared" si="101"/>
        <v>18864240</v>
      </c>
      <c r="S189" s="1746">
        <f t="shared" si="101"/>
        <v>36547360</v>
      </c>
      <c r="T189" s="1746">
        <f t="shared" si="101"/>
        <v>20384000</v>
      </c>
      <c r="U189" s="1746">
        <f t="shared" si="101"/>
        <v>40060800</v>
      </c>
      <c r="V189" s="1746">
        <f t="shared" si="101"/>
        <v>586160</v>
      </c>
      <c r="W189" s="1746">
        <f t="shared" si="101"/>
        <v>0</v>
      </c>
      <c r="X189" s="4119" t="s">
        <v>34</v>
      </c>
      <c r="Y189" s="1647"/>
    </row>
    <row r="190" spans="1:26" ht="12" customHeight="1">
      <c r="A190" s="1656"/>
      <c r="B190" s="1657" t="s">
        <v>22</v>
      </c>
      <c r="C190" s="1658"/>
      <c r="D190" s="1659">
        <f>SUM(D192:D194)</f>
        <v>144060800</v>
      </c>
      <c r="E190" s="1659" t="e">
        <f t="shared" ref="E190:L190" si="102">SUM(E192:E194)</f>
        <v>#REF!</v>
      </c>
      <c r="F190" s="1659" t="e">
        <f t="shared" si="102"/>
        <v>#REF!</v>
      </c>
      <c r="G190" s="1659" t="e">
        <f t="shared" si="102"/>
        <v>#REF!</v>
      </c>
      <c r="H190" s="1659" t="e">
        <f t="shared" si="102"/>
        <v>#REF!</v>
      </c>
      <c r="I190" s="1659" t="e">
        <f t="shared" si="102"/>
        <v>#REF!</v>
      </c>
      <c r="J190" s="1659" t="e">
        <f t="shared" si="102"/>
        <v>#REF!</v>
      </c>
      <c r="K190" s="1659" t="e">
        <f t="shared" si="102"/>
        <v>#REF!</v>
      </c>
      <c r="L190" s="1659">
        <f t="shared" si="102"/>
        <v>0</v>
      </c>
      <c r="M190" s="3138">
        <f>SUM(M192:M194)</f>
        <v>0</v>
      </c>
      <c r="N190" s="3138">
        <f t="shared" ref="N190:W190" si="103">SUM(N192:N194)</f>
        <v>0</v>
      </c>
      <c r="O190" s="3138">
        <f t="shared" si="103"/>
        <v>0</v>
      </c>
      <c r="P190" s="3138">
        <f t="shared" si="103"/>
        <v>0</v>
      </c>
      <c r="Q190" s="1659">
        <f t="shared" si="103"/>
        <v>27618240</v>
      </c>
      <c r="R190" s="1659">
        <f t="shared" si="103"/>
        <v>18864240</v>
      </c>
      <c r="S190" s="1659">
        <f t="shared" si="103"/>
        <v>36547360</v>
      </c>
      <c r="T190" s="1659">
        <f t="shared" si="103"/>
        <v>20384000</v>
      </c>
      <c r="U190" s="1659">
        <f t="shared" si="103"/>
        <v>40060800</v>
      </c>
      <c r="V190" s="1659">
        <f t="shared" si="103"/>
        <v>586160</v>
      </c>
      <c r="W190" s="1659">
        <f t="shared" si="103"/>
        <v>0</v>
      </c>
      <c r="X190" s="4086"/>
      <c r="Y190" s="1647"/>
    </row>
    <row r="191" spans="1:26" ht="13.5" hidden="1" customHeight="1">
      <c r="A191" s="1661"/>
      <c r="B191" s="1667" t="s">
        <v>24</v>
      </c>
      <c r="C191" s="1668"/>
      <c r="D191" s="3146">
        <v>0</v>
      </c>
      <c r="E191" s="1664">
        <v>0</v>
      </c>
      <c r="F191" s="1664">
        <v>0</v>
      </c>
      <c r="G191" s="1664">
        <v>0</v>
      </c>
      <c r="H191" s="1664">
        <v>0</v>
      </c>
      <c r="I191" s="1664">
        <v>0</v>
      </c>
      <c r="J191" s="1664">
        <v>0</v>
      </c>
      <c r="K191" s="1664">
        <v>0</v>
      </c>
      <c r="L191" s="3146">
        <v>0</v>
      </c>
      <c r="M191" s="3147">
        <v>0</v>
      </c>
      <c r="N191" s="3147">
        <v>0</v>
      </c>
      <c r="O191" s="3139"/>
      <c r="P191" s="3139"/>
      <c r="Q191" s="1664"/>
      <c r="R191" s="1664"/>
      <c r="S191" s="1664"/>
      <c r="T191" s="1664"/>
      <c r="U191" s="1664"/>
      <c r="V191" s="1664"/>
      <c r="W191" s="1664"/>
      <c r="X191" s="4086"/>
      <c r="Y191" s="1647"/>
    </row>
    <row r="192" spans="1:26" ht="12.95" hidden="1" customHeight="1">
      <c r="A192" s="1661"/>
      <c r="B192" s="1667" t="s">
        <v>24</v>
      </c>
      <c r="C192" s="1663"/>
      <c r="D192" s="3146">
        <v>0</v>
      </c>
      <c r="E192" s="3146">
        <v>0</v>
      </c>
      <c r="F192" s="3146">
        <v>0</v>
      </c>
      <c r="G192" s="3146">
        <v>0</v>
      </c>
      <c r="H192" s="3146">
        <v>0</v>
      </c>
      <c r="I192" s="3146">
        <v>0</v>
      </c>
      <c r="J192" s="3146">
        <v>0</v>
      </c>
      <c r="K192" s="3146">
        <v>0</v>
      </c>
      <c r="L192" s="3146">
        <v>0</v>
      </c>
      <c r="M192" s="3147">
        <v>0</v>
      </c>
      <c r="N192" s="3147">
        <v>0</v>
      </c>
      <c r="O192" s="3147"/>
      <c r="P192" s="3147"/>
      <c r="Q192" s="3146"/>
      <c r="R192" s="3146"/>
      <c r="S192" s="3146"/>
      <c r="T192" s="3146"/>
      <c r="U192" s="3146"/>
      <c r="V192" s="3146"/>
      <c r="W192" s="3146"/>
      <c r="X192" s="4086"/>
      <c r="Y192" s="1647"/>
    </row>
    <row r="193" spans="1:25" ht="13.5" customHeight="1" thickBot="1">
      <c r="A193" s="1661"/>
      <c r="B193" s="1662" t="s">
        <v>25</v>
      </c>
      <c r="C193" s="1663"/>
      <c r="D193" s="3146">
        <f>+D202</f>
        <v>144060800</v>
      </c>
      <c r="E193" s="3146">
        <f t="shared" ref="E193:W193" si="104">+E202</f>
        <v>0</v>
      </c>
      <c r="F193" s="3146">
        <f t="shared" si="104"/>
        <v>0</v>
      </c>
      <c r="G193" s="3146">
        <f t="shared" si="104"/>
        <v>0</v>
      </c>
      <c r="H193" s="3146">
        <f t="shared" si="104"/>
        <v>0</v>
      </c>
      <c r="I193" s="3146">
        <f t="shared" si="104"/>
        <v>0</v>
      </c>
      <c r="J193" s="3146">
        <f t="shared" si="104"/>
        <v>0</v>
      </c>
      <c r="K193" s="3146">
        <f t="shared" si="104"/>
        <v>0</v>
      </c>
      <c r="L193" s="3146">
        <f t="shared" si="104"/>
        <v>0</v>
      </c>
      <c r="M193" s="3147">
        <f t="shared" si="104"/>
        <v>0</v>
      </c>
      <c r="N193" s="3147">
        <f t="shared" si="104"/>
        <v>0</v>
      </c>
      <c r="O193" s="3147">
        <f t="shared" si="104"/>
        <v>0</v>
      </c>
      <c r="P193" s="3147">
        <f t="shared" si="104"/>
        <v>0</v>
      </c>
      <c r="Q193" s="3146">
        <f t="shared" si="104"/>
        <v>27618240</v>
      </c>
      <c r="R193" s="3146">
        <f t="shared" si="104"/>
        <v>18864240</v>
      </c>
      <c r="S193" s="3146">
        <f t="shared" si="104"/>
        <v>36547360</v>
      </c>
      <c r="T193" s="3146">
        <f t="shared" si="104"/>
        <v>20384000</v>
      </c>
      <c r="U193" s="3146">
        <f t="shared" si="104"/>
        <v>40060800</v>
      </c>
      <c r="V193" s="3146">
        <f t="shared" si="104"/>
        <v>586160</v>
      </c>
      <c r="W193" s="3146">
        <f t="shared" si="104"/>
        <v>0</v>
      </c>
      <c r="X193" s="4086"/>
      <c r="Y193" s="1647"/>
    </row>
    <row r="194" spans="1:25" ht="14.25" hidden="1" customHeight="1" thickBot="1">
      <c r="A194" s="1680"/>
      <c r="B194" s="2334" t="s">
        <v>76</v>
      </c>
      <c r="C194" s="2335"/>
      <c r="D194" s="2336">
        <f>+D214+D203</f>
        <v>0</v>
      </c>
      <c r="E194" s="2336" t="e">
        <f>+#REF!+E214+E203</f>
        <v>#REF!</v>
      </c>
      <c r="F194" s="2336" t="e">
        <f>+#REF!+F214+F203</f>
        <v>#REF!</v>
      </c>
      <c r="G194" s="2336" t="e">
        <f>+#REF!+G214+G203</f>
        <v>#REF!</v>
      </c>
      <c r="H194" s="2336" t="e">
        <f>+#REF!+H214+H203</f>
        <v>#REF!</v>
      </c>
      <c r="I194" s="2336" t="e">
        <f>+#REF!+I214+I203</f>
        <v>#REF!</v>
      </c>
      <c r="J194" s="2336" t="e">
        <f>+#REF!+J214+J203</f>
        <v>#REF!</v>
      </c>
      <c r="K194" s="2336" t="e">
        <f>+#REF!+K214+K203</f>
        <v>#REF!</v>
      </c>
      <c r="L194" s="2336">
        <f>+L214+L203</f>
        <v>0</v>
      </c>
      <c r="M194" s="2336">
        <f>+M214+M203</f>
        <v>0</v>
      </c>
      <c r="N194" s="2336"/>
      <c r="O194" s="2336">
        <f>+O214+O203</f>
        <v>0</v>
      </c>
      <c r="P194" s="2336"/>
      <c r="Q194" s="2336"/>
      <c r="R194" s="2336"/>
      <c r="S194" s="2336"/>
      <c r="T194" s="2336"/>
      <c r="U194" s="2336"/>
      <c r="V194" s="2336"/>
      <c r="W194" s="2336"/>
      <c r="X194" s="4087"/>
      <c r="Y194" s="1649"/>
    </row>
    <row r="195" spans="1:25" ht="41.25" customHeight="1">
      <c r="A195" s="3658" t="s">
        <v>77</v>
      </c>
      <c r="B195" s="3148" t="s">
        <v>524</v>
      </c>
      <c r="C195" s="3149" t="s">
        <v>95</v>
      </c>
      <c r="D195" s="3149"/>
      <c r="E195" s="75"/>
      <c r="F195" s="75"/>
      <c r="G195" s="75"/>
      <c r="H195" s="75"/>
      <c r="I195" s="76"/>
      <c r="J195" s="76"/>
      <c r="K195" s="76"/>
      <c r="L195" s="76"/>
      <c r="M195" s="76"/>
      <c r="N195" s="76"/>
      <c r="O195" s="3150"/>
      <c r="P195" s="3150"/>
      <c r="Q195" s="3150"/>
      <c r="R195" s="3150"/>
      <c r="S195" s="3150"/>
      <c r="T195" s="3150"/>
      <c r="U195" s="3150"/>
      <c r="V195" s="3150"/>
      <c r="W195" s="3150"/>
      <c r="X195" s="3151"/>
      <c r="Y195" s="4124" t="s">
        <v>202</v>
      </c>
    </row>
    <row r="196" spans="1:25" ht="15.75" customHeight="1">
      <c r="A196" s="3659"/>
      <c r="B196" s="1320" t="s">
        <v>21</v>
      </c>
      <c r="C196" s="1781"/>
      <c r="D196" s="1746">
        <f>+D197</f>
        <v>144060800</v>
      </c>
      <c r="E196" s="1745">
        <f t="shared" ref="E196:W196" si="105">+E197</f>
        <v>0</v>
      </c>
      <c r="F196" s="1745">
        <f t="shared" si="105"/>
        <v>0</v>
      </c>
      <c r="G196" s="1745">
        <f t="shared" si="105"/>
        <v>0</v>
      </c>
      <c r="H196" s="1745">
        <f t="shared" si="105"/>
        <v>0</v>
      </c>
      <c r="I196" s="1745">
        <f t="shared" si="105"/>
        <v>0</v>
      </c>
      <c r="J196" s="1745">
        <f t="shared" si="105"/>
        <v>0</v>
      </c>
      <c r="K196" s="1746">
        <f t="shared" si="105"/>
        <v>0</v>
      </c>
      <c r="L196" s="1745">
        <f t="shared" si="105"/>
        <v>0</v>
      </c>
      <c r="M196" s="1745">
        <f t="shared" si="105"/>
        <v>0</v>
      </c>
      <c r="N196" s="1745">
        <f t="shared" si="105"/>
        <v>0</v>
      </c>
      <c r="O196" s="1745">
        <f t="shared" si="105"/>
        <v>0</v>
      </c>
      <c r="P196" s="1745">
        <f t="shared" si="105"/>
        <v>0</v>
      </c>
      <c r="Q196" s="1746">
        <f t="shared" si="105"/>
        <v>27618240</v>
      </c>
      <c r="R196" s="1746">
        <f t="shared" si="105"/>
        <v>18864240</v>
      </c>
      <c r="S196" s="1746">
        <f t="shared" si="105"/>
        <v>36547360</v>
      </c>
      <c r="T196" s="1746">
        <f t="shared" si="105"/>
        <v>20384000</v>
      </c>
      <c r="U196" s="1746">
        <f t="shared" si="105"/>
        <v>40060800</v>
      </c>
      <c r="V196" s="1746">
        <f t="shared" si="105"/>
        <v>586160</v>
      </c>
      <c r="W196" s="1746">
        <f t="shared" si="105"/>
        <v>0</v>
      </c>
      <c r="X196" s="1748">
        <f>+X197</f>
        <v>144060800</v>
      </c>
      <c r="Y196" s="4114"/>
    </row>
    <row r="197" spans="1:25" ht="13.5" customHeight="1">
      <c r="A197" s="3659"/>
      <c r="B197" s="1694" t="s">
        <v>22</v>
      </c>
      <c r="C197" s="4100" t="s">
        <v>505</v>
      </c>
      <c r="D197" s="1763">
        <f>+D199+D198</f>
        <v>144060800</v>
      </c>
      <c r="E197" s="1730">
        <f t="shared" ref="E197:L197" si="106">+E199+E198</f>
        <v>0</v>
      </c>
      <c r="F197" s="1730">
        <f t="shared" si="106"/>
        <v>0</v>
      </c>
      <c r="G197" s="1730">
        <f t="shared" si="106"/>
        <v>0</v>
      </c>
      <c r="H197" s="1730">
        <f t="shared" si="106"/>
        <v>0</v>
      </c>
      <c r="I197" s="1730">
        <f t="shared" si="106"/>
        <v>0</v>
      </c>
      <c r="J197" s="1730">
        <f t="shared" si="106"/>
        <v>0</v>
      </c>
      <c r="K197" s="1697">
        <f t="shared" si="106"/>
        <v>0</v>
      </c>
      <c r="L197" s="1730">
        <f t="shared" si="106"/>
        <v>0</v>
      </c>
      <c r="M197" s="1730">
        <f>+M199+M198</f>
        <v>0</v>
      </c>
      <c r="N197" s="1730">
        <f t="shared" ref="N197:W197" si="107">+N199+N198</f>
        <v>0</v>
      </c>
      <c r="O197" s="1730">
        <f t="shared" si="107"/>
        <v>0</v>
      </c>
      <c r="P197" s="1730">
        <f t="shared" si="107"/>
        <v>0</v>
      </c>
      <c r="Q197" s="1697">
        <f t="shared" si="107"/>
        <v>27618240</v>
      </c>
      <c r="R197" s="1697">
        <f t="shared" si="107"/>
        <v>18864240</v>
      </c>
      <c r="S197" s="1697">
        <f t="shared" si="107"/>
        <v>36547360</v>
      </c>
      <c r="T197" s="1697">
        <f t="shared" si="107"/>
        <v>20384000</v>
      </c>
      <c r="U197" s="1697">
        <f t="shared" si="107"/>
        <v>40060800</v>
      </c>
      <c r="V197" s="1697">
        <f t="shared" si="107"/>
        <v>586160</v>
      </c>
      <c r="W197" s="1697">
        <f t="shared" si="107"/>
        <v>0</v>
      </c>
      <c r="X197" s="1751">
        <f>X199+X198</f>
        <v>144060800</v>
      </c>
      <c r="Y197" s="4114"/>
    </row>
    <row r="198" spans="1:25" ht="13.5" customHeight="1">
      <c r="A198" s="3659"/>
      <c r="B198" s="1699" t="s">
        <v>25</v>
      </c>
      <c r="C198" s="4125"/>
      <c r="D198" s="1700">
        <f>M198+P198+Q198+R198+S198+T198+U198+V198+W198</f>
        <v>144060800</v>
      </c>
      <c r="E198" s="1725"/>
      <c r="F198" s="1725"/>
      <c r="G198" s="1725"/>
      <c r="H198" s="1725"/>
      <c r="I198" s="1730"/>
      <c r="J198" s="1730"/>
      <c r="K198" s="1701"/>
      <c r="L198" s="1727">
        <v>0</v>
      </c>
      <c r="M198" s="1727">
        <v>0</v>
      </c>
      <c r="N198" s="1424">
        <v>0</v>
      </c>
      <c r="O198" s="1424">
        <v>0</v>
      </c>
      <c r="P198" s="1730">
        <v>0</v>
      </c>
      <c r="Q198" s="1713">
        <v>27618240</v>
      </c>
      <c r="R198" s="1713">
        <v>18864240</v>
      </c>
      <c r="S198" s="1713">
        <v>36547360</v>
      </c>
      <c r="T198" s="1713">
        <v>20384000</v>
      </c>
      <c r="U198" s="1713">
        <v>40060800</v>
      </c>
      <c r="V198" s="1713">
        <v>586160</v>
      </c>
      <c r="W198" s="1713">
        <v>0</v>
      </c>
      <c r="X198" s="1703">
        <f>SUM(Q198:W198)</f>
        <v>144060800</v>
      </c>
      <c r="Y198" s="4114"/>
    </row>
    <row r="199" spans="1:25" ht="13.5" hidden="1" customHeight="1">
      <c r="A199" s="3659"/>
      <c r="B199" s="1699" t="s">
        <v>27</v>
      </c>
      <c r="C199" s="4115"/>
      <c r="D199" s="1700"/>
      <c r="E199" s="1729">
        <v>0</v>
      </c>
      <c r="F199" s="1729"/>
      <c r="G199" s="1729"/>
      <c r="H199" s="1729"/>
      <c r="I199" s="1727">
        <v>0</v>
      </c>
      <c r="J199" s="1727">
        <v>0</v>
      </c>
      <c r="K199" s="1701"/>
      <c r="L199" s="1727">
        <v>0</v>
      </c>
      <c r="M199" s="1727"/>
      <c r="N199" s="3152"/>
      <c r="O199" s="3152"/>
      <c r="P199" s="1727"/>
      <c r="Q199" s="1701"/>
      <c r="R199" s="1701"/>
      <c r="S199" s="1701"/>
      <c r="T199" s="1701"/>
      <c r="U199" s="1701"/>
      <c r="V199" s="1701"/>
      <c r="W199" s="1701"/>
      <c r="X199" s="1703">
        <f>SUM(P199:T199)</f>
        <v>0</v>
      </c>
      <c r="Y199" s="4114"/>
    </row>
    <row r="200" spans="1:25" ht="15" customHeight="1">
      <c r="A200" s="3659"/>
      <c r="B200" s="1320" t="s">
        <v>33</v>
      </c>
      <c r="C200" s="1781"/>
      <c r="D200" s="1746">
        <f>+D201</f>
        <v>144060800</v>
      </c>
      <c r="E200" s="1745">
        <f t="shared" ref="E200:W200" si="108">+E201</f>
        <v>0</v>
      </c>
      <c r="F200" s="1745">
        <f t="shared" si="108"/>
        <v>0</v>
      </c>
      <c r="G200" s="1745">
        <f t="shared" si="108"/>
        <v>0</v>
      </c>
      <c r="H200" s="1745">
        <f t="shared" si="108"/>
        <v>0</v>
      </c>
      <c r="I200" s="1745">
        <f t="shared" si="108"/>
        <v>0</v>
      </c>
      <c r="J200" s="1745">
        <f t="shared" si="108"/>
        <v>0</v>
      </c>
      <c r="K200" s="1746">
        <f t="shared" si="108"/>
        <v>0</v>
      </c>
      <c r="L200" s="1745">
        <f t="shared" si="108"/>
        <v>0</v>
      </c>
      <c r="M200" s="1745">
        <f t="shared" si="108"/>
        <v>0</v>
      </c>
      <c r="N200" s="1745">
        <f t="shared" si="108"/>
        <v>0</v>
      </c>
      <c r="O200" s="1745">
        <f t="shared" si="108"/>
        <v>0</v>
      </c>
      <c r="P200" s="1745">
        <f t="shared" si="108"/>
        <v>0</v>
      </c>
      <c r="Q200" s="1746">
        <f t="shared" si="108"/>
        <v>27618240</v>
      </c>
      <c r="R200" s="1746">
        <f t="shared" si="108"/>
        <v>18864240</v>
      </c>
      <c r="S200" s="1746">
        <f t="shared" si="108"/>
        <v>36547360</v>
      </c>
      <c r="T200" s="1746">
        <f t="shared" si="108"/>
        <v>20384000</v>
      </c>
      <c r="U200" s="1746">
        <f t="shared" si="108"/>
        <v>40060800</v>
      </c>
      <c r="V200" s="1746">
        <f t="shared" si="108"/>
        <v>586160</v>
      </c>
      <c r="W200" s="1746">
        <f t="shared" si="108"/>
        <v>0</v>
      </c>
      <c r="X200" s="4121" t="s">
        <v>75</v>
      </c>
      <c r="Y200" s="4114"/>
    </row>
    <row r="201" spans="1:25" ht="15" customHeight="1">
      <c r="A201" s="3659"/>
      <c r="B201" s="1694" t="s">
        <v>22</v>
      </c>
      <c r="C201" s="3724" t="s">
        <v>505</v>
      </c>
      <c r="D201" s="1763">
        <f>+D203+D202</f>
        <v>144060800</v>
      </c>
      <c r="E201" s="1730">
        <f t="shared" ref="E201:J201" si="109">+E203</f>
        <v>0</v>
      </c>
      <c r="F201" s="1730">
        <f t="shared" si="109"/>
        <v>0</v>
      </c>
      <c r="G201" s="1730">
        <f t="shared" si="109"/>
        <v>0</v>
      </c>
      <c r="H201" s="1730">
        <f t="shared" si="109"/>
        <v>0</v>
      </c>
      <c r="I201" s="1730">
        <f t="shared" si="109"/>
        <v>0</v>
      </c>
      <c r="J201" s="1730">
        <f t="shared" si="109"/>
        <v>0</v>
      </c>
      <c r="K201" s="1697">
        <f>+K203+K202</f>
        <v>0</v>
      </c>
      <c r="L201" s="1730">
        <f>+L203</f>
        <v>0</v>
      </c>
      <c r="M201" s="1730">
        <f>+M203+M202</f>
        <v>0</v>
      </c>
      <c r="N201" s="1730">
        <f t="shared" ref="N201:W201" si="110">+N203+N202</f>
        <v>0</v>
      </c>
      <c r="O201" s="1730">
        <f t="shared" si="110"/>
        <v>0</v>
      </c>
      <c r="P201" s="1730">
        <f t="shared" si="110"/>
        <v>0</v>
      </c>
      <c r="Q201" s="1697">
        <f t="shared" si="110"/>
        <v>27618240</v>
      </c>
      <c r="R201" s="1697">
        <f t="shared" si="110"/>
        <v>18864240</v>
      </c>
      <c r="S201" s="1697">
        <f t="shared" si="110"/>
        <v>36547360</v>
      </c>
      <c r="T201" s="1697">
        <f t="shared" si="110"/>
        <v>20384000</v>
      </c>
      <c r="U201" s="1697">
        <f t="shared" si="110"/>
        <v>40060800</v>
      </c>
      <c r="V201" s="1697">
        <f t="shared" si="110"/>
        <v>586160</v>
      </c>
      <c r="W201" s="1697">
        <f t="shared" si="110"/>
        <v>0</v>
      </c>
      <c r="X201" s="4122"/>
      <c r="Y201" s="4114"/>
    </row>
    <row r="202" spans="1:25" ht="15" customHeight="1" thickBot="1">
      <c r="A202" s="3662"/>
      <c r="B202" s="102" t="s">
        <v>25</v>
      </c>
      <c r="C202" s="4120"/>
      <c r="D202" s="1715">
        <f>M202+P202+Q202+R202+S202+T202+U202+V202+W202</f>
        <v>144060800</v>
      </c>
      <c r="E202" s="3153"/>
      <c r="F202" s="3154"/>
      <c r="G202" s="3154"/>
      <c r="H202" s="3154"/>
      <c r="I202" s="3153"/>
      <c r="J202" s="3153"/>
      <c r="K202" s="1718"/>
      <c r="L202" s="3153">
        <v>0</v>
      </c>
      <c r="M202" s="3105">
        <v>0</v>
      </c>
      <c r="N202" s="1412">
        <v>0</v>
      </c>
      <c r="O202" s="1412">
        <v>0</v>
      </c>
      <c r="P202" s="3153">
        <v>0</v>
      </c>
      <c r="Q202" s="964">
        <v>27618240</v>
      </c>
      <c r="R202" s="964">
        <v>18864240</v>
      </c>
      <c r="S202" s="964">
        <v>36547360</v>
      </c>
      <c r="T202" s="964">
        <v>20384000</v>
      </c>
      <c r="U202" s="964">
        <v>40060800</v>
      </c>
      <c r="V202" s="964">
        <v>586160</v>
      </c>
      <c r="W202" s="1717">
        <v>0</v>
      </c>
      <c r="X202" s="4123"/>
      <c r="Y202" s="4117"/>
    </row>
    <row r="203" spans="1:25" ht="13.5" hidden="1" customHeight="1" thickBot="1">
      <c r="A203" s="3155"/>
      <c r="B203" s="3156" t="s">
        <v>27</v>
      </c>
      <c r="C203" s="3157"/>
      <c r="D203" s="3104"/>
      <c r="E203" s="3158">
        <v>0</v>
      </c>
      <c r="F203" s="3159"/>
      <c r="G203" s="3159"/>
      <c r="H203" s="3159"/>
      <c r="I203" s="3160">
        <v>0</v>
      </c>
      <c r="J203" s="3160">
        <v>0</v>
      </c>
      <c r="K203" s="70"/>
      <c r="L203" s="3160">
        <v>0</v>
      </c>
      <c r="M203" s="3161"/>
      <c r="N203" s="874"/>
      <c r="O203" s="874"/>
      <c r="P203" s="3162"/>
      <c r="Q203" s="3162"/>
      <c r="R203" s="3163"/>
      <c r="S203" s="3163"/>
      <c r="T203" s="3163"/>
      <c r="U203" s="3163"/>
      <c r="V203" s="3163"/>
      <c r="W203" s="3163"/>
      <c r="X203" s="3164"/>
      <c r="Y203" s="3165"/>
    </row>
    <row r="204" spans="1:25" s="1743" customFormat="1" ht="29.25" hidden="1" customHeight="1">
      <c r="A204" s="4089" t="s">
        <v>78</v>
      </c>
      <c r="B204" s="1719" t="s">
        <v>506</v>
      </c>
      <c r="C204" s="1774" t="s">
        <v>125</v>
      </c>
      <c r="D204" s="1774"/>
      <c r="E204" s="105"/>
      <c r="F204" s="105"/>
      <c r="G204" s="105"/>
      <c r="H204" s="105"/>
      <c r="I204" s="106"/>
      <c r="J204" s="106"/>
      <c r="K204" s="106"/>
      <c r="L204" s="106"/>
      <c r="M204" s="106"/>
      <c r="N204" s="106"/>
      <c r="O204" s="1787"/>
      <c r="P204" s="1787"/>
      <c r="Q204" s="1787"/>
      <c r="R204" s="1787"/>
      <c r="S204" s="1787"/>
      <c r="T204" s="1787"/>
      <c r="U204" s="1787"/>
      <c r="V204" s="1787"/>
      <c r="W204" s="1787"/>
      <c r="X204" s="1721"/>
      <c r="Y204" s="4114" t="s">
        <v>202</v>
      </c>
    </row>
    <row r="205" spans="1:25" s="1743" customFormat="1" ht="16.5" hidden="1" customHeight="1">
      <c r="A205" s="4089"/>
      <c r="B205" s="1320" t="s">
        <v>21</v>
      </c>
      <c r="C205" s="1781"/>
      <c r="D205" s="1690">
        <f>D206</f>
        <v>0</v>
      </c>
      <c r="E205" s="1690">
        <f t="shared" ref="E205:W206" si="111">E206</f>
        <v>0</v>
      </c>
      <c r="F205" s="1690">
        <f t="shared" si="111"/>
        <v>0</v>
      </c>
      <c r="G205" s="1690">
        <f t="shared" si="111"/>
        <v>0</v>
      </c>
      <c r="H205" s="1690">
        <f t="shared" si="111"/>
        <v>0</v>
      </c>
      <c r="I205" s="1690">
        <f t="shared" si="111"/>
        <v>0</v>
      </c>
      <c r="J205" s="1690">
        <f t="shared" si="111"/>
        <v>0</v>
      </c>
      <c r="K205" s="1690">
        <f t="shared" si="111"/>
        <v>0</v>
      </c>
      <c r="L205" s="1690">
        <f t="shared" si="111"/>
        <v>0</v>
      </c>
      <c r="M205" s="1882">
        <f t="shared" si="111"/>
        <v>0</v>
      </c>
      <c r="N205" s="1882">
        <f t="shared" si="111"/>
        <v>0</v>
      </c>
      <c r="O205" s="1882">
        <f t="shared" si="111"/>
        <v>0</v>
      </c>
      <c r="P205" s="1882">
        <f t="shared" si="111"/>
        <v>0</v>
      </c>
      <c r="Q205" s="1882">
        <f t="shared" si="111"/>
        <v>0</v>
      </c>
      <c r="R205" s="1882">
        <f t="shared" si="111"/>
        <v>0</v>
      </c>
      <c r="S205" s="1690">
        <f t="shared" si="111"/>
        <v>0</v>
      </c>
      <c r="T205" s="1690">
        <f t="shared" si="111"/>
        <v>0</v>
      </c>
      <c r="U205" s="1690">
        <f t="shared" si="111"/>
        <v>0</v>
      </c>
      <c r="V205" s="1690">
        <f t="shared" si="111"/>
        <v>0</v>
      </c>
      <c r="W205" s="1691">
        <f t="shared" si="111"/>
        <v>0</v>
      </c>
      <c r="X205" s="1748">
        <f>X206</f>
        <v>0</v>
      </c>
      <c r="Y205" s="4114"/>
    </row>
    <row r="206" spans="1:25" s="1743" customFormat="1" ht="13.5" hidden="1" customHeight="1">
      <c r="A206" s="4089"/>
      <c r="B206" s="1694" t="s">
        <v>22</v>
      </c>
      <c r="C206" s="4100" t="s">
        <v>215</v>
      </c>
      <c r="D206" s="1697">
        <f>D207</f>
        <v>0</v>
      </c>
      <c r="E206" s="1697">
        <f t="shared" si="111"/>
        <v>0</v>
      </c>
      <c r="F206" s="1697">
        <f t="shared" si="111"/>
        <v>0</v>
      </c>
      <c r="G206" s="1697">
        <f t="shared" si="111"/>
        <v>0</v>
      </c>
      <c r="H206" s="1697">
        <f t="shared" si="111"/>
        <v>0</v>
      </c>
      <c r="I206" s="1697">
        <f t="shared" si="111"/>
        <v>0</v>
      </c>
      <c r="J206" s="1697">
        <f t="shared" si="111"/>
        <v>0</v>
      </c>
      <c r="K206" s="1697">
        <f t="shared" si="111"/>
        <v>0</v>
      </c>
      <c r="L206" s="1697">
        <f t="shared" si="111"/>
        <v>0</v>
      </c>
      <c r="M206" s="1730">
        <f t="shared" si="111"/>
        <v>0</v>
      </c>
      <c r="N206" s="1730">
        <f t="shared" si="111"/>
        <v>0</v>
      </c>
      <c r="O206" s="1730">
        <f t="shared" si="111"/>
        <v>0</v>
      </c>
      <c r="P206" s="1730">
        <f t="shared" si="111"/>
        <v>0</v>
      </c>
      <c r="Q206" s="1730">
        <f t="shared" si="111"/>
        <v>0</v>
      </c>
      <c r="R206" s="1730">
        <f t="shared" si="111"/>
        <v>0</v>
      </c>
      <c r="S206" s="1697">
        <f t="shared" si="111"/>
        <v>0</v>
      </c>
      <c r="T206" s="1697">
        <f t="shared" si="111"/>
        <v>0</v>
      </c>
      <c r="U206" s="1697">
        <f t="shared" si="111"/>
        <v>0</v>
      </c>
      <c r="V206" s="1697">
        <f t="shared" si="111"/>
        <v>0</v>
      </c>
      <c r="W206" s="1697">
        <f t="shared" si="111"/>
        <v>0</v>
      </c>
      <c r="X206" s="1751">
        <f>X207</f>
        <v>0</v>
      </c>
      <c r="Y206" s="4114"/>
    </row>
    <row r="207" spans="1:25" s="1743" customFormat="1" ht="13.5" hidden="1" customHeight="1" thickBot="1">
      <c r="A207" s="4090"/>
      <c r="B207" s="102" t="s">
        <v>23</v>
      </c>
      <c r="C207" s="4118"/>
      <c r="D207" s="1715">
        <f>M207+P207+Q207+R207+S207+T207+U207+V207+W207</f>
        <v>0</v>
      </c>
      <c r="E207" s="3106"/>
      <c r="F207" s="3106"/>
      <c r="G207" s="3106"/>
      <c r="H207" s="3106"/>
      <c r="I207" s="3105"/>
      <c r="J207" s="3105"/>
      <c r="K207" s="1718"/>
      <c r="L207" s="1718"/>
      <c r="M207" s="3105">
        <v>0</v>
      </c>
      <c r="N207" s="3105"/>
      <c r="O207" s="3166"/>
      <c r="P207" s="3105">
        <v>0</v>
      </c>
      <c r="Q207" s="3166">
        <v>0</v>
      </c>
      <c r="R207" s="3166">
        <v>0</v>
      </c>
      <c r="S207" s="3167"/>
      <c r="T207" s="3167"/>
      <c r="U207" s="3167"/>
      <c r="V207" s="3167"/>
      <c r="W207" s="3167"/>
      <c r="X207" s="3168">
        <f>SUM(Q207:W207)</f>
        <v>0</v>
      </c>
      <c r="Y207" s="4117"/>
    </row>
    <row r="208" spans="1:25" ht="19.5" hidden="1" customHeight="1">
      <c r="A208" s="4089"/>
      <c r="B208" s="1719"/>
      <c r="C208" s="1774" t="s">
        <v>95</v>
      </c>
      <c r="D208" s="2337"/>
      <c r="E208" s="105"/>
      <c r="F208" s="105"/>
      <c r="G208" s="105"/>
      <c r="H208" s="105"/>
      <c r="I208" s="106"/>
      <c r="J208" s="106"/>
      <c r="K208" s="106"/>
      <c r="L208" s="106"/>
      <c r="M208" s="106"/>
      <c r="N208" s="106"/>
      <c r="O208" s="1787"/>
      <c r="P208" s="1787"/>
      <c r="Q208" s="106"/>
      <c r="R208" s="1787"/>
      <c r="S208" s="1787"/>
      <c r="T208" s="1787"/>
      <c r="U208" s="1787"/>
      <c r="V208" s="1787"/>
      <c r="W208" s="1787"/>
      <c r="X208" s="1721"/>
      <c r="Y208" s="4114"/>
    </row>
    <row r="209" spans="1:25" ht="12.75" hidden="1" customHeight="1">
      <c r="A209" s="4089"/>
      <c r="B209" s="1320" t="s">
        <v>21</v>
      </c>
      <c r="C209" s="1781"/>
      <c r="D209" s="1879">
        <f>+D210</f>
        <v>0</v>
      </c>
      <c r="E209" s="1883">
        <f t="shared" ref="E209:N210" si="112">+E210</f>
        <v>0</v>
      </c>
      <c r="F209" s="1884">
        <f t="shared" si="112"/>
        <v>0</v>
      </c>
      <c r="G209" s="1884">
        <f t="shared" si="112"/>
        <v>0</v>
      </c>
      <c r="H209" s="1884">
        <f t="shared" si="112"/>
        <v>0</v>
      </c>
      <c r="I209" s="1745">
        <f t="shared" si="112"/>
        <v>0</v>
      </c>
      <c r="J209" s="1745">
        <f t="shared" si="112"/>
        <v>0</v>
      </c>
      <c r="K209" s="1883">
        <f t="shared" si="112"/>
        <v>0</v>
      </c>
      <c r="L209" s="1880">
        <f t="shared" si="112"/>
        <v>0</v>
      </c>
      <c r="M209" s="1880">
        <f t="shared" si="112"/>
        <v>0</v>
      </c>
      <c r="N209" s="1408">
        <f t="shared" si="112"/>
        <v>0</v>
      </c>
      <c r="O209" s="1408"/>
      <c r="P209" s="1880"/>
      <c r="Q209" s="1691"/>
      <c r="R209" s="1690"/>
      <c r="S209" s="1690"/>
      <c r="T209" s="1690"/>
      <c r="U209" s="1690"/>
      <c r="V209" s="1690"/>
      <c r="W209" s="1691"/>
      <c r="X209" s="1748"/>
      <c r="Y209" s="4114"/>
    </row>
    <row r="210" spans="1:25" ht="13.5" hidden="1" customHeight="1">
      <c r="A210" s="4089"/>
      <c r="B210" s="1694" t="s">
        <v>22</v>
      </c>
      <c r="C210" s="4100" t="s">
        <v>203</v>
      </c>
      <c r="D210" s="1697">
        <f>+D211</f>
        <v>0</v>
      </c>
      <c r="E210" s="1730">
        <f t="shared" si="112"/>
        <v>0</v>
      </c>
      <c r="F210" s="1730">
        <f t="shared" si="112"/>
        <v>0</v>
      </c>
      <c r="G210" s="1730">
        <f t="shared" si="112"/>
        <v>0</v>
      </c>
      <c r="H210" s="1730">
        <f t="shared" si="112"/>
        <v>0</v>
      </c>
      <c r="I210" s="1730">
        <f t="shared" si="112"/>
        <v>0</v>
      </c>
      <c r="J210" s="1730">
        <f t="shared" si="112"/>
        <v>0</v>
      </c>
      <c r="K210" s="1730">
        <f t="shared" si="112"/>
        <v>0</v>
      </c>
      <c r="L210" s="1697">
        <f t="shared" si="112"/>
        <v>0</v>
      </c>
      <c r="M210" s="1697">
        <f t="shared" si="112"/>
        <v>0</v>
      </c>
      <c r="N210" s="1697">
        <f t="shared" si="112"/>
        <v>0</v>
      </c>
      <c r="O210" s="1697"/>
      <c r="P210" s="1697"/>
      <c r="Q210" s="1697"/>
      <c r="R210" s="1697"/>
      <c r="S210" s="1697"/>
      <c r="T210" s="1697"/>
      <c r="U210" s="1697"/>
      <c r="V210" s="1697"/>
      <c r="W210" s="1697"/>
      <c r="X210" s="1751"/>
      <c r="Y210" s="4114"/>
    </row>
    <row r="211" spans="1:25" ht="13.5" hidden="1" customHeight="1">
      <c r="A211" s="4089"/>
      <c r="B211" s="1699" t="s">
        <v>27</v>
      </c>
      <c r="C211" s="4115"/>
      <c r="D211" s="1700">
        <f>M211+N211+O211+P211+Q211+R211</f>
        <v>0</v>
      </c>
      <c r="E211" s="1729">
        <v>0</v>
      </c>
      <c r="F211" s="1729"/>
      <c r="G211" s="1729"/>
      <c r="H211" s="1729"/>
      <c r="I211" s="1727">
        <v>0</v>
      </c>
      <c r="J211" s="1727">
        <v>0</v>
      </c>
      <c r="K211" s="1727">
        <v>0</v>
      </c>
      <c r="L211" s="1701"/>
      <c r="M211" s="1701">
        <f>E211+I211+J211+K211+L211</f>
        <v>0</v>
      </c>
      <c r="N211" s="1701"/>
      <c r="O211" s="3227"/>
      <c r="P211" s="1701"/>
      <c r="Q211" s="1701"/>
      <c r="R211" s="1701"/>
      <c r="S211" s="1701"/>
      <c r="T211" s="1701"/>
      <c r="U211" s="1701"/>
      <c r="V211" s="1701"/>
      <c r="W211" s="1701"/>
      <c r="X211" s="1703"/>
      <c r="Y211" s="4114"/>
    </row>
    <row r="212" spans="1:25" ht="13.5" hidden="1" customHeight="1">
      <c r="A212" s="4089"/>
      <c r="B212" s="1320" t="s">
        <v>33</v>
      </c>
      <c r="C212" s="1781"/>
      <c r="D212" s="1746">
        <f>+D213</f>
        <v>0</v>
      </c>
      <c r="E212" s="1745">
        <f t="shared" ref="E212:N213" si="113">+E213</f>
        <v>0</v>
      </c>
      <c r="F212" s="1745">
        <f t="shared" si="113"/>
        <v>0</v>
      </c>
      <c r="G212" s="1745">
        <f t="shared" si="113"/>
        <v>0</v>
      </c>
      <c r="H212" s="1745">
        <f t="shared" si="113"/>
        <v>0</v>
      </c>
      <c r="I212" s="1745">
        <f t="shared" si="113"/>
        <v>0</v>
      </c>
      <c r="J212" s="1745">
        <f t="shared" si="113"/>
        <v>0</v>
      </c>
      <c r="K212" s="1745">
        <f t="shared" si="113"/>
        <v>0</v>
      </c>
      <c r="L212" s="1746">
        <f t="shared" si="113"/>
        <v>0</v>
      </c>
      <c r="M212" s="1746">
        <f t="shared" si="113"/>
        <v>0</v>
      </c>
      <c r="N212" s="1746">
        <f t="shared" si="113"/>
        <v>0</v>
      </c>
      <c r="O212" s="1746"/>
      <c r="P212" s="1690"/>
      <c r="Q212" s="1690"/>
      <c r="R212" s="1690"/>
      <c r="S212" s="1690"/>
      <c r="T212" s="1690"/>
      <c r="U212" s="1690"/>
      <c r="V212" s="1690"/>
      <c r="W212" s="1691"/>
      <c r="X212" s="3226"/>
      <c r="Y212" s="4114"/>
    </row>
    <row r="213" spans="1:25" ht="13.5" hidden="1" customHeight="1">
      <c r="A213" s="4089"/>
      <c r="B213" s="1694" t="s">
        <v>22</v>
      </c>
      <c r="C213" s="4100" t="s">
        <v>203</v>
      </c>
      <c r="D213" s="1697">
        <f>+D214</f>
        <v>0</v>
      </c>
      <c r="E213" s="1730">
        <f t="shared" si="113"/>
        <v>0</v>
      </c>
      <c r="F213" s="1730">
        <f t="shared" si="113"/>
        <v>0</v>
      </c>
      <c r="G213" s="1730">
        <f t="shared" si="113"/>
        <v>0</v>
      </c>
      <c r="H213" s="1730">
        <f t="shared" si="113"/>
        <v>0</v>
      </c>
      <c r="I213" s="1730">
        <f t="shared" si="113"/>
        <v>0</v>
      </c>
      <c r="J213" s="1730">
        <f t="shared" si="113"/>
        <v>0</v>
      </c>
      <c r="K213" s="1730">
        <f t="shared" si="113"/>
        <v>0</v>
      </c>
      <c r="L213" s="1697">
        <f t="shared" si="113"/>
        <v>0</v>
      </c>
      <c r="M213" s="1697">
        <f t="shared" si="113"/>
        <v>0</v>
      </c>
      <c r="N213" s="1697">
        <f t="shared" si="113"/>
        <v>0</v>
      </c>
      <c r="O213" s="1697"/>
      <c r="P213" s="1697"/>
      <c r="Q213" s="1697"/>
      <c r="R213" s="1697"/>
      <c r="S213" s="1697"/>
      <c r="T213" s="1697"/>
      <c r="U213" s="1697"/>
      <c r="V213" s="1697"/>
      <c r="W213" s="1697"/>
      <c r="X213" s="3226"/>
      <c r="Y213" s="4114"/>
    </row>
    <row r="214" spans="1:25" ht="14.25" hidden="1" customHeight="1">
      <c r="A214" s="4089"/>
      <c r="B214" s="1699" t="s">
        <v>27</v>
      </c>
      <c r="C214" s="4116"/>
      <c r="D214" s="1700">
        <f>M214+N214+O214+P214+Q214+R214</f>
        <v>0</v>
      </c>
      <c r="E214" s="1885">
        <v>0</v>
      </c>
      <c r="F214" s="1885"/>
      <c r="G214" s="1885"/>
      <c r="H214" s="1885"/>
      <c r="I214" s="1727">
        <v>0</v>
      </c>
      <c r="J214" s="1727">
        <v>0</v>
      </c>
      <c r="K214" s="1727">
        <v>0</v>
      </c>
      <c r="L214" s="1710"/>
      <c r="M214" s="1701"/>
      <c r="N214" s="1710"/>
      <c r="O214" s="1702"/>
      <c r="P214" s="1702"/>
      <c r="Q214" s="1702"/>
      <c r="R214" s="1702"/>
      <c r="S214" s="1702"/>
      <c r="T214" s="1702"/>
      <c r="U214" s="1702"/>
      <c r="V214" s="1702"/>
      <c r="W214" s="1702"/>
      <c r="X214" s="3226"/>
      <c r="Y214" s="4114"/>
    </row>
    <row r="224" spans="1:25">
      <c r="N224" s="462"/>
    </row>
    <row r="225" spans="14:14">
      <c r="N225" s="462"/>
    </row>
    <row r="226" spans="14:14">
      <c r="N226" s="462"/>
    </row>
    <row r="227" spans="14:14">
      <c r="N227" s="462"/>
    </row>
    <row r="228" spans="14:14">
      <c r="N228" s="462"/>
    </row>
    <row r="229" spans="14:14">
      <c r="N229" s="462"/>
    </row>
    <row r="230" spans="14:14">
      <c r="N230" s="462"/>
    </row>
    <row r="231" spans="14:14">
      <c r="N231" s="462"/>
    </row>
    <row r="232" spans="14:14">
      <c r="N232" s="462"/>
    </row>
    <row r="233" spans="14:14">
      <c r="N233" s="462"/>
    </row>
    <row r="234" spans="14:14">
      <c r="N234" s="462"/>
    </row>
    <row r="235" spans="14:14">
      <c r="N235" s="462"/>
    </row>
    <row r="236" spans="14:14">
      <c r="N236" s="462"/>
    </row>
    <row r="237" spans="14:14">
      <c r="N237" s="462"/>
    </row>
    <row r="238" spans="14:14">
      <c r="N238" s="462"/>
    </row>
    <row r="239" spans="14:14">
      <c r="N239" s="462"/>
    </row>
    <row r="240" spans="14:14">
      <c r="N240" s="462"/>
    </row>
    <row r="241" spans="14:14">
      <c r="N241" s="462"/>
    </row>
    <row r="242" spans="14:14">
      <c r="N242" s="462"/>
    </row>
    <row r="243" spans="14:14">
      <c r="N243" s="462"/>
    </row>
    <row r="244" spans="14:14">
      <c r="N244" s="462"/>
    </row>
    <row r="245" spans="14:14">
      <c r="N245" s="462"/>
    </row>
    <row r="246" spans="14:14">
      <c r="N246" s="462"/>
    </row>
    <row r="247" spans="14:14">
      <c r="N247" s="462"/>
    </row>
    <row r="248" spans="14:14">
      <c r="N248" s="462"/>
    </row>
    <row r="249" spans="14:14">
      <c r="N249" s="462"/>
    </row>
    <row r="250" spans="14:14">
      <c r="N250" s="462"/>
    </row>
    <row r="251" spans="14:14">
      <c r="N251" s="462"/>
    </row>
    <row r="252" spans="14:14">
      <c r="N252" s="462"/>
    </row>
    <row r="253" spans="14:14">
      <c r="N253" s="462"/>
    </row>
    <row r="254" spans="14:14">
      <c r="N254" s="462"/>
    </row>
    <row r="255" spans="14:14">
      <c r="N255" s="462"/>
    </row>
  </sheetData>
  <mergeCells count="80">
    <mergeCell ref="X189:X194"/>
    <mergeCell ref="A195:A202"/>
    <mergeCell ref="C201:C202"/>
    <mergeCell ref="X200:X202"/>
    <mergeCell ref="Y195:Y202"/>
    <mergeCell ref="C197:C199"/>
    <mergeCell ref="A208:A214"/>
    <mergeCell ref="Y208:Y214"/>
    <mergeCell ref="C210:C211"/>
    <mergeCell ref="C213:C214"/>
    <mergeCell ref="A204:A207"/>
    <mergeCell ref="Y204:Y207"/>
    <mergeCell ref="C206:C207"/>
    <mergeCell ref="A164:A177"/>
    <mergeCell ref="Y164:Y177"/>
    <mergeCell ref="C166:C170"/>
    <mergeCell ref="C172:C177"/>
    <mergeCell ref="A151:A163"/>
    <mergeCell ref="Y151:Y163"/>
    <mergeCell ref="C153:C157"/>
    <mergeCell ref="C159:C163"/>
    <mergeCell ref="X158:X163"/>
    <mergeCell ref="A137:A149"/>
    <mergeCell ref="Y137:Y149"/>
    <mergeCell ref="C139:C143"/>
    <mergeCell ref="C145:C149"/>
    <mergeCell ref="X144:X149"/>
    <mergeCell ref="A130:A136"/>
    <mergeCell ref="Y130:Y136"/>
    <mergeCell ref="C132:C133"/>
    <mergeCell ref="C135:C136"/>
    <mergeCell ref="X134:X136"/>
    <mergeCell ref="A118:A129"/>
    <mergeCell ref="Y118:Y129"/>
    <mergeCell ref="C120:C124"/>
    <mergeCell ref="C126:C129"/>
    <mergeCell ref="X125:X129"/>
    <mergeCell ref="A103:A117"/>
    <mergeCell ref="Y103:Y117"/>
    <mergeCell ref="C105:C110"/>
    <mergeCell ref="C112:C117"/>
    <mergeCell ref="X111:X117"/>
    <mergeCell ref="A90:A102"/>
    <mergeCell ref="Y90:Y102"/>
    <mergeCell ref="C92:C96"/>
    <mergeCell ref="C98:C102"/>
    <mergeCell ref="X97:X102"/>
    <mergeCell ref="A79:A89"/>
    <mergeCell ref="Y79:Y89"/>
    <mergeCell ref="C81:C84"/>
    <mergeCell ref="C86:C89"/>
    <mergeCell ref="X85:X89"/>
    <mergeCell ref="Y53:Y67"/>
    <mergeCell ref="A68:A78"/>
    <mergeCell ref="Y68:Y78"/>
    <mergeCell ref="C70:C73"/>
    <mergeCell ref="C75:C78"/>
    <mergeCell ref="X74:X78"/>
    <mergeCell ref="X23:X33"/>
    <mergeCell ref="X44:X51"/>
    <mergeCell ref="A53:A66"/>
    <mergeCell ref="C55:C59"/>
    <mergeCell ref="C62:C66"/>
    <mergeCell ref="X61:X66"/>
    <mergeCell ref="P5:P6"/>
    <mergeCell ref="Q5:W6"/>
    <mergeCell ref="Y34:Y52"/>
    <mergeCell ref="P1:R1"/>
    <mergeCell ref="A4:Y4"/>
    <mergeCell ref="B5:B7"/>
    <mergeCell ref="C5:C7"/>
    <mergeCell ref="D5:D7"/>
    <mergeCell ref="Y5:Y7"/>
    <mergeCell ref="E5:K5"/>
    <mergeCell ref="X5:X7"/>
    <mergeCell ref="M5:M6"/>
    <mergeCell ref="O5:O6"/>
    <mergeCell ref="A34:A52"/>
    <mergeCell ref="C36:C43"/>
    <mergeCell ref="C45:C52"/>
  </mergeCells>
  <printOptions horizontalCentered="1"/>
  <pageMargins left="0.23622047244094491" right="0.23622047244094491" top="0.51181102362204722" bottom="0.35433070866141736" header="0.15748031496062992" footer="0.15748031496062992"/>
  <pageSetup paperSize="9" scale="69" firstPageNumber="40" orientation="landscape" useFirstPageNumber="1" r:id="rId1"/>
  <headerFooter alignWithMargins="0">
    <oddHeader>&amp;C&amp;"Arial,Kursywa"Wieloletnia prognoza finansowa Województwa Zachodniopomorskiego na lata 2017 - 2038&amp;"Arial,Normalny"
____________________________________________________________________________________________________________________________</oddHeader>
    <oddFooter>&amp;C&amp;8&amp;P</oddFooter>
  </headerFooter>
  <rowBreaks count="1" manualBreakCount="1">
    <brk id="136" min="1" max="24" man="1"/>
  </rowBreak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C614"/>
  <sheetViews>
    <sheetView showGridLines="0" view="pageBreakPreview" zoomScaleNormal="100" zoomScaleSheetLayoutView="100" workbookViewId="0">
      <pane ySplit="7" topLeftCell="A8" activePane="bottomLeft" state="frozen"/>
      <selection activeCell="U30" sqref="U30"/>
      <selection pane="bottomLeft" activeCell="A8" sqref="A8"/>
    </sheetView>
  </sheetViews>
  <sheetFormatPr defaultColWidth="9.140625" defaultRowHeight="11.25"/>
  <cols>
    <col min="1" max="1" width="2.85546875" style="1889" customWidth="1"/>
    <col min="2" max="2" width="56.28515625" style="262" customWidth="1"/>
    <col min="3" max="3" width="13.140625" style="262" customWidth="1"/>
    <col min="4" max="4" width="14.85546875" style="262" customWidth="1"/>
    <col min="5" max="5" width="7.42578125" style="262" hidden="1" customWidth="1"/>
    <col min="6" max="8" width="11.5703125" style="262" hidden="1" customWidth="1"/>
    <col min="9" max="9" width="6" style="262" hidden="1" customWidth="1"/>
    <col min="10" max="10" width="8.5703125" style="262" hidden="1" customWidth="1"/>
    <col min="11" max="11" width="7.42578125" style="262" hidden="1" customWidth="1"/>
    <col min="12" max="12" width="9.7109375" style="262" hidden="1" customWidth="1"/>
    <col min="13" max="13" width="13.7109375" style="262" customWidth="1"/>
    <col min="14" max="14" width="10.140625" style="262" hidden="1" customWidth="1"/>
    <col min="15" max="15" width="11.85546875" style="262" hidden="1" customWidth="1"/>
    <col min="16" max="16" width="12.5703125" style="1942" customWidth="1"/>
    <col min="17" max="17" width="10.7109375" style="1487" customWidth="1"/>
    <col min="18" max="18" width="11.140625" style="1487" customWidth="1"/>
    <col min="19" max="19" width="9.85546875" style="1487" customWidth="1"/>
    <col min="20" max="23" width="8.42578125" style="1487" customWidth="1"/>
    <col min="24" max="24" width="12.5703125" style="1487" customWidth="1"/>
    <col min="25" max="25" width="15.85546875" style="1943" customWidth="1"/>
    <col min="26" max="26" width="11.85546875" style="262" hidden="1" customWidth="1"/>
    <col min="27" max="31" width="0" style="262" hidden="1" customWidth="1"/>
    <col min="32" max="16384" width="9.140625" style="262"/>
  </cols>
  <sheetData>
    <row r="1" spans="1:27" ht="22.5" customHeight="1">
      <c r="O1" s="2222"/>
      <c r="P1" s="262"/>
      <c r="R1" s="341" t="s">
        <v>213</v>
      </c>
      <c r="S1" s="262"/>
      <c r="T1" s="6"/>
      <c r="U1" s="6"/>
      <c r="V1" s="6"/>
      <c r="W1" s="6"/>
      <c r="X1" s="6"/>
      <c r="Y1" s="7"/>
    </row>
    <row r="2" spans="1:27" ht="9.75" customHeight="1">
      <c r="N2" s="1890"/>
      <c r="O2" s="2223"/>
      <c r="P2" s="262"/>
      <c r="Q2" s="262"/>
      <c r="R2" s="262"/>
      <c r="S2" s="262"/>
      <c r="T2" s="6"/>
      <c r="U2" s="6"/>
      <c r="V2" s="6"/>
      <c r="W2" s="6"/>
      <c r="X2" s="6"/>
      <c r="Y2" s="7"/>
    </row>
    <row r="3" spans="1:27" ht="55.5" customHeight="1" thickBot="1">
      <c r="A3" s="3917" t="s">
        <v>214</v>
      </c>
      <c r="B3" s="3917"/>
      <c r="C3" s="3917"/>
      <c r="D3" s="3917"/>
      <c r="E3" s="3917"/>
      <c r="F3" s="3917"/>
      <c r="G3" s="3917"/>
      <c r="H3" s="3917"/>
      <c r="I3" s="3917"/>
      <c r="J3" s="3917"/>
      <c r="K3" s="3917"/>
      <c r="L3" s="3917"/>
      <c r="M3" s="3917"/>
      <c r="N3" s="3917"/>
      <c r="O3" s="3917"/>
      <c r="P3" s="3917"/>
      <c r="Q3" s="3917"/>
      <c r="R3" s="3917"/>
      <c r="S3" s="3917"/>
      <c r="T3" s="3917"/>
      <c r="U3" s="3917"/>
      <c r="V3" s="3917"/>
      <c r="W3" s="3917"/>
      <c r="X3" s="3917"/>
      <c r="Y3" s="3917"/>
    </row>
    <row r="4" spans="1:27" ht="29.25" customHeight="1">
      <c r="A4" s="1891"/>
      <c r="B4" s="4141" t="s">
        <v>89</v>
      </c>
      <c r="C4" s="3674" t="s">
        <v>85</v>
      </c>
      <c r="D4" s="3677" t="s">
        <v>136</v>
      </c>
      <c r="E4" s="3582" t="s">
        <v>2</v>
      </c>
      <c r="F4" s="3595"/>
      <c r="G4" s="3595"/>
      <c r="H4" s="3595"/>
      <c r="I4" s="3595"/>
      <c r="J4" s="3595"/>
      <c r="K4" s="3595"/>
      <c r="L4" s="3574"/>
      <c r="M4" s="3582" t="s">
        <v>339</v>
      </c>
      <c r="N4" s="425"/>
      <c r="O4" s="3877" t="s">
        <v>347</v>
      </c>
      <c r="P4" s="3925" t="s">
        <v>494</v>
      </c>
      <c r="Q4" s="3694" t="s">
        <v>495</v>
      </c>
      <c r="R4" s="3694"/>
      <c r="S4" s="3694"/>
      <c r="T4" s="3694"/>
      <c r="U4" s="3694"/>
      <c r="V4" s="3694"/>
      <c r="W4" s="3695"/>
      <c r="X4" s="3686" t="s">
        <v>488</v>
      </c>
      <c r="Y4" s="3869" t="s">
        <v>87</v>
      </c>
    </row>
    <row r="5" spans="1:27" ht="29.25" customHeight="1">
      <c r="A5" s="1892" t="s">
        <v>88</v>
      </c>
      <c r="B5" s="4142"/>
      <c r="C5" s="4144"/>
      <c r="D5" s="3923"/>
      <c r="E5" s="3583"/>
      <c r="F5" s="3596"/>
      <c r="G5" s="3596"/>
      <c r="H5" s="3596"/>
      <c r="I5" s="3596"/>
      <c r="J5" s="3596"/>
      <c r="K5" s="3596"/>
      <c r="L5" s="3575"/>
      <c r="M5" s="3583"/>
      <c r="N5" s="332"/>
      <c r="O5" s="3878"/>
      <c r="P5" s="3693"/>
      <c r="Q5" s="3696"/>
      <c r="R5" s="3696"/>
      <c r="S5" s="3696"/>
      <c r="T5" s="3696"/>
      <c r="U5" s="3696"/>
      <c r="V5" s="3696"/>
      <c r="W5" s="3697"/>
      <c r="X5" s="3687"/>
      <c r="Y5" s="3870"/>
    </row>
    <row r="6" spans="1:27" ht="16.5" customHeight="1" thickBot="1">
      <c r="A6" s="1892"/>
      <c r="B6" s="4143"/>
      <c r="C6" s="4144"/>
      <c r="D6" s="3924"/>
      <c r="E6" s="3213" t="s">
        <v>5</v>
      </c>
      <c r="F6" s="8" t="s">
        <v>6</v>
      </c>
      <c r="G6" s="8" t="s">
        <v>7</v>
      </c>
      <c r="H6" s="8" t="s">
        <v>8</v>
      </c>
      <c r="I6" s="3233" t="s">
        <v>9</v>
      </c>
      <c r="J6" s="3233" t="s">
        <v>10</v>
      </c>
      <c r="K6" s="3233" t="s">
        <v>11</v>
      </c>
      <c r="L6" s="3233" t="s">
        <v>12</v>
      </c>
      <c r="M6" s="415" t="s">
        <v>493</v>
      </c>
      <c r="N6" s="3233" t="s">
        <v>13</v>
      </c>
      <c r="O6" s="3233" t="s">
        <v>14</v>
      </c>
      <c r="P6" s="3233" t="s">
        <v>15</v>
      </c>
      <c r="Q6" s="3233" t="s">
        <v>16</v>
      </c>
      <c r="R6" s="3233" t="s">
        <v>17</v>
      </c>
      <c r="S6" s="324" t="s">
        <v>259</v>
      </c>
      <c r="T6" s="324" t="s">
        <v>263</v>
      </c>
      <c r="U6" s="324" t="s">
        <v>324</v>
      </c>
      <c r="V6" s="324" t="s">
        <v>325</v>
      </c>
      <c r="W6" s="324" t="s">
        <v>323</v>
      </c>
      <c r="X6" s="3688"/>
      <c r="Y6" s="3871"/>
    </row>
    <row r="7" spans="1:27" ht="15" customHeight="1">
      <c r="A7" s="1893">
        <v>1</v>
      </c>
      <c r="B7" s="254">
        <v>2</v>
      </c>
      <c r="C7" s="255" t="s">
        <v>137</v>
      </c>
      <c r="D7" s="256" t="s">
        <v>138</v>
      </c>
      <c r="E7" s="256" t="s">
        <v>139</v>
      </c>
      <c r="F7" s="256">
        <v>8</v>
      </c>
      <c r="G7" s="256">
        <v>9</v>
      </c>
      <c r="H7" s="256">
        <v>10</v>
      </c>
      <c r="I7" s="256" t="s">
        <v>140</v>
      </c>
      <c r="J7" s="256" t="s">
        <v>141</v>
      </c>
      <c r="K7" s="256" t="s">
        <v>142</v>
      </c>
      <c r="L7" s="256" t="s">
        <v>143</v>
      </c>
      <c r="M7" s="327">
        <v>5</v>
      </c>
      <c r="N7" s="328" t="s">
        <v>326</v>
      </c>
      <c r="O7" s="328" t="s">
        <v>326</v>
      </c>
      <c r="P7" s="328">
        <v>6</v>
      </c>
      <c r="Q7" s="328">
        <v>7</v>
      </c>
      <c r="R7" s="327">
        <v>8</v>
      </c>
      <c r="S7" s="327">
        <v>9</v>
      </c>
      <c r="T7" s="327">
        <v>10</v>
      </c>
      <c r="U7" s="327">
        <v>11</v>
      </c>
      <c r="V7" s="327">
        <v>12</v>
      </c>
      <c r="W7" s="327">
        <v>13</v>
      </c>
      <c r="X7" s="329">
        <v>14</v>
      </c>
      <c r="Y7" s="330">
        <v>15</v>
      </c>
    </row>
    <row r="8" spans="1:27" s="301" customFormat="1" ht="16.5" customHeight="1">
      <c r="A8" s="1209"/>
      <c r="B8" s="3419" t="s">
        <v>90</v>
      </c>
      <c r="C8" s="3420"/>
      <c r="D8" s="289">
        <f>+D9+D10</f>
        <v>101311060</v>
      </c>
      <c r="E8" s="289">
        <f t="shared" ref="E8:T8" si="0">+E9+E10</f>
        <v>0</v>
      </c>
      <c r="F8" s="289">
        <f t="shared" si="0"/>
        <v>0</v>
      </c>
      <c r="G8" s="289">
        <f t="shared" si="0"/>
        <v>0</v>
      </c>
      <c r="H8" s="289">
        <f t="shared" si="0"/>
        <v>0</v>
      </c>
      <c r="I8" s="289">
        <f t="shared" si="0"/>
        <v>0</v>
      </c>
      <c r="J8" s="289">
        <f t="shared" si="0"/>
        <v>0</v>
      </c>
      <c r="K8" s="289">
        <f t="shared" si="0"/>
        <v>0</v>
      </c>
      <c r="L8" s="289">
        <f t="shared" si="0"/>
        <v>0</v>
      </c>
      <c r="M8" s="289">
        <f t="shared" si="0"/>
        <v>0</v>
      </c>
      <c r="N8" s="289">
        <f t="shared" si="0"/>
        <v>0</v>
      </c>
      <c r="O8" s="289">
        <f>+O9+O10</f>
        <v>0</v>
      </c>
      <c r="P8" s="289">
        <f t="shared" si="0"/>
        <v>829633</v>
      </c>
      <c r="Q8" s="289">
        <f t="shared" si="0"/>
        <v>37456864</v>
      </c>
      <c r="R8" s="289">
        <f t="shared" si="0"/>
        <v>61950711</v>
      </c>
      <c r="S8" s="289">
        <f t="shared" si="0"/>
        <v>895452</v>
      </c>
      <c r="T8" s="289">
        <f t="shared" si="0"/>
        <v>178400</v>
      </c>
      <c r="U8" s="289">
        <f>+U9+U10</f>
        <v>0</v>
      </c>
      <c r="V8" s="289">
        <f>+V9+V10</f>
        <v>0</v>
      </c>
      <c r="W8" s="289">
        <f>+W9+W10</f>
        <v>0</v>
      </c>
      <c r="X8" s="195">
        <f>+X9+X10</f>
        <v>100481427</v>
      </c>
      <c r="Y8" s="1894"/>
      <c r="Z8" s="864"/>
    </row>
    <row r="9" spans="1:27" s="301" customFormat="1" ht="13.5" customHeight="1">
      <c r="A9" s="1209"/>
      <c r="B9" s="3421" t="s">
        <v>91</v>
      </c>
      <c r="C9" s="3422"/>
      <c r="D9" s="281">
        <f>+D22+D40+D49+D56+D72+D79+D133+D151+D173+D186</f>
        <v>1165293</v>
      </c>
      <c r="E9" s="281">
        <f t="shared" ref="E9:W9" si="1">+E22+E40+E49+E56+E72+E79+E133+E151+E173</f>
        <v>0</v>
      </c>
      <c r="F9" s="281">
        <f t="shared" si="1"/>
        <v>0</v>
      </c>
      <c r="G9" s="281">
        <f t="shared" si="1"/>
        <v>0</v>
      </c>
      <c r="H9" s="281">
        <f t="shared" si="1"/>
        <v>0</v>
      </c>
      <c r="I9" s="281">
        <f t="shared" si="1"/>
        <v>0</v>
      </c>
      <c r="J9" s="281">
        <f t="shared" si="1"/>
        <v>0</v>
      </c>
      <c r="K9" s="281">
        <f t="shared" si="1"/>
        <v>0</v>
      </c>
      <c r="L9" s="281">
        <f t="shared" si="1"/>
        <v>0</v>
      </c>
      <c r="M9" s="281">
        <f t="shared" si="1"/>
        <v>0</v>
      </c>
      <c r="N9" s="281">
        <f t="shared" si="1"/>
        <v>0</v>
      </c>
      <c r="O9" s="281">
        <f t="shared" si="1"/>
        <v>0</v>
      </c>
      <c r="P9" s="281">
        <f t="shared" ref="P9:T9" si="2">+P22+P40+P49+P56+P72+P79+P133+P151+P173+P186</f>
        <v>0</v>
      </c>
      <c r="Q9" s="281">
        <f t="shared" si="2"/>
        <v>208547</v>
      </c>
      <c r="R9" s="281">
        <f t="shared" si="2"/>
        <v>433084</v>
      </c>
      <c r="S9" s="281">
        <f t="shared" si="2"/>
        <v>523662</v>
      </c>
      <c r="T9" s="281">
        <f t="shared" si="2"/>
        <v>0</v>
      </c>
      <c r="U9" s="281">
        <f t="shared" si="1"/>
        <v>0</v>
      </c>
      <c r="V9" s="281">
        <f t="shared" si="1"/>
        <v>0</v>
      </c>
      <c r="W9" s="281">
        <f t="shared" si="1"/>
        <v>0</v>
      </c>
      <c r="X9" s="22">
        <f>SUM(Q9:W9)</f>
        <v>1165293</v>
      </c>
      <c r="Y9" s="1894"/>
      <c r="Z9" s="864"/>
    </row>
    <row r="10" spans="1:27" s="301" customFormat="1" ht="13.5" customHeight="1" thickBot="1">
      <c r="A10" s="1209"/>
      <c r="B10" s="3423" t="s">
        <v>20</v>
      </c>
      <c r="C10" s="3424"/>
      <c r="D10" s="1895">
        <f>D31+D65+D88+D124+D97+D106+D142+D115+D164+D195</f>
        <v>100145767</v>
      </c>
      <c r="E10" s="1895">
        <f t="shared" ref="E10:W10" si="3">E31+E65+E88+E124+E97+E106+E142+E115+E164</f>
        <v>0</v>
      </c>
      <c r="F10" s="1895">
        <f t="shared" si="3"/>
        <v>0</v>
      </c>
      <c r="G10" s="1895">
        <f t="shared" si="3"/>
        <v>0</v>
      </c>
      <c r="H10" s="1895">
        <f t="shared" si="3"/>
        <v>0</v>
      </c>
      <c r="I10" s="1895">
        <f t="shared" si="3"/>
        <v>0</v>
      </c>
      <c r="J10" s="1895">
        <f t="shared" si="3"/>
        <v>0</v>
      </c>
      <c r="K10" s="1895">
        <f t="shared" si="3"/>
        <v>0</v>
      </c>
      <c r="L10" s="1895">
        <f t="shared" si="3"/>
        <v>0</v>
      </c>
      <c r="M10" s="1895">
        <f t="shared" si="3"/>
        <v>0</v>
      </c>
      <c r="N10" s="1895">
        <f t="shared" si="3"/>
        <v>0</v>
      </c>
      <c r="O10" s="1895">
        <f t="shared" si="3"/>
        <v>0</v>
      </c>
      <c r="P10" s="1895">
        <f t="shared" ref="P10:T10" si="4">P31+P65+P88+P124+P97+P106+P142+P115+P164+P195</f>
        <v>829633</v>
      </c>
      <c r="Q10" s="1895">
        <f t="shared" si="4"/>
        <v>37248317</v>
      </c>
      <c r="R10" s="1895">
        <f t="shared" si="4"/>
        <v>61517627</v>
      </c>
      <c r="S10" s="1895">
        <f t="shared" si="4"/>
        <v>371790</v>
      </c>
      <c r="T10" s="1895">
        <f t="shared" si="4"/>
        <v>178400</v>
      </c>
      <c r="U10" s="1895">
        <f t="shared" si="3"/>
        <v>0</v>
      </c>
      <c r="V10" s="1895">
        <f t="shared" si="3"/>
        <v>0</v>
      </c>
      <c r="W10" s="1895">
        <f t="shared" si="3"/>
        <v>0</v>
      </c>
      <c r="X10" s="197">
        <f>SUM(Q10:W10)</f>
        <v>99316134</v>
      </c>
      <c r="Y10" s="1894"/>
      <c r="Z10" s="864"/>
    </row>
    <row r="11" spans="1:27" ht="17.25" customHeight="1">
      <c r="A11" s="1209"/>
      <c r="B11" s="257" t="s">
        <v>21</v>
      </c>
      <c r="C11" s="116"/>
      <c r="D11" s="258">
        <f>D12+D14</f>
        <v>101311060</v>
      </c>
      <c r="E11" s="259">
        <f t="shared" ref="E11:N11" si="5">E12+E14</f>
        <v>0</v>
      </c>
      <c r="F11" s="259">
        <f t="shared" si="5"/>
        <v>0</v>
      </c>
      <c r="G11" s="259">
        <f t="shared" si="5"/>
        <v>0</v>
      </c>
      <c r="H11" s="259">
        <f t="shared" si="5"/>
        <v>0</v>
      </c>
      <c r="I11" s="259">
        <f t="shared" si="5"/>
        <v>0</v>
      </c>
      <c r="J11" s="259">
        <f t="shared" si="5"/>
        <v>0</v>
      </c>
      <c r="K11" s="259">
        <f t="shared" si="5"/>
        <v>0</v>
      </c>
      <c r="L11" s="259">
        <f t="shared" si="5"/>
        <v>0</v>
      </c>
      <c r="M11" s="259">
        <f t="shared" si="5"/>
        <v>0</v>
      </c>
      <c r="N11" s="259">
        <f t="shared" si="5"/>
        <v>0</v>
      </c>
      <c r="O11" s="259">
        <f t="shared" ref="O11:W11" si="6">O12+O14</f>
        <v>0</v>
      </c>
      <c r="P11" s="259">
        <f t="shared" si="6"/>
        <v>829633</v>
      </c>
      <c r="Q11" s="259">
        <f t="shared" si="6"/>
        <v>37456864</v>
      </c>
      <c r="R11" s="259">
        <f t="shared" si="6"/>
        <v>61950711</v>
      </c>
      <c r="S11" s="259">
        <f t="shared" si="6"/>
        <v>895452</v>
      </c>
      <c r="T11" s="259">
        <f t="shared" si="6"/>
        <v>178400</v>
      </c>
      <c r="U11" s="259">
        <f t="shared" si="6"/>
        <v>0</v>
      </c>
      <c r="V11" s="259">
        <f>V12+V14</f>
        <v>0</v>
      </c>
      <c r="W11" s="259">
        <f t="shared" si="6"/>
        <v>0</v>
      </c>
      <c r="X11" s="80">
        <f>X12+X14</f>
        <v>100481427</v>
      </c>
      <c r="Y11" s="1896"/>
      <c r="Z11" s="263"/>
      <c r="AA11" s="263"/>
    </row>
    <row r="12" spans="1:27" ht="13.5" customHeight="1">
      <c r="A12" s="1209"/>
      <c r="B12" s="1897" t="s">
        <v>35</v>
      </c>
      <c r="C12" s="3425"/>
      <c r="D12" s="3426">
        <f>D13</f>
        <v>15581096</v>
      </c>
      <c r="E12" s="253">
        <f t="shared" ref="E12:X12" si="7">+E13</f>
        <v>0</v>
      </c>
      <c r="F12" s="253">
        <f t="shared" si="7"/>
        <v>0</v>
      </c>
      <c r="G12" s="253">
        <f t="shared" si="7"/>
        <v>0</v>
      </c>
      <c r="H12" s="253">
        <f t="shared" si="7"/>
        <v>0</v>
      </c>
      <c r="I12" s="253">
        <f t="shared" si="7"/>
        <v>0</v>
      </c>
      <c r="J12" s="253">
        <f t="shared" si="7"/>
        <v>0</v>
      </c>
      <c r="K12" s="253">
        <f t="shared" si="7"/>
        <v>0</v>
      </c>
      <c r="L12" s="253">
        <f t="shared" si="7"/>
        <v>0</v>
      </c>
      <c r="M12" s="3426">
        <f t="shared" si="7"/>
        <v>0</v>
      </c>
      <c r="N12" s="3426">
        <f t="shared" si="7"/>
        <v>0</v>
      </c>
      <c r="O12" s="3426">
        <f>+O13</f>
        <v>0</v>
      </c>
      <c r="P12" s="3426">
        <f t="shared" si="7"/>
        <v>293821</v>
      </c>
      <c r="Q12" s="253">
        <f t="shared" si="7"/>
        <v>5825935</v>
      </c>
      <c r="R12" s="3426">
        <f t="shared" si="7"/>
        <v>9300260</v>
      </c>
      <c r="S12" s="253">
        <f t="shared" si="7"/>
        <v>134320</v>
      </c>
      <c r="T12" s="253">
        <f t="shared" si="7"/>
        <v>26760</v>
      </c>
      <c r="U12" s="253">
        <f t="shared" si="7"/>
        <v>0</v>
      </c>
      <c r="V12" s="253">
        <f t="shared" si="7"/>
        <v>0</v>
      </c>
      <c r="W12" s="253">
        <f t="shared" si="7"/>
        <v>0</v>
      </c>
      <c r="X12" s="3427">
        <f t="shared" si="7"/>
        <v>15287275</v>
      </c>
      <c r="Y12" s="1898"/>
    </row>
    <row r="13" spans="1:27" ht="13.5" customHeight="1">
      <c r="A13" s="1209"/>
      <c r="B13" s="3428" t="s">
        <v>23</v>
      </c>
      <c r="C13" s="3429"/>
      <c r="D13" s="3430">
        <f>D24+D42+D33+D58+D99+D126+D81+D108+D90+D135+D144+D117+D153+D166+D175+D188+D197</f>
        <v>15581096</v>
      </c>
      <c r="E13" s="3430">
        <f t="shared" ref="E13:W13" si="8">E24+E42+E33+E58+E99+E126+E81+E108+E90+E135+E144+E117+E153+E166+E175</f>
        <v>0</v>
      </c>
      <c r="F13" s="3430">
        <f t="shared" si="8"/>
        <v>0</v>
      </c>
      <c r="G13" s="3430">
        <f t="shared" si="8"/>
        <v>0</v>
      </c>
      <c r="H13" s="3430">
        <f t="shared" si="8"/>
        <v>0</v>
      </c>
      <c r="I13" s="3430">
        <f t="shared" si="8"/>
        <v>0</v>
      </c>
      <c r="J13" s="3430">
        <f t="shared" si="8"/>
        <v>0</v>
      </c>
      <c r="K13" s="3430">
        <f t="shared" si="8"/>
        <v>0</v>
      </c>
      <c r="L13" s="3430">
        <f t="shared" si="8"/>
        <v>0</v>
      </c>
      <c r="M13" s="3430">
        <f t="shared" si="8"/>
        <v>0</v>
      </c>
      <c r="N13" s="3430">
        <f t="shared" si="8"/>
        <v>0</v>
      </c>
      <c r="O13" s="3430">
        <f t="shared" si="8"/>
        <v>0</v>
      </c>
      <c r="P13" s="3430">
        <f t="shared" ref="P13:T13" si="9">P24+P42+P33+P58+P99+P126+P81+P108+P90+P135+P144+P117+P153+P166+P175+P188+P197</f>
        <v>293821</v>
      </c>
      <c r="Q13" s="3430">
        <f t="shared" si="9"/>
        <v>5825935</v>
      </c>
      <c r="R13" s="3430">
        <f t="shared" si="9"/>
        <v>9300260</v>
      </c>
      <c r="S13" s="3430">
        <f t="shared" si="9"/>
        <v>134320</v>
      </c>
      <c r="T13" s="3430">
        <f t="shared" si="9"/>
        <v>26760</v>
      </c>
      <c r="U13" s="3430">
        <f t="shared" si="8"/>
        <v>0</v>
      </c>
      <c r="V13" s="3430">
        <f t="shared" si="8"/>
        <v>0</v>
      </c>
      <c r="W13" s="3430">
        <f t="shared" si="8"/>
        <v>0</v>
      </c>
      <c r="X13" s="1899">
        <f>SUM(Q13:W13)</f>
        <v>15287275</v>
      </c>
      <c r="Y13" s="1898"/>
      <c r="Z13" s="263"/>
    </row>
    <row r="14" spans="1:27" ht="13.5" customHeight="1">
      <c r="A14" s="1209"/>
      <c r="B14" s="1897" t="s">
        <v>29</v>
      </c>
      <c r="C14" s="3425"/>
      <c r="D14" s="3426">
        <f>+D15+D16</f>
        <v>85729964</v>
      </c>
      <c r="E14" s="253">
        <f t="shared" ref="E14:T14" si="10">+E15+E16</f>
        <v>0</v>
      </c>
      <c r="F14" s="253">
        <f t="shared" si="10"/>
        <v>0</v>
      </c>
      <c r="G14" s="253">
        <f t="shared" si="10"/>
        <v>0</v>
      </c>
      <c r="H14" s="253">
        <f t="shared" si="10"/>
        <v>0</v>
      </c>
      <c r="I14" s="253">
        <f t="shared" si="10"/>
        <v>0</v>
      </c>
      <c r="J14" s="253">
        <f t="shared" si="10"/>
        <v>0</v>
      </c>
      <c r="K14" s="253">
        <f t="shared" si="10"/>
        <v>0</v>
      </c>
      <c r="L14" s="253">
        <f t="shared" si="10"/>
        <v>0</v>
      </c>
      <c r="M14" s="3426">
        <f t="shared" si="10"/>
        <v>0</v>
      </c>
      <c r="N14" s="3426">
        <f>+N15+N16</f>
        <v>0</v>
      </c>
      <c r="O14" s="3426">
        <f>+O15+O16</f>
        <v>0</v>
      </c>
      <c r="P14" s="253">
        <f t="shared" si="10"/>
        <v>535812</v>
      </c>
      <c r="Q14" s="253">
        <f t="shared" si="10"/>
        <v>31630929</v>
      </c>
      <c r="R14" s="3426">
        <f t="shared" si="10"/>
        <v>52650451</v>
      </c>
      <c r="S14" s="253">
        <f t="shared" si="10"/>
        <v>761132</v>
      </c>
      <c r="T14" s="253">
        <f t="shared" si="10"/>
        <v>151640</v>
      </c>
      <c r="U14" s="253">
        <f>+U15+U16</f>
        <v>0</v>
      </c>
      <c r="V14" s="253">
        <f>+V15+V16</f>
        <v>0</v>
      </c>
      <c r="W14" s="253">
        <f>+W15+W16</f>
        <v>0</v>
      </c>
      <c r="X14" s="3427">
        <f>+X15</f>
        <v>85194152</v>
      </c>
      <c r="Y14" s="1898"/>
    </row>
    <row r="15" spans="1:27" ht="13.5" customHeight="1">
      <c r="A15" s="1209"/>
      <c r="B15" s="3428" t="s">
        <v>32</v>
      </c>
      <c r="C15" s="260"/>
      <c r="D15" s="191">
        <f>D44+D60+D67+D74+D83+D92+D101+D128+D110+D137+D146+D119+D157+D168+D179+D190+D199</f>
        <v>85729964</v>
      </c>
      <c r="E15" s="191">
        <f t="shared" ref="E15:W15" si="11">E44+E60+E67+E74+E83+E92+E101+E128+E110+E137+E146+E119+E157+E168+E179</f>
        <v>0</v>
      </c>
      <c r="F15" s="191">
        <f t="shared" si="11"/>
        <v>0</v>
      </c>
      <c r="G15" s="191">
        <f t="shared" si="11"/>
        <v>0</v>
      </c>
      <c r="H15" s="191">
        <f t="shared" si="11"/>
        <v>0</v>
      </c>
      <c r="I15" s="191">
        <f t="shared" si="11"/>
        <v>0</v>
      </c>
      <c r="J15" s="191">
        <f t="shared" si="11"/>
        <v>0</v>
      </c>
      <c r="K15" s="191">
        <f t="shared" si="11"/>
        <v>0</v>
      </c>
      <c r="L15" s="191">
        <f t="shared" si="11"/>
        <v>0</v>
      </c>
      <c r="M15" s="191">
        <f t="shared" si="11"/>
        <v>0</v>
      </c>
      <c r="N15" s="191">
        <f t="shared" si="11"/>
        <v>0</v>
      </c>
      <c r="O15" s="191">
        <f t="shared" si="11"/>
        <v>0</v>
      </c>
      <c r="P15" s="191">
        <f t="shared" ref="P15:V15" si="12">P44+P60+P67+P74+P83+P92+P101+P128+P110+P137+P146+P119+P157+P168+P179+P190+P199</f>
        <v>535812</v>
      </c>
      <c r="Q15" s="191">
        <f t="shared" si="12"/>
        <v>31630929</v>
      </c>
      <c r="R15" s="191">
        <f t="shared" si="12"/>
        <v>52650451</v>
      </c>
      <c r="S15" s="191">
        <f t="shared" si="12"/>
        <v>761132</v>
      </c>
      <c r="T15" s="191">
        <f t="shared" si="12"/>
        <v>151640</v>
      </c>
      <c r="U15" s="191">
        <f t="shared" si="12"/>
        <v>0</v>
      </c>
      <c r="V15" s="191">
        <f t="shared" si="12"/>
        <v>0</v>
      </c>
      <c r="W15" s="191">
        <f t="shared" si="11"/>
        <v>0</v>
      </c>
      <c r="X15" s="1899">
        <f>SUM(Q15:W15)</f>
        <v>85194152</v>
      </c>
      <c r="Y15" s="1898"/>
      <c r="Z15" s="263"/>
    </row>
    <row r="16" spans="1:27" ht="13.5" hidden="1" customHeight="1">
      <c r="A16" s="1209"/>
      <c r="B16" s="379" t="s">
        <v>31</v>
      </c>
      <c r="C16" s="3228"/>
      <c r="D16" s="191"/>
      <c r="E16" s="191"/>
      <c r="F16" s="191"/>
      <c r="G16" s="191"/>
      <c r="H16" s="191"/>
      <c r="I16" s="191"/>
      <c r="J16" s="191"/>
      <c r="K16" s="191"/>
      <c r="L16" s="191"/>
      <c r="M16" s="191"/>
      <c r="N16" s="191"/>
      <c r="O16" s="191"/>
      <c r="P16" s="191"/>
      <c r="Q16" s="191"/>
      <c r="R16" s="191"/>
      <c r="S16" s="191"/>
      <c r="T16" s="191"/>
      <c r="U16" s="191"/>
      <c r="V16" s="191"/>
      <c r="W16" s="191"/>
      <c r="X16" s="375"/>
      <c r="Y16" s="1898"/>
    </row>
    <row r="17" spans="1:28" ht="16.5" customHeight="1">
      <c r="A17" s="1209"/>
      <c r="B17" s="257" t="s">
        <v>33</v>
      </c>
      <c r="C17" s="26"/>
      <c r="D17" s="258">
        <f t="shared" ref="D17:S18" si="13">D18</f>
        <v>85729964</v>
      </c>
      <c r="E17" s="259">
        <f t="shared" si="13"/>
        <v>0</v>
      </c>
      <c r="F17" s="259">
        <f t="shared" si="13"/>
        <v>0</v>
      </c>
      <c r="G17" s="259">
        <f t="shared" si="13"/>
        <v>0</v>
      </c>
      <c r="H17" s="259">
        <f t="shared" si="13"/>
        <v>0</v>
      </c>
      <c r="I17" s="259">
        <f t="shared" si="13"/>
        <v>0</v>
      </c>
      <c r="J17" s="259">
        <f t="shared" si="13"/>
        <v>0</v>
      </c>
      <c r="K17" s="259">
        <f t="shared" si="13"/>
        <v>0</v>
      </c>
      <c r="L17" s="259">
        <f t="shared" si="13"/>
        <v>0</v>
      </c>
      <c r="M17" s="259">
        <f t="shared" si="13"/>
        <v>0</v>
      </c>
      <c r="N17" s="259">
        <f t="shared" si="13"/>
        <v>0</v>
      </c>
      <c r="O17" s="259">
        <f t="shared" si="13"/>
        <v>0</v>
      </c>
      <c r="P17" s="259">
        <f t="shared" si="13"/>
        <v>535812</v>
      </c>
      <c r="Q17" s="259">
        <f t="shared" si="13"/>
        <v>28509660</v>
      </c>
      <c r="R17" s="259">
        <f t="shared" si="13"/>
        <v>49309886</v>
      </c>
      <c r="S17" s="259">
        <f t="shared" si="13"/>
        <v>7012247</v>
      </c>
      <c r="T17" s="259">
        <f t="shared" ref="T17:W18" si="14">T18</f>
        <v>362359</v>
      </c>
      <c r="U17" s="259">
        <f t="shared" si="14"/>
        <v>0</v>
      </c>
      <c r="V17" s="259">
        <f t="shared" si="14"/>
        <v>0</v>
      </c>
      <c r="W17" s="259">
        <f t="shared" si="14"/>
        <v>0</v>
      </c>
      <c r="X17" s="3667" t="s">
        <v>75</v>
      </c>
      <c r="Y17" s="1898"/>
      <c r="Z17" s="263"/>
    </row>
    <row r="18" spans="1:28" ht="13.5" customHeight="1">
      <c r="A18" s="1209"/>
      <c r="B18" s="1897" t="s">
        <v>29</v>
      </c>
      <c r="C18" s="260"/>
      <c r="D18" s="300">
        <f>+D19+D20</f>
        <v>85729964</v>
      </c>
      <c r="E18" s="300">
        <f t="shared" si="13"/>
        <v>0</v>
      </c>
      <c r="F18" s="300">
        <f t="shared" si="13"/>
        <v>0</v>
      </c>
      <c r="G18" s="300">
        <f t="shared" si="13"/>
        <v>0</v>
      </c>
      <c r="H18" s="300">
        <f t="shared" si="13"/>
        <v>0</v>
      </c>
      <c r="I18" s="300">
        <f t="shared" si="13"/>
        <v>0</v>
      </c>
      <c r="J18" s="300">
        <f t="shared" si="13"/>
        <v>0</v>
      </c>
      <c r="K18" s="300">
        <f t="shared" si="13"/>
        <v>0</v>
      </c>
      <c r="L18" s="300">
        <f t="shared" si="13"/>
        <v>0</v>
      </c>
      <c r="M18" s="300">
        <f t="shared" si="13"/>
        <v>0</v>
      </c>
      <c r="N18" s="300">
        <f t="shared" si="13"/>
        <v>0</v>
      </c>
      <c r="O18" s="300">
        <f t="shared" si="13"/>
        <v>0</v>
      </c>
      <c r="P18" s="300">
        <f t="shared" si="13"/>
        <v>535812</v>
      </c>
      <c r="Q18" s="300">
        <f t="shared" si="13"/>
        <v>28509660</v>
      </c>
      <c r="R18" s="300">
        <f t="shared" si="13"/>
        <v>49309886</v>
      </c>
      <c r="S18" s="300">
        <f t="shared" si="13"/>
        <v>7012247</v>
      </c>
      <c r="T18" s="300">
        <f t="shared" si="14"/>
        <v>362359</v>
      </c>
      <c r="U18" s="300">
        <f t="shared" si="14"/>
        <v>0</v>
      </c>
      <c r="V18" s="300">
        <f t="shared" si="14"/>
        <v>0</v>
      </c>
      <c r="W18" s="300">
        <f t="shared" si="14"/>
        <v>0</v>
      </c>
      <c r="X18" s="3635"/>
      <c r="Y18" s="1898"/>
    </row>
    <row r="19" spans="1:28" ht="13.5" customHeight="1" thickBot="1">
      <c r="A19" s="1900"/>
      <c r="B19" s="3428" t="s">
        <v>32</v>
      </c>
      <c r="C19" s="260"/>
      <c r="D19" s="191">
        <f>D29+D47+D54+D63+D70+D38+D77+D86+D104+D113+D95+D131+D140+D149+D122+D162+D171+D184+D193+D202</f>
        <v>85729964</v>
      </c>
      <c r="E19" s="191">
        <f t="shared" ref="E19:P19" si="15">E29+E47+E54+E63+E70+E38+E77+E86+E104+E113+E95+E131+E140+E149+E122+E162+E171+E184</f>
        <v>0</v>
      </c>
      <c r="F19" s="191">
        <f t="shared" si="15"/>
        <v>0</v>
      </c>
      <c r="G19" s="191">
        <f t="shared" si="15"/>
        <v>0</v>
      </c>
      <c r="H19" s="191">
        <f t="shared" si="15"/>
        <v>0</v>
      </c>
      <c r="I19" s="191">
        <f t="shared" si="15"/>
        <v>0</v>
      </c>
      <c r="J19" s="191">
        <f t="shared" si="15"/>
        <v>0</v>
      </c>
      <c r="K19" s="191">
        <f t="shared" si="15"/>
        <v>0</v>
      </c>
      <c r="L19" s="191">
        <f t="shared" si="15"/>
        <v>0</v>
      </c>
      <c r="M19" s="191">
        <f t="shared" si="15"/>
        <v>0</v>
      </c>
      <c r="N19" s="191">
        <f t="shared" si="15"/>
        <v>0</v>
      </c>
      <c r="O19" s="191">
        <f t="shared" si="15"/>
        <v>0</v>
      </c>
      <c r="P19" s="191">
        <f t="shared" si="15"/>
        <v>535812</v>
      </c>
      <c r="Q19" s="191">
        <f t="shared" ref="Q19:W19" si="16">Q29+Q47+Q54+Q63+Q70+Q38+Q77+Q86+Q104+Q113+Q95+Q131+Q140+Q149+Q122+Q162+Q171+Q184+Q193+Q202</f>
        <v>28509660</v>
      </c>
      <c r="R19" s="191">
        <f t="shared" si="16"/>
        <v>49309886</v>
      </c>
      <c r="S19" s="191">
        <f t="shared" si="16"/>
        <v>7012247</v>
      </c>
      <c r="T19" s="191">
        <f t="shared" si="16"/>
        <v>362359</v>
      </c>
      <c r="U19" s="191">
        <f t="shared" si="16"/>
        <v>0</v>
      </c>
      <c r="V19" s="191">
        <f t="shared" si="16"/>
        <v>0</v>
      </c>
      <c r="W19" s="191">
        <f t="shared" si="16"/>
        <v>0</v>
      </c>
      <c r="X19" s="3635"/>
      <c r="Y19" s="1898"/>
      <c r="Z19" s="263">
        <f>D19-D15</f>
        <v>0</v>
      </c>
    </row>
    <row r="20" spans="1:28" ht="13.5" hidden="1" customHeight="1" thickBot="1">
      <c r="A20" s="1900"/>
      <c r="B20" s="1901" t="s">
        <v>31</v>
      </c>
      <c r="C20" s="1901"/>
      <c r="D20" s="1901"/>
      <c r="E20" s="1901"/>
      <c r="F20" s="1901"/>
      <c r="G20" s="1901"/>
      <c r="H20" s="1901"/>
      <c r="I20" s="1901"/>
      <c r="J20" s="1901"/>
      <c r="K20" s="1901"/>
      <c r="L20" s="1901"/>
      <c r="M20" s="1901"/>
      <c r="N20" s="1901"/>
      <c r="O20" s="1901"/>
      <c r="P20" s="1901"/>
      <c r="Q20" s="1901"/>
      <c r="R20" s="1901"/>
      <c r="S20" s="1901"/>
      <c r="T20" s="1901"/>
      <c r="U20" s="1901"/>
      <c r="V20" s="1901"/>
      <c r="W20" s="326"/>
      <c r="X20" s="3636"/>
      <c r="Y20" s="1898"/>
    </row>
    <row r="21" spans="1:28" ht="42" hidden="1" customHeight="1">
      <c r="A21" s="3935" t="s">
        <v>77</v>
      </c>
      <c r="B21" s="1262"/>
      <c r="C21" s="1263" t="s">
        <v>125</v>
      </c>
      <c r="D21" s="1902"/>
      <c r="E21" s="1903"/>
      <c r="F21" s="1903"/>
      <c r="G21" s="1903"/>
      <c r="H21" s="1903"/>
      <c r="I21" s="1903"/>
      <c r="J21" s="1903"/>
      <c r="K21" s="1903"/>
      <c r="L21" s="1904"/>
      <c r="M21" s="1904"/>
      <c r="N21" s="1904"/>
      <c r="O21" s="1904"/>
      <c r="P21" s="1905"/>
      <c r="Q21" s="1905"/>
      <c r="R21" s="1905"/>
      <c r="S21" s="1905"/>
      <c r="T21" s="1904"/>
      <c r="U21" s="1904"/>
      <c r="V21" s="1904"/>
      <c r="W21" s="1904"/>
      <c r="X21" s="1906"/>
      <c r="Y21" s="3863" t="s">
        <v>283</v>
      </c>
    </row>
    <row r="22" spans="1:28" ht="17.25" hidden="1" customHeight="1">
      <c r="A22" s="3936"/>
      <c r="B22" s="38" t="s">
        <v>21</v>
      </c>
      <c r="C22" s="26"/>
      <c r="D22" s="258">
        <f t="shared" ref="D22:M22" si="17">+D23+D25</f>
        <v>0</v>
      </c>
      <c r="E22" s="259">
        <f t="shared" si="17"/>
        <v>0</v>
      </c>
      <c r="F22" s="259">
        <f t="shared" si="17"/>
        <v>0</v>
      </c>
      <c r="G22" s="259">
        <f t="shared" si="17"/>
        <v>0</v>
      </c>
      <c r="H22" s="259">
        <f t="shared" si="17"/>
        <v>0</v>
      </c>
      <c r="I22" s="259">
        <f t="shared" si="17"/>
        <v>0</v>
      </c>
      <c r="J22" s="259">
        <f t="shared" si="17"/>
        <v>0</v>
      </c>
      <c r="K22" s="259">
        <f t="shared" si="17"/>
        <v>0</v>
      </c>
      <c r="L22" s="259">
        <f t="shared" si="17"/>
        <v>0</v>
      </c>
      <c r="M22" s="259">
        <f t="shared" si="17"/>
        <v>0</v>
      </c>
      <c r="N22" s="259">
        <f t="shared" ref="N22:T22" si="18">+N23+N25</f>
        <v>0</v>
      </c>
      <c r="O22" s="259">
        <f t="shared" si="18"/>
        <v>0</v>
      </c>
      <c r="P22" s="259">
        <f t="shared" si="18"/>
        <v>0</v>
      </c>
      <c r="Q22" s="259">
        <f t="shared" si="18"/>
        <v>0</v>
      </c>
      <c r="R22" s="259">
        <f t="shared" si="18"/>
        <v>0</v>
      </c>
      <c r="S22" s="259">
        <f t="shared" si="18"/>
        <v>0</v>
      </c>
      <c r="T22" s="259">
        <f t="shared" si="18"/>
        <v>0</v>
      </c>
      <c r="U22" s="259">
        <f>U23+U25</f>
        <v>0</v>
      </c>
      <c r="V22" s="259">
        <f>V23+V25</f>
        <v>0</v>
      </c>
      <c r="W22" s="259">
        <f>W23+W25</f>
        <v>0</v>
      </c>
      <c r="X22" s="80">
        <f>+X23+X25</f>
        <v>0</v>
      </c>
      <c r="Y22" s="3864"/>
      <c r="Z22" s="263"/>
      <c r="AA22" s="263"/>
    </row>
    <row r="23" spans="1:28" ht="14.25" hidden="1" customHeight="1">
      <c r="A23" s="3936"/>
      <c r="B23" s="1269" t="s">
        <v>35</v>
      </c>
      <c r="C23" s="3624" t="s">
        <v>215</v>
      </c>
      <c r="D23" s="1907">
        <f>+D24</f>
        <v>0</v>
      </c>
      <c r="E23" s="1907">
        <f t="shared" ref="E23:J23" si="19">+E24</f>
        <v>0</v>
      </c>
      <c r="F23" s="1907">
        <f t="shared" si="19"/>
        <v>0</v>
      </c>
      <c r="G23" s="1907">
        <f t="shared" si="19"/>
        <v>0</v>
      </c>
      <c r="H23" s="1907">
        <f t="shared" si="19"/>
        <v>0</v>
      </c>
      <c r="I23" s="1907">
        <f t="shared" si="19"/>
        <v>0</v>
      </c>
      <c r="J23" s="1907">
        <f t="shared" si="19"/>
        <v>0</v>
      </c>
      <c r="K23" s="261">
        <f>+K24</f>
        <v>0</v>
      </c>
      <c r="L23" s="1264">
        <f>+L24</f>
        <v>0</v>
      </c>
      <c r="M23" s="1264">
        <f>+M24</f>
        <v>0</v>
      </c>
      <c r="N23" s="1264">
        <f>+N24</f>
        <v>0</v>
      </c>
      <c r="O23" s="1907">
        <f t="shared" ref="O23:W23" si="20">+O24</f>
        <v>0</v>
      </c>
      <c r="P23" s="1907">
        <f t="shared" si="20"/>
        <v>0</v>
      </c>
      <c r="Q23" s="1907">
        <f t="shared" si="20"/>
        <v>0</v>
      </c>
      <c r="R23" s="1907">
        <f t="shared" si="20"/>
        <v>0</v>
      </c>
      <c r="S23" s="1907">
        <f t="shared" si="20"/>
        <v>0</v>
      </c>
      <c r="T23" s="1907">
        <f t="shared" si="20"/>
        <v>0</v>
      </c>
      <c r="U23" s="1907">
        <f t="shared" si="20"/>
        <v>0</v>
      </c>
      <c r="V23" s="1907">
        <f t="shared" si="20"/>
        <v>0</v>
      </c>
      <c r="W23" s="1907">
        <f t="shared" si="20"/>
        <v>0</v>
      </c>
      <c r="X23" s="1908">
        <f>+X24</f>
        <v>0</v>
      </c>
      <c r="Y23" s="4129"/>
      <c r="AA23" s="263"/>
      <c r="AB23" s="263"/>
    </row>
    <row r="24" spans="1:28" ht="13.5" hidden="1" customHeight="1">
      <c r="A24" s="3936"/>
      <c r="B24" s="1909" t="s">
        <v>23</v>
      </c>
      <c r="C24" s="3625"/>
      <c r="D24" s="66">
        <f>+M24+O24+P24+Q24+R24+S24+T24+U24+V24+W24</f>
        <v>0</v>
      </c>
      <c r="E24" s="59">
        <v>0</v>
      </c>
      <c r="F24" s="60"/>
      <c r="G24" s="60"/>
      <c r="H24" s="59"/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/>
      <c r="O24" s="59">
        <v>0</v>
      </c>
      <c r="P24" s="59">
        <v>0</v>
      </c>
      <c r="Q24" s="59">
        <v>0</v>
      </c>
      <c r="R24" s="59">
        <v>0</v>
      </c>
      <c r="S24" s="59">
        <v>0</v>
      </c>
      <c r="T24" s="59">
        <v>0</v>
      </c>
      <c r="U24" s="59">
        <v>0</v>
      </c>
      <c r="V24" s="59">
        <v>0</v>
      </c>
      <c r="W24" s="59">
        <v>0</v>
      </c>
      <c r="X24" s="375">
        <f>+P24+Q24+R24+S24</f>
        <v>0</v>
      </c>
      <c r="Y24" s="4129"/>
    </row>
    <row r="25" spans="1:28" ht="14.25" hidden="1" customHeight="1">
      <c r="A25" s="3936"/>
      <c r="B25" s="1910" t="s">
        <v>29</v>
      </c>
      <c r="C25" s="3625"/>
      <c r="D25" s="61">
        <f t="shared" ref="D25:X25" si="21">+D26</f>
        <v>0</v>
      </c>
      <c r="E25" s="62">
        <f t="shared" si="21"/>
        <v>0</v>
      </c>
      <c r="F25" s="62">
        <f t="shared" si="21"/>
        <v>0</v>
      </c>
      <c r="G25" s="62">
        <f t="shared" si="21"/>
        <v>0</v>
      </c>
      <c r="H25" s="62">
        <f t="shared" si="21"/>
        <v>0</v>
      </c>
      <c r="I25" s="131">
        <f t="shared" si="21"/>
        <v>0</v>
      </c>
      <c r="J25" s="131">
        <f t="shared" si="21"/>
        <v>0</v>
      </c>
      <c r="K25" s="131">
        <f t="shared" si="21"/>
        <v>0</v>
      </c>
      <c r="L25" s="1265">
        <f t="shared" si="21"/>
        <v>0</v>
      </c>
      <c r="M25" s="1265">
        <f t="shared" si="21"/>
        <v>0</v>
      </c>
      <c r="N25" s="1265">
        <f t="shared" si="21"/>
        <v>0</v>
      </c>
      <c r="O25" s="131">
        <f t="shared" ref="O25:W25" si="22">+O26</f>
        <v>0</v>
      </c>
      <c r="P25" s="131">
        <f t="shared" si="22"/>
        <v>0</v>
      </c>
      <c r="Q25" s="131">
        <f t="shared" si="22"/>
        <v>0</v>
      </c>
      <c r="R25" s="131">
        <f t="shared" si="22"/>
        <v>0</v>
      </c>
      <c r="S25" s="131">
        <f t="shared" si="22"/>
        <v>0</v>
      </c>
      <c r="T25" s="131">
        <f t="shared" si="22"/>
        <v>0</v>
      </c>
      <c r="U25" s="131">
        <f t="shared" si="22"/>
        <v>0</v>
      </c>
      <c r="V25" s="131">
        <f t="shared" si="22"/>
        <v>0</v>
      </c>
      <c r="W25" s="131">
        <f t="shared" si="22"/>
        <v>0</v>
      </c>
      <c r="X25" s="99">
        <f t="shared" si="21"/>
        <v>0</v>
      </c>
      <c r="Y25" s="4129"/>
    </row>
    <row r="26" spans="1:28" ht="12" hidden="1" customHeight="1">
      <c r="A26" s="3936"/>
      <c r="B26" s="1911" t="s">
        <v>32</v>
      </c>
      <c r="C26" s="4150"/>
      <c r="D26" s="66">
        <f>+M26+O26+P26+Q26+R26+S26+T26+U26+V26+W26</f>
        <v>0</v>
      </c>
      <c r="E26" s="57">
        <v>0</v>
      </c>
      <c r="F26" s="379">
        <v>0</v>
      </c>
      <c r="G26" s="379"/>
      <c r="H26" s="57"/>
      <c r="I26" s="57">
        <v>0</v>
      </c>
      <c r="J26" s="57">
        <v>0</v>
      </c>
      <c r="K26" s="57">
        <v>0</v>
      </c>
      <c r="L26" s="57">
        <v>0</v>
      </c>
      <c r="M26" s="59">
        <v>0</v>
      </c>
      <c r="N26" s="57"/>
      <c r="O26" s="57">
        <v>0</v>
      </c>
      <c r="P26" s="57">
        <v>0</v>
      </c>
      <c r="Q26" s="57">
        <v>0</v>
      </c>
      <c r="R26" s="57">
        <v>0</v>
      </c>
      <c r="S26" s="57">
        <v>0</v>
      </c>
      <c r="T26" s="57">
        <v>0</v>
      </c>
      <c r="U26" s="57">
        <v>0</v>
      </c>
      <c r="V26" s="57">
        <v>0</v>
      </c>
      <c r="W26" s="57">
        <v>0</v>
      </c>
      <c r="X26" s="375">
        <f>+P26+Q26+R26+S26</f>
        <v>0</v>
      </c>
      <c r="Y26" s="4129"/>
    </row>
    <row r="27" spans="1:28" ht="14.25" hidden="1" customHeight="1">
      <c r="A27" s="3936"/>
      <c r="B27" s="25" t="s">
        <v>33</v>
      </c>
      <c r="C27" s="1266"/>
      <c r="D27" s="258">
        <f>+D28</f>
        <v>0</v>
      </c>
      <c r="E27" s="259">
        <f t="shared" ref="E27:U28" si="23">+E28</f>
        <v>0</v>
      </c>
      <c r="F27" s="259">
        <f t="shared" si="23"/>
        <v>0</v>
      </c>
      <c r="G27" s="259">
        <f t="shared" si="23"/>
        <v>0</v>
      </c>
      <c r="H27" s="259">
        <f t="shared" si="23"/>
        <v>0</v>
      </c>
      <c r="I27" s="259">
        <f t="shared" si="23"/>
        <v>0</v>
      </c>
      <c r="J27" s="259">
        <f t="shared" si="23"/>
        <v>0</v>
      </c>
      <c r="K27" s="259">
        <f t="shared" si="23"/>
        <v>0</v>
      </c>
      <c r="L27" s="259">
        <f t="shared" si="23"/>
        <v>0</v>
      </c>
      <c r="M27" s="259">
        <f t="shared" si="23"/>
        <v>0</v>
      </c>
      <c r="N27" s="259">
        <f t="shared" si="23"/>
        <v>0</v>
      </c>
      <c r="O27" s="259">
        <f t="shared" si="23"/>
        <v>0</v>
      </c>
      <c r="P27" s="259">
        <f t="shared" si="23"/>
        <v>0</v>
      </c>
      <c r="Q27" s="259">
        <f t="shared" si="23"/>
        <v>0</v>
      </c>
      <c r="R27" s="259">
        <f t="shared" si="23"/>
        <v>0</v>
      </c>
      <c r="S27" s="259">
        <f t="shared" si="23"/>
        <v>0</v>
      </c>
      <c r="T27" s="259">
        <f t="shared" si="23"/>
        <v>0</v>
      </c>
      <c r="U27" s="259">
        <f t="shared" si="23"/>
        <v>0</v>
      </c>
      <c r="V27" s="259">
        <f>+V28</f>
        <v>0</v>
      </c>
      <c r="W27" s="259">
        <f>+W28</f>
        <v>0</v>
      </c>
      <c r="X27" s="3667" t="s">
        <v>75</v>
      </c>
      <c r="Y27" s="4129"/>
    </row>
    <row r="28" spans="1:28" ht="14.25" hidden="1" customHeight="1">
      <c r="A28" s="3936"/>
      <c r="B28" s="885" t="s">
        <v>29</v>
      </c>
      <c r="C28" s="4151" t="s">
        <v>216</v>
      </c>
      <c r="D28" s="61">
        <f>+D29</f>
        <v>0</v>
      </c>
      <c r="E28" s="62">
        <f t="shared" si="23"/>
        <v>0</v>
      </c>
      <c r="F28" s="62">
        <f t="shared" si="23"/>
        <v>0</v>
      </c>
      <c r="G28" s="62">
        <f t="shared" si="23"/>
        <v>0</v>
      </c>
      <c r="H28" s="62">
        <f t="shared" si="23"/>
        <v>0</v>
      </c>
      <c r="I28" s="62">
        <f t="shared" si="23"/>
        <v>0</v>
      </c>
      <c r="J28" s="62">
        <f t="shared" si="23"/>
        <v>0</v>
      </c>
      <c r="K28" s="62">
        <f t="shared" si="23"/>
        <v>0</v>
      </c>
      <c r="L28" s="62">
        <f t="shared" si="23"/>
        <v>0</v>
      </c>
      <c r="M28" s="62">
        <f t="shared" si="23"/>
        <v>0</v>
      </c>
      <c r="N28" s="62">
        <f t="shared" si="23"/>
        <v>0</v>
      </c>
      <c r="O28" s="62">
        <f t="shared" si="23"/>
        <v>0</v>
      </c>
      <c r="P28" s="62">
        <f t="shared" si="23"/>
        <v>0</v>
      </c>
      <c r="Q28" s="62">
        <f t="shared" si="23"/>
        <v>0</v>
      </c>
      <c r="R28" s="62">
        <f t="shared" si="23"/>
        <v>0</v>
      </c>
      <c r="S28" s="62">
        <f t="shared" si="23"/>
        <v>0</v>
      </c>
      <c r="T28" s="62">
        <f t="shared" si="23"/>
        <v>0</v>
      </c>
      <c r="U28" s="62">
        <f t="shared" si="23"/>
        <v>0</v>
      </c>
      <c r="V28" s="62">
        <f>+V29</f>
        <v>0</v>
      </c>
      <c r="W28" s="62">
        <f>+W29</f>
        <v>0</v>
      </c>
      <c r="X28" s="3635"/>
      <c r="Y28" s="4129"/>
    </row>
    <row r="29" spans="1:28" ht="15.75" hidden="1" customHeight="1" thickBot="1">
      <c r="A29" s="3937"/>
      <c r="B29" s="3197" t="s">
        <v>32</v>
      </c>
      <c r="C29" s="4152"/>
      <c r="D29" s="66">
        <f>+M29+O29+P29+Q29+R29+S29+T29+U29+V29+W29</f>
        <v>0</v>
      </c>
      <c r="E29" s="57"/>
      <c r="F29" s="379"/>
      <c r="G29" s="379"/>
      <c r="H29" s="57"/>
      <c r="I29" s="57">
        <v>0</v>
      </c>
      <c r="J29" s="57">
        <v>0</v>
      </c>
      <c r="K29" s="57">
        <v>0</v>
      </c>
      <c r="L29" s="57">
        <v>0</v>
      </c>
      <c r="M29" s="59">
        <v>0</v>
      </c>
      <c r="N29" s="57"/>
      <c r="O29" s="57">
        <v>0</v>
      </c>
      <c r="P29" s="89">
        <v>0</v>
      </c>
      <c r="Q29" s="89">
        <v>0</v>
      </c>
      <c r="R29" s="89">
        <v>0</v>
      </c>
      <c r="S29" s="89">
        <v>0</v>
      </c>
      <c r="T29" s="89">
        <v>0</v>
      </c>
      <c r="U29" s="89">
        <v>0</v>
      </c>
      <c r="V29" s="89">
        <v>0</v>
      </c>
      <c r="W29" s="89">
        <v>0</v>
      </c>
      <c r="X29" s="3635"/>
      <c r="Y29" s="4130"/>
      <c r="AA29" s="263"/>
    </row>
    <row r="30" spans="1:28" ht="42.75" hidden="1" customHeight="1">
      <c r="A30" s="4145" t="s">
        <v>78</v>
      </c>
      <c r="B30" s="233"/>
      <c r="C30" s="3210" t="s">
        <v>95</v>
      </c>
      <c r="D30" s="1902"/>
      <c r="E30" s="1903"/>
      <c r="F30" s="1903"/>
      <c r="G30" s="1903"/>
      <c r="H30" s="1903"/>
      <c r="I30" s="1903"/>
      <c r="J30" s="1903"/>
      <c r="K30" s="1903"/>
      <c r="L30" s="1904"/>
      <c r="M30" s="1904"/>
      <c r="N30" s="1904"/>
      <c r="O30" s="1904"/>
      <c r="P30" s="1905"/>
      <c r="Q30" s="1905"/>
      <c r="R30" s="1905"/>
      <c r="S30" s="1905"/>
      <c r="T30" s="1904"/>
      <c r="U30" s="1904"/>
      <c r="V30" s="1904"/>
      <c r="W30" s="1904"/>
      <c r="X30" s="1906"/>
      <c r="Y30" s="3863" t="s">
        <v>283</v>
      </c>
    </row>
    <row r="31" spans="1:28" ht="15.75" hidden="1" customHeight="1">
      <c r="A31" s="4146"/>
      <c r="B31" s="38" t="s">
        <v>21</v>
      </c>
      <c r="C31" s="26"/>
      <c r="D31" s="258">
        <f t="shared" ref="D31:M31" si="24">+D32+D34</f>
        <v>0</v>
      </c>
      <c r="E31" s="259">
        <f t="shared" si="24"/>
        <v>0</v>
      </c>
      <c r="F31" s="259">
        <f t="shared" si="24"/>
        <v>0</v>
      </c>
      <c r="G31" s="259">
        <f t="shared" si="24"/>
        <v>0</v>
      </c>
      <c r="H31" s="259">
        <f t="shared" si="24"/>
        <v>0</v>
      </c>
      <c r="I31" s="259">
        <f t="shared" si="24"/>
        <v>0</v>
      </c>
      <c r="J31" s="259">
        <f t="shared" si="24"/>
        <v>0</v>
      </c>
      <c r="K31" s="259">
        <f t="shared" si="24"/>
        <v>0</v>
      </c>
      <c r="L31" s="259">
        <f t="shared" si="24"/>
        <v>0</v>
      </c>
      <c r="M31" s="259">
        <f t="shared" si="24"/>
        <v>0</v>
      </c>
      <c r="N31" s="259">
        <f>+N32+N34</f>
        <v>0</v>
      </c>
      <c r="O31" s="259">
        <f>+O32+O34</f>
        <v>0</v>
      </c>
      <c r="P31" s="259">
        <f t="shared" ref="P31:W31" si="25">+P32+P34</f>
        <v>0</v>
      </c>
      <c r="Q31" s="259">
        <f t="shared" si="25"/>
        <v>0</v>
      </c>
      <c r="R31" s="259">
        <f t="shared" si="25"/>
        <v>0</v>
      </c>
      <c r="S31" s="259">
        <f t="shared" si="25"/>
        <v>0</v>
      </c>
      <c r="T31" s="259">
        <f t="shared" si="25"/>
        <v>0</v>
      </c>
      <c r="U31" s="259">
        <f t="shared" si="25"/>
        <v>0</v>
      </c>
      <c r="V31" s="259">
        <f t="shared" si="25"/>
        <v>0</v>
      </c>
      <c r="W31" s="259">
        <f t="shared" si="25"/>
        <v>0</v>
      </c>
      <c r="X31" s="80">
        <f>+X32+X34</f>
        <v>0</v>
      </c>
      <c r="Y31" s="3864"/>
    </row>
    <row r="32" spans="1:28" ht="15.75" hidden="1" customHeight="1">
      <c r="A32" s="4146"/>
      <c r="B32" s="1269" t="s">
        <v>35</v>
      </c>
      <c r="C32" s="3624" t="s">
        <v>215</v>
      </c>
      <c r="D32" s="1907">
        <f>+D33</f>
        <v>0</v>
      </c>
      <c r="E32" s="1907">
        <f t="shared" ref="E32:J32" si="26">+E33</f>
        <v>0</v>
      </c>
      <c r="F32" s="1907">
        <f t="shared" si="26"/>
        <v>0</v>
      </c>
      <c r="G32" s="1907">
        <f t="shared" si="26"/>
        <v>0</v>
      </c>
      <c r="H32" s="1907">
        <f t="shared" si="26"/>
        <v>0</v>
      </c>
      <c r="I32" s="1907">
        <f t="shared" si="26"/>
        <v>0</v>
      </c>
      <c r="J32" s="1907">
        <f t="shared" si="26"/>
        <v>0</v>
      </c>
      <c r="K32" s="261">
        <f>+K33</f>
        <v>0</v>
      </c>
      <c r="L32" s="1264">
        <f>+L33</f>
        <v>0</v>
      </c>
      <c r="M32" s="1264">
        <f>+M33</f>
        <v>0</v>
      </c>
      <c r="N32" s="1264">
        <f>+N33</f>
        <v>0</v>
      </c>
      <c r="O32" s="1907">
        <f t="shared" ref="O32:W32" si="27">+O33</f>
        <v>0</v>
      </c>
      <c r="P32" s="1907">
        <f t="shared" si="27"/>
        <v>0</v>
      </c>
      <c r="Q32" s="1907">
        <f t="shared" si="27"/>
        <v>0</v>
      </c>
      <c r="R32" s="1907">
        <f t="shared" si="27"/>
        <v>0</v>
      </c>
      <c r="S32" s="1907">
        <f t="shared" si="27"/>
        <v>0</v>
      </c>
      <c r="T32" s="1907">
        <f t="shared" si="27"/>
        <v>0</v>
      </c>
      <c r="U32" s="1907">
        <f t="shared" si="27"/>
        <v>0</v>
      </c>
      <c r="V32" s="1907">
        <f t="shared" si="27"/>
        <v>0</v>
      </c>
      <c r="W32" s="1907">
        <f t="shared" si="27"/>
        <v>0</v>
      </c>
      <c r="X32" s="1908">
        <f>+X33</f>
        <v>0</v>
      </c>
      <c r="Y32" s="4129"/>
    </row>
    <row r="33" spans="1:26" ht="15.75" hidden="1" customHeight="1">
      <c r="A33" s="4146"/>
      <c r="B33" s="1909" t="s">
        <v>23</v>
      </c>
      <c r="C33" s="3625"/>
      <c r="D33" s="66">
        <f>+M33+O33+P33+Q33+R33+S33+T33+U33+V33+W33</f>
        <v>0</v>
      </c>
      <c r="E33" s="59">
        <v>0</v>
      </c>
      <c r="F33" s="60"/>
      <c r="G33" s="60"/>
      <c r="H33" s="59"/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/>
      <c r="O33" s="59">
        <v>0</v>
      </c>
      <c r="P33" s="59">
        <v>0</v>
      </c>
      <c r="Q33" s="59">
        <v>0</v>
      </c>
      <c r="R33" s="59">
        <v>0</v>
      </c>
      <c r="S33" s="59">
        <v>0</v>
      </c>
      <c r="T33" s="59">
        <v>0</v>
      </c>
      <c r="U33" s="59">
        <v>0</v>
      </c>
      <c r="V33" s="59">
        <v>0</v>
      </c>
      <c r="W33" s="59">
        <v>0</v>
      </c>
      <c r="X33" s="375">
        <f>+P33+Q33+R33+S33</f>
        <v>0</v>
      </c>
      <c r="Y33" s="4129"/>
    </row>
    <row r="34" spans="1:26" ht="12" hidden="1">
      <c r="A34" s="4146"/>
      <c r="B34" s="1909" t="s">
        <v>29</v>
      </c>
      <c r="C34" s="3625"/>
      <c r="D34" s="61">
        <f t="shared" ref="D34:X34" si="28">+D35</f>
        <v>0</v>
      </c>
      <c r="E34" s="62">
        <f t="shared" si="28"/>
        <v>0</v>
      </c>
      <c r="F34" s="62">
        <f t="shared" si="28"/>
        <v>0</v>
      </c>
      <c r="G34" s="62">
        <f t="shared" si="28"/>
        <v>0</v>
      </c>
      <c r="H34" s="62">
        <f t="shared" si="28"/>
        <v>0</v>
      </c>
      <c r="I34" s="131">
        <f t="shared" si="28"/>
        <v>0</v>
      </c>
      <c r="J34" s="131">
        <f t="shared" si="28"/>
        <v>0</v>
      </c>
      <c r="K34" s="131">
        <f t="shared" si="28"/>
        <v>0</v>
      </c>
      <c r="L34" s="1265">
        <f t="shared" si="28"/>
        <v>0</v>
      </c>
      <c r="M34" s="1265">
        <f t="shared" si="28"/>
        <v>0</v>
      </c>
      <c r="N34" s="1265">
        <f t="shared" si="28"/>
        <v>0</v>
      </c>
      <c r="O34" s="131">
        <f t="shared" si="28"/>
        <v>0</v>
      </c>
      <c r="P34" s="131">
        <f t="shared" si="28"/>
        <v>0</v>
      </c>
      <c r="Q34" s="131">
        <f t="shared" si="28"/>
        <v>0</v>
      </c>
      <c r="R34" s="131">
        <f t="shared" si="28"/>
        <v>0</v>
      </c>
      <c r="S34" s="131">
        <f t="shared" si="28"/>
        <v>0</v>
      </c>
      <c r="T34" s="131">
        <f t="shared" si="28"/>
        <v>0</v>
      </c>
      <c r="U34" s="131">
        <f t="shared" si="28"/>
        <v>0</v>
      </c>
      <c r="V34" s="131">
        <f t="shared" si="28"/>
        <v>0</v>
      </c>
      <c r="W34" s="131">
        <f t="shared" si="28"/>
        <v>0</v>
      </c>
      <c r="X34" s="99">
        <f t="shared" si="28"/>
        <v>0</v>
      </c>
      <c r="Y34" s="4129"/>
    </row>
    <row r="35" spans="1:26" ht="12.75" hidden="1" customHeight="1">
      <c r="A35" s="4146"/>
      <c r="B35" s="1909" t="s">
        <v>32</v>
      </c>
      <c r="C35" s="3625"/>
      <c r="D35" s="66">
        <f>+M35+O35+P35+Q35+R35+S35+T35+U35+V35+W35</f>
        <v>0</v>
      </c>
      <c r="E35" s="57">
        <v>0</v>
      </c>
      <c r="F35" s="379">
        <v>0</v>
      </c>
      <c r="G35" s="379"/>
      <c r="H35" s="57"/>
      <c r="I35" s="57">
        <v>0</v>
      </c>
      <c r="J35" s="57">
        <v>0</v>
      </c>
      <c r="K35" s="57">
        <v>0</v>
      </c>
      <c r="L35" s="57">
        <v>0</v>
      </c>
      <c r="M35" s="59">
        <v>0</v>
      </c>
      <c r="N35" s="57"/>
      <c r="O35" s="57">
        <v>0</v>
      </c>
      <c r="P35" s="57">
        <v>0</v>
      </c>
      <c r="Q35" s="57">
        <v>0</v>
      </c>
      <c r="R35" s="57">
        <v>0</v>
      </c>
      <c r="S35" s="57">
        <v>0</v>
      </c>
      <c r="T35" s="57">
        <v>0</v>
      </c>
      <c r="U35" s="57">
        <v>0</v>
      </c>
      <c r="V35" s="57">
        <v>0</v>
      </c>
      <c r="W35" s="57">
        <v>0</v>
      </c>
      <c r="X35" s="375">
        <f>+P35+Q35+R35+S35</f>
        <v>0</v>
      </c>
      <c r="Y35" s="4129"/>
    </row>
    <row r="36" spans="1:26" ht="13.5" hidden="1" customHeight="1">
      <c r="A36" s="4146"/>
      <c r="B36" s="38" t="s">
        <v>33</v>
      </c>
      <c r="C36" s="26"/>
      <c r="D36" s="258">
        <f>+D37</f>
        <v>0</v>
      </c>
      <c r="E36" s="259">
        <f t="shared" ref="E36:U37" si="29">+E37</f>
        <v>0</v>
      </c>
      <c r="F36" s="259">
        <f t="shared" si="29"/>
        <v>0</v>
      </c>
      <c r="G36" s="259">
        <f t="shared" si="29"/>
        <v>0</v>
      </c>
      <c r="H36" s="259">
        <f t="shared" si="29"/>
        <v>0</v>
      </c>
      <c r="I36" s="259">
        <f t="shared" si="29"/>
        <v>0</v>
      </c>
      <c r="J36" s="259">
        <f t="shared" si="29"/>
        <v>0</v>
      </c>
      <c r="K36" s="259">
        <f t="shared" si="29"/>
        <v>0</v>
      </c>
      <c r="L36" s="258">
        <f t="shared" si="29"/>
        <v>0</v>
      </c>
      <c r="M36" s="258">
        <f t="shared" si="29"/>
        <v>0</v>
      </c>
      <c r="N36" s="258">
        <f t="shared" si="29"/>
        <v>0</v>
      </c>
      <c r="O36" s="258">
        <f t="shared" si="29"/>
        <v>0</v>
      </c>
      <c r="P36" s="259">
        <f t="shared" si="29"/>
        <v>0</v>
      </c>
      <c r="Q36" s="259">
        <f t="shared" si="29"/>
        <v>0</v>
      </c>
      <c r="R36" s="259">
        <f t="shared" si="29"/>
        <v>0</v>
      </c>
      <c r="S36" s="259">
        <f t="shared" si="29"/>
        <v>0</v>
      </c>
      <c r="T36" s="259">
        <f t="shared" si="29"/>
        <v>0</v>
      </c>
      <c r="U36" s="259">
        <f t="shared" si="29"/>
        <v>0</v>
      </c>
      <c r="V36" s="259">
        <f>+V37</f>
        <v>0</v>
      </c>
      <c r="W36" s="259">
        <f>+W37</f>
        <v>0</v>
      </c>
      <c r="X36" s="3667" t="s">
        <v>75</v>
      </c>
      <c r="Y36" s="4129"/>
    </row>
    <row r="37" spans="1:26" ht="13.5" hidden="1" customHeight="1">
      <c r="A37" s="4146"/>
      <c r="B37" s="978" t="s">
        <v>29</v>
      </c>
      <c r="C37" s="3612" t="s">
        <v>216</v>
      </c>
      <c r="D37" s="61">
        <f>+D38</f>
        <v>0</v>
      </c>
      <c r="E37" s="62">
        <f t="shared" si="29"/>
        <v>0</v>
      </c>
      <c r="F37" s="62">
        <f t="shared" si="29"/>
        <v>0</v>
      </c>
      <c r="G37" s="62">
        <f t="shared" si="29"/>
        <v>0</v>
      </c>
      <c r="H37" s="62">
        <f t="shared" si="29"/>
        <v>0</v>
      </c>
      <c r="I37" s="62">
        <f t="shared" si="29"/>
        <v>0</v>
      </c>
      <c r="J37" s="62">
        <f t="shared" si="29"/>
        <v>0</v>
      </c>
      <c r="K37" s="62">
        <f t="shared" si="29"/>
        <v>0</v>
      </c>
      <c r="L37" s="62">
        <f t="shared" si="29"/>
        <v>0</v>
      </c>
      <c r="M37" s="62">
        <f t="shared" si="29"/>
        <v>0</v>
      </c>
      <c r="N37" s="62">
        <f t="shared" si="29"/>
        <v>0</v>
      </c>
      <c r="O37" s="62">
        <f t="shared" si="29"/>
        <v>0</v>
      </c>
      <c r="P37" s="62">
        <f t="shared" si="29"/>
        <v>0</v>
      </c>
      <c r="Q37" s="62">
        <f t="shared" si="29"/>
        <v>0</v>
      </c>
      <c r="R37" s="62">
        <f t="shared" si="29"/>
        <v>0</v>
      </c>
      <c r="S37" s="62">
        <f t="shared" si="29"/>
        <v>0</v>
      </c>
      <c r="T37" s="62">
        <f t="shared" si="29"/>
        <v>0</v>
      </c>
      <c r="U37" s="62">
        <f t="shared" si="29"/>
        <v>0</v>
      </c>
      <c r="V37" s="62">
        <f>+V38</f>
        <v>0</v>
      </c>
      <c r="W37" s="62">
        <f>+W38</f>
        <v>0</v>
      </c>
      <c r="X37" s="3635"/>
      <c r="Y37" s="4129"/>
    </row>
    <row r="38" spans="1:26" ht="13.5" hidden="1" customHeight="1" thickBot="1">
      <c r="A38" s="4147"/>
      <c r="B38" s="298" t="s">
        <v>32</v>
      </c>
      <c r="C38" s="4149"/>
      <c r="D38" s="114">
        <f>+M38+O38+P38+Q38+R38+S38+T38+U38+V38+W38</f>
        <v>0</v>
      </c>
      <c r="E38" s="89"/>
      <c r="F38" s="298"/>
      <c r="G38" s="298"/>
      <c r="H38" s="89"/>
      <c r="I38" s="89">
        <v>0</v>
      </c>
      <c r="J38" s="89">
        <v>0</v>
      </c>
      <c r="K38" s="89">
        <v>0</v>
      </c>
      <c r="L38" s="89">
        <v>0</v>
      </c>
      <c r="M38" s="89">
        <v>0</v>
      </c>
      <c r="N38" s="89"/>
      <c r="O38" s="89">
        <v>0</v>
      </c>
      <c r="P38" s="89">
        <v>0</v>
      </c>
      <c r="Q38" s="89">
        <v>0</v>
      </c>
      <c r="R38" s="89">
        <v>0</v>
      </c>
      <c r="S38" s="89">
        <v>0</v>
      </c>
      <c r="T38" s="89">
        <v>0</v>
      </c>
      <c r="U38" s="89">
        <v>0</v>
      </c>
      <c r="V38" s="89">
        <v>0</v>
      </c>
      <c r="W38" s="89">
        <v>0</v>
      </c>
      <c r="X38" s="3636"/>
      <c r="Y38" s="4148"/>
    </row>
    <row r="39" spans="1:26" s="301" customFormat="1" ht="45" hidden="1" customHeight="1">
      <c r="A39" s="3935" t="s">
        <v>77</v>
      </c>
      <c r="B39" s="1268"/>
      <c r="C39" s="3210" t="s">
        <v>125</v>
      </c>
      <c r="D39" s="1904"/>
      <c r="E39" s="1904"/>
      <c r="F39" s="1904"/>
      <c r="G39" s="1904"/>
      <c r="H39" s="1904"/>
      <c r="I39" s="1904"/>
      <c r="J39" s="1904"/>
      <c r="K39" s="1904"/>
      <c r="L39" s="1904"/>
      <c r="M39" s="1904"/>
      <c r="N39" s="1904"/>
      <c r="O39" s="1904"/>
      <c r="P39" s="1905"/>
      <c r="Q39" s="1905"/>
      <c r="R39" s="1905"/>
      <c r="S39" s="1905"/>
      <c r="T39" s="1904"/>
      <c r="U39" s="1904"/>
      <c r="V39" s="1904"/>
      <c r="W39" s="1904"/>
      <c r="X39" s="1906"/>
      <c r="Y39" s="3863" t="s">
        <v>283</v>
      </c>
    </row>
    <row r="40" spans="1:26" s="301" customFormat="1" ht="16.5" hidden="1" customHeight="1">
      <c r="A40" s="3940"/>
      <c r="B40" s="38" t="s">
        <v>21</v>
      </c>
      <c r="C40" s="26"/>
      <c r="D40" s="259">
        <f t="shared" ref="D40:M40" si="30">+D41+D43</f>
        <v>0</v>
      </c>
      <c r="E40" s="259">
        <f t="shared" si="30"/>
        <v>0</v>
      </c>
      <c r="F40" s="259">
        <f t="shared" si="30"/>
        <v>0</v>
      </c>
      <c r="G40" s="259">
        <f t="shared" si="30"/>
        <v>0</v>
      </c>
      <c r="H40" s="259">
        <f t="shared" si="30"/>
        <v>0</v>
      </c>
      <c r="I40" s="259">
        <f t="shared" si="30"/>
        <v>0</v>
      </c>
      <c r="J40" s="259">
        <f t="shared" si="30"/>
        <v>0</v>
      </c>
      <c r="K40" s="259">
        <f t="shared" si="30"/>
        <v>0</v>
      </c>
      <c r="L40" s="259">
        <f t="shared" si="30"/>
        <v>0</v>
      </c>
      <c r="M40" s="259">
        <f t="shared" si="30"/>
        <v>0</v>
      </c>
      <c r="N40" s="259">
        <f>N41+N43</f>
        <v>0</v>
      </c>
      <c r="O40" s="259">
        <f>O41+O43</f>
        <v>0</v>
      </c>
      <c r="P40" s="259">
        <f>P41+P43</f>
        <v>0</v>
      </c>
      <c r="Q40" s="259">
        <f>Q41+Q43</f>
        <v>0</v>
      </c>
      <c r="R40" s="259">
        <f t="shared" ref="R40:W40" si="31">R41+R43</f>
        <v>0</v>
      </c>
      <c r="S40" s="259">
        <f t="shared" si="31"/>
        <v>0</v>
      </c>
      <c r="T40" s="259">
        <f t="shared" si="31"/>
        <v>0</v>
      </c>
      <c r="U40" s="259">
        <f t="shared" si="31"/>
        <v>0</v>
      </c>
      <c r="V40" s="259">
        <f t="shared" si="31"/>
        <v>0</v>
      </c>
      <c r="W40" s="259">
        <f t="shared" si="31"/>
        <v>0</v>
      </c>
      <c r="X40" s="80">
        <f>+X41+X43</f>
        <v>0</v>
      </c>
      <c r="Y40" s="3864"/>
    </row>
    <row r="41" spans="1:26" s="301" customFormat="1" ht="14.25" hidden="1" customHeight="1">
      <c r="A41" s="3940"/>
      <c r="B41" s="978" t="s">
        <v>35</v>
      </c>
      <c r="C41" s="4154" t="s">
        <v>215</v>
      </c>
      <c r="D41" s="1912">
        <f>+D42</f>
        <v>0</v>
      </c>
      <c r="E41" s="1907">
        <f t="shared" ref="E41:J41" si="32">+E42</f>
        <v>0</v>
      </c>
      <c r="F41" s="1907">
        <f t="shared" si="32"/>
        <v>0</v>
      </c>
      <c r="G41" s="1907">
        <f t="shared" si="32"/>
        <v>0</v>
      </c>
      <c r="H41" s="1907">
        <f t="shared" si="32"/>
        <v>0</v>
      </c>
      <c r="I41" s="1907">
        <f t="shared" si="32"/>
        <v>0</v>
      </c>
      <c r="J41" s="1907">
        <f t="shared" si="32"/>
        <v>0</v>
      </c>
      <c r="K41" s="261">
        <f>+K42</f>
        <v>0</v>
      </c>
      <c r="L41" s="1264">
        <f>+L42</f>
        <v>0</v>
      </c>
      <c r="M41" s="1264">
        <f>+M42</f>
        <v>0</v>
      </c>
      <c r="N41" s="1264">
        <f>N42</f>
        <v>0</v>
      </c>
      <c r="O41" s="1264">
        <f>O42</f>
        <v>0</v>
      </c>
      <c r="P41" s="1264">
        <f>P42</f>
        <v>0</v>
      </c>
      <c r="Q41" s="1264">
        <f>Q42</f>
        <v>0</v>
      </c>
      <c r="R41" s="1264">
        <f t="shared" ref="R41:W41" si="33">R42</f>
        <v>0</v>
      </c>
      <c r="S41" s="1264">
        <f t="shared" si="33"/>
        <v>0</v>
      </c>
      <c r="T41" s="1264">
        <f t="shared" si="33"/>
        <v>0</v>
      </c>
      <c r="U41" s="1264">
        <f t="shared" si="33"/>
        <v>0</v>
      </c>
      <c r="V41" s="1264">
        <f t="shared" si="33"/>
        <v>0</v>
      </c>
      <c r="W41" s="1264">
        <f t="shared" si="33"/>
        <v>0</v>
      </c>
      <c r="X41" s="1908">
        <f>+X42</f>
        <v>0</v>
      </c>
      <c r="Y41" s="4129"/>
    </row>
    <row r="42" spans="1:26" s="301" customFormat="1" ht="12.75" hidden="1" customHeight="1">
      <c r="A42" s="3940"/>
      <c r="B42" s="1913" t="s">
        <v>23</v>
      </c>
      <c r="C42" s="4144"/>
      <c r="D42" s="66">
        <f>+M42+O42+P42+Q42+R42+S42+T42+U42+V42+W42</f>
        <v>0</v>
      </c>
      <c r="E42" s="59">
        <v>0</v>
      </c>
      <c r="F42" s="60"/>
      <c r="G42" s="60"/>
      <c r="H42" s="59"/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/>
      <c r="O42" s="59">
        <v>0</v>
      </c>
      <c r="P42" s="59">
        <v>0</v>
      </c>
      <c r="Q42" s="59">
        <v>0</v>
      </c>
      <c r="R42" s="59">
        <v>0</v>
      </c>
      <c r="S42" s="59">
        <v>0</v>
      </c>
      <c r="T42" s="59">
        <v>0</v>
      </c>
      <c r="U42" s="59">
        <v>0</v>
      </c>
      <c r="V42" s="59">
        <v>0</v>
      </c>
      <c r="W42" s="59">
        <v>0</v>
      </c>
      <c r="X42" s="375">
        <f>+P42+Q42+R42+S42</f>
        <v>0</v>
      </c>
      <c r="Y42" s="4129"/>
    </row>
    <row r="43" spans="1:26" s="301" customFormat="1" ht="14.25" hidden="1" customHeight="1">
      <c r="A43" s="3940"/>
      <c r="B43" s="1914" t="s">
        <v>29</v>
      </c>
      <c r="C43" s="4144"/>
      <c r="D43" s="62">
        <f t="shared" ref="D43:M43" si="34">+D44</f>
        <v>0</v>
      </c>
      <c r="E43" s="62">
        <f t="shared" si="34"/>
        <v>0</v>
      </c>
      <c r="F43" s="62">
        <f t="shared" si="34"/>
        <v>0</v>
      </c>
      <c r="G43" s="62">
        <f t="shared" si="34"/>
        <v>0</v>
      </c>
      <c r="H43" s="62">
        <f t="shared" si="34"/>
        <v>0</v>
      </c>
      <c r="I43" s="131">
        <f t="shared" si="34"/>
        <v>0</v>
      </c>
      <c r="J43" s="131">
        <f t="shared" si="34"/>
        <v>0</v>
      </c>
      <c r="K43" s="131">
        <f t="shared" si="34"/>
        <v>0</v>
      </c>
      <c r="L43" s="1265">
        <f t="shared" si="34"/>
        <v>0</v>
      </c>
      <c r="M43" s="1265">
        <f t="shared" si="34"/>
        <v>0</v>
      </c>
      <c r="N43" s="1265">
        <f>N44</f>
        <v>0</v>
      </c>
      <c r="O43" s="1265">
        <f>O44</f>
        <v>0</v>
      </c>
      <c r="P43" s="1265">
        <f>P44</f>
        <v>0</v>
      </c>
      <c r="Q43" s="1265">
        <f>Q44</f>
        <v>0</v>
      </c>
      <c r="R43" s="1265">
        <f t="shared" ref="R43:W43" si="35">R44</f>
        <v>0</v>
      </c>
      <c r="S43" s="1265">
        <f t="shared" si="35"/>
        <v>0</v>
      </c>
      <c r="T43" s="1265">
        <f t="shared" si="35"/>
        <v>0</v>
      </c>
      <c r="U43" s="1265">
        <f t="shared" si="35"/>
        <v>0</v>
      </c>
      <c r="V43" s="1265">
        <f t="shared" si="35"/>
        <v>0</v>
      </c>
      <c r="W43" s="1265">
        <f t="shared" si="35"/>
        <v>0</v>
      </c>
      <c r="X43" s="99">
        <f>+X44</f>
        <v>0</v>
      </c>
      <c r="Y43" s="4129"/>
    </row>
    <row r="44" spans="1:26" s="301" customFormat="1" ht="13.5" hidden="1" customHeight="1">
      <c r="A44" s="3940"/>
      <c r="B44" s="379" t="s">
        <v>32</v>
      </c>
      <c r="C44" s="4155"/>
      <c r="D44" s="66">
        <f>+M44+O44+P44+Q44+R44+S44+T44+U44+V44+W44</f>
        <v>0</v>
      </c>
      <c r="E44" s="57">
        <v>0</v>
      </c>
      <c r="F44" s="379">
        <v>0</v>
      </c>
      <c r="G44" s="379"/>
      <c r="H44" s="57"/>
      <c r="I44" s="57">
        <v>0</v>
      </c>
      <c r="J44" s="57">
        <v>0</v>
      </c>
      <c r="K44" s="57">
        <v>0</v>
      </c>
      <c r="L44" s="57">
        <v>0</v>
      </c>
      <c r="M44" s="59">
        <v>0</v>
      </c>
      <c r="N44" s="57"/>
      <c r="O44" s="57">
        <v>0</v>
      </c>
      <c r="P44" s="57">
        <v>0</v>
      </c>
      <c r="Q44" s="57">
        <v>0</v>
      </c>
      <c r="R44" s="57">
        <v>0</v>
      </c>
      <c r="S44" s="57">
        <v>0</v>
      </c>
      <c r="T44" s="57">
        <v>0</v>
      </c>
      <c r="U44" s="57">
        <v>0</v>
      </c>
      <c r="V44" s="57">
        <v>0</v>
      </c>
      <c r="W44" s="57">
        <v>0</v>
      </c>
      <c r="X44" s="375">
        <f>+P44+Q44+R44+S44</f>
        <v>0</v>
      </c>
      <c r="Y44" s="4129"/>
    </row>
    <row r="45" spans="1:26" s="301" customFormat="1" ht="15.75" hidden="1" customHeight="1">
      <c r="A45" s="3940"/>
      <c r="B45" s="38" t="s">
        <v>33</v>
      </c>
      <c r="C45" s="177"/>
      <c r="D45" s="259">
        <f>+D46</f>
        <v>0</v>
      </c>
      <c r="E45" s="259">
        <f t="shared" ref="E45:N46" si="36">+E46</f>
        <v>0</v>
      </c>
      <c r="F45" s="259">
        <f t="shared" si="36"/>
        <v>0</v>
      </c>
      <c r="G45" s="259">
        <f t="shared" si="36"/>
        <v>0</v>
      </c>
      <c r="H45" s="259">
        <f t="shared" si="36"/>
        <v>0</v>
      </c>
      <c r="I45" s="259">
        <f t="shared" si="36"/>
        <v>0</v>
      </c>
      <c r="J45" s="259">
        <f t="shared" si="36"/>
        <v>0</v>
      </c>
      <c r="K45" s="259">
        <f t="shared" si="36"/>
        <v>0</v>
      </c>
      <c r="L45" s="259">
        <f t="shared" si="36"/>
        <v>0</v>
      </c>
      <c r="M45" s="259">
        <f t="shared" si="36"/>
        <v>0</v>
      </c>
      <c r="N45" s="258">
        <f t="shared" si="36"/>
        <v>0</v>
      </c>
      <c r="O45" s="258">
        <f t="shared" ref="O45:W46" si="37">O46</f>
        <v>0</v>
      </c>
      <c r="P45" s="258">
        <f t="shared" si="37"/>
        <v>0</v>
      </c>
      <c r="Q45" s="258">
        <f t="shared" si="37"/>
        <v>0</v>
      </c>
      <c r="R45" s="258">
        <f t="shared" si="37"/>
        <v>0</v>
      </c>
      <c r="S45" s="258">
        <f t="shared" si="37"/>
        <v>0</v>
      </c>
      <c r="T45" s="258">
        <f t="shared" si="37"/>
        <v>0</v>
      </c>
      <c r="U45" s="258">
        <f t="shared" si="37"/>
        <v>0</v>
      </c>
      <c r="V45" s="258">
        <f t="shared" si="37"/>
        <v>0</v>
      </c>
      <c r="W45" s="258">
        <f t="shared" si="37"/>
        <v>0</v>
      </c>
      <c r="X45" s="3667" t="s">
        <v>75</v>
      </c>
      <c r="Y45" s="4129"/>
    </row>
    <row r="46" spans="1:26" s="301" customFormat="1" ht="12.75" hidden="1" customHeight="1">
      <c r="A46" s="3940"/>
      <c r="B46" s="1910" t="s">
        <v>29</v>
      </c>
      <c r="C46" s="4156" t="s">
        <v>215</v>
      </c>
      <c r="D46" s="62">
        <f>+D47</f>
        <v>0</v>
      </c>
      <c r="E46" s="62">
        <f t="shared" si="36"/>
        <v>0</v>
      </c>
      <c r="F46" s="62">
        <f t="shared" si="36"/>
        <v>0</v>
      </c>
      <c r="G46" s="62">
        <f t="shared" si="36"/>
        <v>0</v>
      </c>
      <c r="H46" s="62">
        <f t="shared" si="36"/>
        <v>0</v>
      </c>
      <c r="I46" s="62">
        <f t="shared" si="36"/>
        <v>0</v>
      </c>
      <c r="J46" s="62">
        <f t="shared" si="36"/>
        <v>0</v>
      </c>
      <c r="K46" s="62">
        <f t="shared" si="36"/>
        <v>0</v>
      </c>
      <c r="L46" s="62">
        <f t="shared" si="36"/>
        <v>0</v>
      </c>
      <c r="M46" s="62">
        <f t="shared" si="36"/>
        <v>0</v>
      </c>
      <c r="N46" s="62">
        <f t="shared" si="36"/>
        <v>0</v>
      </c>
      <c r="O46" s="62">
        <f t="shared" si="37"/>
        <v>0</v>
      </c>
      <c r="P46" s="62">
        <f t="shared" si="37"/>
        <v>0</v>
      </c>
      <c r="Q46" s="62">
        <f t="shared" si="37"/>
        <v>0</v>
      </c>
      <c r="R46" s="62">
        <f t="shared" si="37"/>
        <v>0</v>
      </c>
      <c r="S46" s="62">
        <f t="shared" si="37"/>
        <v>0</v>
      </c>
      <c r="T46" s="62">
        <f t="shared" si="37"/>
        <v>0</v>
      </c>
      <c r="U46" s="62">
        <f t="shared" si="37"/>
        <v>0</v>
      </c>
      <c r="V46" s="62">
        <f t="shared" si="37"/>
        <v>0</v>
      </c>
      <c r="W46" s="62">
        <f t="shared" si="37"/>
        <v>0</v>
      </c>
      <c r="X46" s="3635"/>
      <c r="Y46" s="4129"/>
    </row>
    <row r="47" spans="1:26" s="301" customFormat="1" ht="12.75" hidden="1" customHeight="1" thickBot="1">
      <c r="A47" s="4137"/>
      <c r="B47" s="298" t="s">
        <v>32</v>
      </c>
      <c r="C47" s="4157"/>
      <c r="D47" s="113">
        <f>+M47+O47+P47+Q47+R47+S47+T47+U47+V47+W47</f>
        <v>0</v>
      </c>
      <c r="E47" s="89">
        <v>0</v>
      </c>
      <c r="F47" s="89"/>
      <c r="G47" s="89"/>
      <c r="H47" s="89"/>
      <c r="I47" s="89">
        <v>0</v>
      </c>
      <c r="J47" s="89">
        <v>0</v>
      </c>
      <c r="K47" s="89">
        <f>20000-2100-17900</f>
        <v>0</v>
      </c>
      <c r="L47" s="89">
        <v>0</v>
      </c>
      <c r="M47" s="89">
        <v>0</v>
      </c>
      <c r="N47" s="89"/>
      <c r="O47" s="89">
        <v>0</v>
      </c>
      <c r="P47" s="89">
        <v>0</v>
      </c>
      <c r="Q47" s="89">
        <v>0</v>
      </c>
      <c r="R47" s="89">
        <v>0</v>
      </c>
      <c r="S47" s="89">
        <v>0</v>
      </c>
      <c r="T47" s="89">
        <v>0</v>
      </c>
      <c r="U47" s="89">
        <v>0</v>
      </c>
      <c r="V47" s="89">
        <v>0</v>
      </c>
      <c r="W47" s="89">
        <v>0</v>
      </c>
      <c r="X47" s="3636"/>
      <c r="Y47" s="4148"/>
      <c r="Z47" s="864">
        <f>D44-D47</f>
        <v>0</v>
      </c>
    </row>
    <row r="48" spans="1:26" ht="30.75" hidden="1" customHeight="1">
      <c r="A48" s="3935" t="s">
        <v>80</v>
      </c>
      <c r="B48" s="233"/>
      <c r="C48" s="3210" t="s">
        <v>125</v>
      </c>
      <c r="D48" s="1902"/>
      <c r="E48" s="1903"/>
      <c r="F48" s="1903"/>
      <c r="G48" s="1903"/>
      <c r="H48" s="1903"/>
      <c r="I48" s="1903"/>
      <c r="J48" s="1903"/>
      <c r="K48" s="1903"/>
      <c r="L48" s="1904"/>
      <c r="M48" s="1904"/>
      <c r="N48" s="1904"/>
      <c r="O48" s="1904"/>
      <c r="P48" s="1905"/>
      <c r="Q48" s="1905"/>
      <c r="R48" s="1905"/>
      <c r="S48" s="1905"/>
      <c r="T48" s="1904"/>
      <c r="U48" s="1904"/>
      <c r="V48" s="1904"/>
      <c r="W48" s="1904"/>
      <c r="X48" s="1906"/>
      <c r="Y48" s="3863" t="s">
        <v>283</v>
      </c>
    </row>
    <row r="49" spans="1:29" ht="15.75" hidden="1" customHeight="1">
      <c r="A49" s="3936"/>
      <c r="B49" s="38" t="s">
        <v>21</v>
      </c>
      <c r="C49" s="26"/>
      <c r="D49" s="258">
        <f>+D50</f>
        <v>0</v>
      </c>
      <c r="E49" s="258">
        <f t="shared" ref="E49:U50" si="38">+E50</f>
        <v>0</v>
      </c>
      <c r="F49" s="258">
        <f t="shared" si="38"/>
        <v>0</v>
      </c>
      <c r="G49" s="258">
        <f t="shared" si="38"/>
        <v>0</v>
      </c>
      <c r="H49" s="258">
        <f t="shared" si="38"/>
        <v>0</v>
      </c>
      <c r="I49" s="258">
        <f t="shared" si="38"/>
        <v>0</v>
      </c>
      <c r="J49" s="258">
        <f t="shared" si="38"/>
        <v>0</v>
      </c>
      <c r="K49" s="258">
        <f t="shared" si="38"/>
        <v>0</v>
      </c>
      <c r="L49" s="258">
        <f t="shared" si="38"/>
        <v>0</v>
      </c>
      <c r="M49" s="258">
        <f t="shared" si="38"/>
        <v>0</v>
      </c>
      <c r="N49" s="258">
        <f t="shared" si="38"/>
        <v>0</v>
      </c>
      <c r="O49" s="258">
        <f t="shared" si="38"/>
        <v>0</v>
      </c>
      <c r="P49" s="258">
        <f t="shared" si="38"/>
        <v>0</v>
      </c>
      <c r="Q49" s="258">
        <f t="shared" si="38"/>
        <v>0</v>
      </c>
      <c r="R49" s="258">
        <f t="shared" si="38"/>
        <v>0</v>
      </c>
      <c r="S49" s="258">
        <f t="shared" si="38"/>
        <v>0</v>
      </c>
      <c r="T49" s="258">
        <f t="shared" si="38"/>
        <v>0</v>
      </c>
      <c r="U49" s="258">
        <f t="shared" si="38"/>
        <v>0</v>
      </c>
      <c r="V49" s="258">
        <f>+V50</f>
        <v>0</v>
      </c>
      <c r="W49" s="258">
        <f>+W50</f>
        <v>0</v>
      </c>
      <c r="X49" s="80" t="str">
        <f>+X50</f>
        <v>x</v>
      </c>
      <c r="Y49" s="3864"/>
      <c r="Z49" s="263"/>
      <c r="AA49" s="263"/>
      <c r="AB49" s="263"/>
      <c r="AC49" s="263"/>
    </row>
    <row r="50" spans="1:29" ht="14.25" hidden="1" customHeight="1">
      <c r="A50" s="3936"/>
      <c r="B50" s="1269" t="s">
        <v>29</v>
      </c>
      <c r="C50" s="3624" t="s">
        <v>215</v>
      </c>
      <c r="D50" s="61">
        <f>+D51</f>
        <v>0</v>
      </c>
      <c r="E50" s="62">
        <f t="shared" si="38"/>
        <v>0</v>
      </c>
      <c r="F50" s="62">
        <f t="shared" si="38"/>
        <v>0</v>
      </c>
      <c r="G50" s="62">
        <f t="shared" si="38"/>
        <v>0</v>
      </c>
      <c r="H50" s="62">
        <f t="shared" si="38"/>
        <v>0</v>
      </c>
      <c r="I50" s="131">
        <f t="shared" si="38"/>
        <v>0</v>
      </c>
      <c r="J50" s="131">
        <f t="shared" si="38"/>
        <v>0</v>
      </c>
      <c r="K50" s="131">
        <f t="shared" si="38"/>
        <v>0</v>
      </c>
      <c r="L50" s="131">
        <f t="shared" si="38"/>
        <v>0</v>
      </c>
      <c r="M50" s="131">
        <f t="shared" si="38"/>
        <v>0</v>
      </c>
      <c r="N50" s="133">
        <f t="shared" ref="N50:T50" si="39">N51</f>
        <v>0</v>
      </c>
      <c r="O50" s="133">
        <f t="shared" si="39"/>
        <v>0</v>
      </c>
      <c r="P50" s="133">
        <f t="shared" si="39"/>
        <v>0</v>
      </c>
      <c r="Q50" s="133">
        <f t="shared" si="39"/>
        <v>0</v>
      </c>
      <c r="R50" s="133">
        <f t="shared" si="39"/>
        <v>0</v>
      </c>
      <c r="S50" s="133">
        <f t="shared" si="39"/>
        <v>0</v>
      </c>
      <c r="T50" s="133">
        <f t="shared" si="39"/>
        <v>0</v>
      </c>
      <c r="U50" s="133"/>
      <c r="V50" s="133"/>
      <c r="W50" s="133"/>
      <c r="X50" s="99" t="str">
        <f>+X51</f>
        <v>x</v>
      </c>
      <c r="Y50" s="4129"/>
      <c r="AA50" s="263"/>
      <c r="AB50" s="263"/>
      <c r="AC50" s="263"/>
    </row>
    <row r="51" spans="1:29" ht="12.75" hidden="1">
      <c r="A51" s="3936"/>
      <c r="B51" s="379" t="s">
        <v>32</v>
      </c>
      <c r="C51" s="3625"/>
      <c r="D51" s="66">
        <f>+M51+O51+P51+Q51+R51+S51+T51+U51+V51+W51</f>
        <v>0</v>
      </c>
      <c r="E51" s="57">
        <v>0</v>
      </c>
      <c r="F51" s="64">
        <v>0</v>
      </c>
      <c r="G51" s="64"/>
      <c r="H51" s="57"/>
      <c r="I51" s="57">
        <v>0</v>
      </c>
      <c r="J51" s="57">
        <v>0</v>
      </c>
      <c r="K51" s="57">
        <v>0</v>
      </c>
      <c r="L51" s="57">
        <v>0</v>
      </c>
      <c r="M51" s="59">
        <v>0</v>
      </c>
      <c r="N51" s="64"/>
      <c r="O51" s="64">
        <v>0</v>
      </c>
      <c r="P51" s="64">
        <v>0</v>
      </c>
      <c r="Q51" s="64">
        <v>0</v>
      </c>
      <c r="R51" s="64">
        <v>0</v>
      </c>
      <c r="S51" s="64">
        <v>0</v>
      </c>
      <c r="T51" s="64">
        <v>0</v>
      </c>
      <c r="U51" s="64">
        <v>0</v>
      </c>
      <c r="V51" s="64">
        <v>0</v>
      </c>
      <c r="W51" s="64">
        <v>0</v>
      </c>
      <c r="X51" s="1915" t="str">
        <f>+X52</f>
        <v>x</v>
      </c>
      <c r="Y51" s="4129"/>
    </row>
    <row r="52" spans="1:29" ht="15.75" hidden="1" customHeight="1">
      <c r="A52" s="3936"/>
      <c r="B52" s="25" t="s">
        <v>33</v>
      </c>
      <c r="C52" s="26"/>
      <c r="D52" s="258">
        <f>+D53</f>
        <v>0</v>
      </c>
      <c r="E52" s="258">
        <f t="shared" ref="E52:N53" si="40">+E53</f>
        <v>0</v>
      </c>
      <c r="F52" s="258">
        <f t="shared" si="40"/>
        <v>0</v>
      </c>
      <c r="G52" s="258">
        <f t="shared" si="40"/>
        <v>0</v>
      </c>
      <c r="H52" s="258">
        <f t="shared" si="40"/>
        <v>0</v>
      </c>
      <c r="I52" s="258">
        <f t="shared" si="40"/>
        <v>0</v>
      </c>
      <c r="J52" s="258">
        <f t="shared" si="40"/>
        <v>0</v>
      </c>
      <c r="K52" s="258">
        <f t="shared" si="40"/>
        <v>0</v>
      </c>
      <c r="L52" s="258">
        <f t="shared" si="40"/>
        <v>0</v>
      </c>
      <c r="M52" s="258">
        <f t="shared" si="40"/>
        <v>0</v>
      </c>
      <c r="N52" s="258">
        <f t="shared" si="40"/>
        <v>0</v>
      </c>
      <c r="O52" s="258">
        <f>O53</f>
        <v>0</v>
      </c>
      <c r="P52" s="258">
        <f t="shared" ref="P52:W53" si="41">P53</f>
        <v>0</v>
      </c>
      <c r="Q52" s="258">
        <f t="shared" si="41"/>
        <v>0</v>
      </c>
      <c r="R52" s="258">
        <f t="shared" si="41"/>
        <v>0</v>
      </c>
      <c r="S52" s="258">
        <f t="shared" si="41"/>
        <v>0</v>
      </c>
      <c r="T52" s="258">
        <f t="shared" si="41"/>
        <v>0</v>
      </c>
      <c r="U52" s="258">
        <f t="shared" si="41"/>
        <v>0</v>
      </c>
      <c r="V52" s="258">
        <f t="shared" si="41"/>
        <v>0</v>
      </c>
      <c r="W52" s="258">
        <f t="shared" si="41"/>
        <v>0</v>
      </c>
      <c r="X52" s="3667" t="s">
        <v>75</v>
      </c>
      <c r="Y52" s="4129"/>
    </row>
    <row r="53" spans="1:29" ht="15" hidden="1" customHeight="1">
      <c r="A53" s="3936"/>
      <c r="B53" s="217" t="s">
        <v>29</v>
      </c>
      <c r="C53" s="3728" t="s">
        <v>99</v>
      </c>
      <c r="D53" s="61">
        <f>+D54</f>
        <v>0</v>
      </c>
      <c r="E53" s="62">
        <f t="shared" si="40"/>
        <v>0</v>
      </c>
      <c r="F53" s="62">
        <f t="shared" si="40"/>
        <v>0</v>
      </c>
      <c r="G53" s="62">
        <f t="shared" si="40"/>
        <v>0</v>
      </c>
      <c r="H53" s="62">
        <f t="shared" si="40"/>
        <v>0</v>
      </c>
      <c r="I53" s="62">
        <f t="shared" si="40"/>
        <v>0</v>
      </c>
      <c r="J53" s="62">
        <f t="shared" si="40"/>
        <v>0</v>
      </c>
      <c r="K53" s="62">
        <f t="shared" si="40"/>
        <v>0</v>
      </c>
      <c r="L53" s="62">
        <f t="shared" si="40"/>
        <v>0</v>
      </c>
      <c r="M53" s="62">
        <f t="shared" si="40"/>
        <v>0</v>
      </c>
      <c r="N53" s="62">
        <f t="shared" si="40"/>
        <v>0</v>
      </c>
      <c r="O53" s="62">
        <f>O54</f>
        <v>0</v>
      </c>
      <c r="P53" s="62">
        <f t="shared" si="41"/>
        <v>0</v>
      </c>
      <c r="Q53" s="62">
        <f t="shared" si="41"/>
        <v>0</v>
      </c>
      <c r="R53" s="62">
        <f t="shared" si="41"/>
        <v>0</v>
      </c>
      <c r="S53" s="62">
        <f t="shared" si="41"/>
        <v>0</v>
      </c>
      <c r="T53" s="62">
        <f t="shared" si="41"/>
        <v>0</v>
      </c>
      <c r="U53" s="62">
        <f t="shared" si="41"/>
        <v>0</v>
      </c>
      <c r="V53" s="62">
        <f t="shared" si="41"/>
        <v>0</v>
      </c>
      <c r="W53" s="62">
        <f t="shared" si="41"/>
        <v>0</v>
      </c>
      <c r="X53" s="3635"/>
      <c r="Y53" s="4129"/>
    </row>
    <row r="54" spans="1:29" ht="13.5" hidden="1" customHeight="1" thickBot="1">
      <c r="A54" s="3937"/>
      <c r="B54" s="3229" t="s">
        <v>32</v>
      </c>
      <c r="C54" s="3626"/>
      <c r="D54" s="66">
        <f>+M54+O54+P54+Q54+R54+S54+T54+U54+V54+W54</f>
        <v>0</v>
      </c>
      <c r="E54" s="89">
        <v>0</v>
      </c>
      <c r="F54" s="90"/>
      <c r="G54" s="89"/>
      <c r="H54" s="89"/>
      <c r="I54" s="89">
        <v>0</v>
      </c>
      <c r="J54" s="89">
        <v>0</v>
      </c>
      <c r="K54" s="89">
        <f>42390-42390</f>
        <v>0</v>
      </c>
      <c r="L54" s="89">
        <v>0</v>
      </c>
      <c r="M54" s="59">
        <v>0</v>
      </c>
      <c r="N54" s="90"/>
      <c r="O54" s="89">
        <v>0</v>
      </c>
      <c r="P54" s="89">
        <v>0</v>
      </c>
      <c r="Q54" s="89">
        <v>0</v>
      </c>
      <c r="R54" s="89">
        <v>0</v>
      </c>
      <c r="S54" s="89">
        <v>0</v>
      </c>
      <c r="T54" s="89">
        <v>0</v>
      </c>
      <c r="U54" s="89">
        <v>0</v>
      </c>
      <c r="V54" s="89">
        <v>0</v>
      </c>
      <c r="W54" s="89">
        <v>0</v>
      </c>
      <c r="X54" s="3636"/>
      <c r="Y54" s="4153"/>
    </row>
    <row r="55" spans="1:29" s="301" customFormat="1" ht="38.25" hidden="1" customHeight="1">
      <c r="A55" s="3935" t="s">
        <v>78</v>
      </c>
      <c r="B55" s="233"/>
      <c r="C55" s="3210" t="s">
        <v>217</v>
      </c>
      <c r="D55" s="1902"/>
      <c r="E55" s="1903"/>
      <c r="F55" s="1903"/>
      <c r="G55" s="1903"/>
      <c r="H55" s="1903"/>
      <c r="I55" s="1903"/>
      <c r="J55" s="1903"/>
      <c r="K55" s="1903"/>
      <c r="L55" s="1904"/>
      <c r="M55" s="1904"/>
      <c r="N55" s="1904"/>
      <c r="O55" s="1904"/>
      <c r="P55" s="1905"/>
      <c r="Q55" s="1905"/>
      <c r="R55" s="1905"/>
      <c r="S55" s="1905"/>
      <c r="T55" s="1904"/>
      <c r="U55" s="1904"/>
      <c r="V55" s="1904"/>
      <c r="W55" s="1904"/>
      <c r="X55" s="1906"/>
      <c r="Y55" s="3863" t="s">
        <v>283</v>
      </c>
    </row>
    <row r="56" spans="1:29" s="301" customFormat="1" ht="15.75" hidden="1" customHeight="1">
      <c r="A56" s="3936"/>
      <c r="B56" s="38" t="s">
        <v>21</v>
      </c>
      <c r="C56" s="26"/>
      <c r="D56" s="258">
        <f>+D59+D57</f>
        <v>0</v>
      </c>
      <c r="E56" s="258">
        <f t="shared" ref="E56:N56" si="42">+E59</f>
        <v>0</v>
      </c>
      <c r="F56" s="258">
        <f t="shared" si="42"/>
        <v>0</v>
      </c>
      <c r="G56" s="258">
        <f t="shared" si="42"/>
        <v>0</v>
      </c>
      <c r="H56" s="258">
        <f t="shared" si="42"/>
        <v>0</v>
      </c>
      <c r="I56" s="258">
        <f t="shared" si="42"/>
        <v>0</v>
      </c>
      <c r="J56" s="258">
        <f t="shared" si="42"/>
        <v>0</v>
      </c>
      <c r="K56" s="258">
        <f t="shared" si="42"/>
        <v>0</v>
      </c>
      <c r="L56" s="258">
        <f t="shared" si="42"/>
        <v>0</v>
      </c>
      <c r="M56" s="258">
        <f t="shared" si="42"/>
        <v>0</v>
      </c>
      <c r="N56" s="258">
        <f t="shared" si="42"/>
        <v>0</v>
      </c>
      <c r="O56" s="258">
        <f>+O59+O57</f>
        <v>0</v>
      </c>
      <c r="P56" s="258">
        <f t="shared" ref="P56:W56" si="43">+P59</f>
        <v>0</v>
      </c>
      <c r="Q56" s="258">
        <f t="shared" si="43"/>
        <v>0</v>
      </c>
      <c r="R56" s="258">
        <f t="shared" si="43"/>
        <v>0</v>
      </c>
      <c r="S56" s="258">
        <f t="shared" si="43"/>
        <v>0</v>
      </c>
      <c r="T56" s="258">
        <f t="shared" si="43"/>
        <v>0</v>
      </c>
      <c r="U56" s="258">
        <f t="shared" si="43"/>
        <v>0</v>
      </c>
      <c r="V56" s="258">
        <f t="shared" si="43"/>
        <v>0</v>
      </c>
      <c r="W56" s="258">
        <f t="shared" si="43"/>
        <v>0</v>
      </c>
      <c r="X56" s="80">
        <f>+X59</f>
        <v>0</v>
      </c>
      <c r="Y56" s="3864"/>
    </row>
    <row r="57" spans="1:29" s="301" customFormat="1" ht="15.75" hidden="1" customHeight="1">
      <c r="A57" s="3936"/>
      <c r="B57" s="978" t="s">
        <v>35</v>
      </c>
      <c r="C57" s="3624" t="s">
        <v>215</v>
      </c>
      <c r="D57" s="61">
        <f>D58</f>
        <v>0</v>
      </c>
      <c r="E57" s="62"/>
      <c r="F57" s="62"/>
      <c r="G57" s="62"/>
      <c r="H57" s="62"/>
      <c r="I57" s="131"/>
      <c r="J57" s="131"/>
      <c r="K57" s="131"/>
      <c r="L57" s="131"/>
      <c r="M57" s="131">
        <f>M58</f>
        <v>0</v>
      </c>
      <c r="N57" s="133">
        <f>N58</f>
        <v>0</v>
      </c>
      <c r="O57" s="133">
        <f>O58</f>
        <v>0</v>
      </c>
      <c r="P57" s="133"/>
      <c r="Q57" s="133"/>
      <c r="R57" s="133"/>
      <c r="S57" s="133"/>
      <c r="T57" s="133"/>
      <c r="U57" s="133"/>
      <c r="V57" s="133"/>
      <c r="W57" s="133"/>
      <c r="X57" s="99"/>
      <c r="Y57" s="3864"/>
    </row>
    <row r="58" spans="1:29" s="301" customFormat="1" ht="15.75" hidden="1" customHeight="1">
      <c r="A58" s="3936"/>
      <c r="B58" s="1913" t="s">
        <v>23</v>
      </c>
      <c r="C58" s="3612"/>
      <c r="D58" s="56">
        <f>M58+N58+O58</f>
        <v>0</v>
      </c>
      <c r="E58" s="57"/>
      <c r="F58" s="64"/>
      <c r="G58" s="64"/>
      <c r="H58" s="57"/>
      <c r="I58" s="57"/>
      <c r="J58" s="57"/>
      <c r="K58" s="57"/>
      <c r="L58" s="57"/>
      <c r="M58" s="64">
        <v>0</v>
      </c>
      <c r="N58" s="64">
        <v>0</v>
      </c>
      <c r="O58" s="64">
        <v>0</v>
      </c>
      <c r="P58" s="64"/>
      <c r="Q58" s="64"/>
      <c r="R58" s="64"/>
      <c r="S58" s="64"/>
      <c r="T58" s="64"/>
      <c r="U58" s="64"/>
      <c r="V58" s="64"/>
      <c r="W58" s="64"/>
      <c r="X58" s="375"/>
      <c r="Y58" s="3864"/>
    </row>
    <row r="59" spans="1:29" s="301" customFormat="1" ht="14.25" hidden="1" customHeight="1">
      <c r="A59" s="3936"/>
      <c r="B59" s="1269" t="s">
        <v>29</v>
      </c>
      <c r="C59" s="3612"/>
      <c r="D59" s="61">
        <f>+D60</f>
        <v>0</v>
      </c>
      <c r="E59" s="62">
        <f t="shared" ref="E59:M59" si="44">+E60</f>
        <v>0</v>
      </c>
      <c r="F59" s="62">
        <f t="shared" si="44"/>
        <v>0</v>
      </c>
      <c r="G59" s="62">
        <f t="shared" si="44"/>
        <v>0</v>
      </c>
      <c r="H59" s="62">
        <f t="shared" si="44"/>
        <v>0</v>
      </c>
      <c r="I59" s="131">
        <f t="shared" si="44"/>
        <v>0</v>
      </c>
      <c r="J59" s="131">
        <f t="shared" si="44"/>
        <v>0</v>
      </c>
      <c r="K59" s="131">
        <f t="shared" si="44"/>
        <v>0</v>
      </c>
      <c r="L59" s="131">
        <f t="shared" si="44"/>
        <v>0</v>
      </c>
      <c r="M59" s="131">
        <f t="shared" si="44"/>
        <v>0</v>
      </c>
      <c r="N59" s="133">
        <f>N60</f>
        <v>0</v>
      </c>
      <c r="O59" s="133">
        <f>O60</f>
        <v>0</v>
      </c>
      <c r="P59" s="133">
        <f>P60</f>
        <v>0</v>
      </c>
      <c r="Q59" s="133">
        <f>Q60</f>
        <v>0</v>
      </c>
      <c r="R59" s="133">
        <f t="shared" ref="R59:W59" si="45">R60</f>
        <v>0</v>
      </c>
      <c r="S59" s="133">
        <f t="shared" si="45"/>
        <v>0</v>
      </c>
      <c r="T59" s="133">
        <f t="shared" si="45"/>
        <v>0</v>
      </c>
      <c r="U59" s="133">
        <f t="shared" si="45"/>
        <v>0</v>
      </c>
      <c r="V59" s="133">
        <f t="shared" si="45"/>
        <v>0</v>
      </c>
      <c r="W59" s="133">
        <f t="shared" si="45"/>
        <v>0</v>
      </c>
      <c r="X59" s="99">
        <f>+P59+Q59+R59+S59</f>
        <v>0</v>
      </c>
      <c r="Y59" s="4129"/>
    </row>
    <row r="60" spans="1:29" s="301" customFormat="1" ht="11.25" hidden="1" customHeight="1">
      <c r="A60" s="3936"/>
      <c r="B60" s="379" t="s">
        <v>32</v>
      </c>
      <c r="C60" s="3670"/>
      <c r="D60" s="66">
        <f>+M60+O60+P60+Q60+R60+S60+T60+U60+V60+W60</f>
        <v>0</v>
      </c>
      <c r="E60" s="57">
        <v>0</v>
      </c>
      <c r="F60" s="64">
        <v>0</v>
      </c>
      <c r="G60" s="64"/>
      <c r="H60" s="57"/>
      <c r="I60" s="57">
        <v>0</v>
      </c>
      <c r="J60" s="57">
        <v>0</v>
      </c>
      <c r="K60" s="57">
        <v>0</v>
      </c>
      <c r="L60" s="57">
        <v>0</v>
      </c>
      <c r="M60" s="59">
        <v>0</v>
      </c>
      <c r="N60" s="64"/>
      <c r="O60" s="64">
        <v>0</v>
      </c>
      <c r="P60" s="64">
        <v>0</v>
      </c>
      <c r="Q60" s="64">
        <v>0</v>
      </c>
      <c r="R60" s="64">
        <v>0</v>
      </c>
      <c r="S60" s="64">
        <v>0</v>
      </c>
      <c r="T60" s="64">
        <v>0</v>
      </c>
      <c r="U60" s="64">
        <v>0</v>
      </c>
      <c r="V60" s="64">
        <v>0</v>
      </c>
      <c r="W60" s="64">
        <v>0</v>
      </c>
      <c r="X60" s="375">
        <f>P60+Q60+R60</f>
        <v>0</v>
      </c>
      <c r="Y60" s="4129"/>
    </row>
    <row r="61" spans="1:29" s="301" customFormat="1" ht="15.75" hidden="1" customHeight="1">
      <c r="A61" s="3936"/>
      <c r="B61" s="25" t="s">
        <v>33</v>
      </c>
      <c r="C61" s="26"/>
      <c r="D61" s="258">
        <f>+D62</f>
        <v>0</v>
      </c>
      <c r="E61" s="258">
        <f t="shared" ref="E61:N62" si="46">+E62</f>
        <v>0</v>
      </c>
      <c r="F61" s="258">
        <f t="shared" si="46"/>
        <v>0</v>
      </c>
      <c r="G61" s="258">
        <f t="shared" si="46"/>
        <v>0</v>
      </c>
      <c r="H61" s="258">
        <f t="shared" si="46"/>
        <v>0</v>
      </c>
      <c r="I61" s="258">
        <f t="shared" si="46"/>
        <v>0</v>
      </c>
      <c r="J61" s="258">
        <f t="shared" si="46"/>
        <v>0</v>
      </c>
      <c r="K61" s="258">
        <f t="shared" si="46"/>
        <v>0</v>
      </c>
      <c r="L61" s="258">
        <f t="shared" si="46"/>
        <v>0</v>
      </c>
      <c r="M61" s="258">
        <f t="shared" si="46"/>
        <v>0</v>
      </c>
      <c r="N61" s="258">
        <f t="shared" si="46"/>
        <v>0</v>
      </c>
      <c r="O61" s="258">
        <f t="shared" ref="O61:W62" si="47">O62</f>
        <v>0</v>
      </c>
      <c r="P61" s="258">
        <f t="shared" si="47"/>
        <v>0</v>
      </c>
      <c r="Q61" s="258">
        <f t="shared" si="47"/>
        <v>0</v>
      </c>
      <c r="R61" s="258">
        <f t="shared" si="47"/>
        <v>0</v>
      </c>
      <c r="S61" s="258">
        <f t="shared" si="47"/>
        <v>0</v>
      </c>
      <c r="T61" s="258">
        <f t="shared" si="47"/>
        <v>0</v>
      </c>
      <c r="U61" s="258">
        <f t="shared" si="47"/>
        <v>0</v>
      </c>
      <c r="V61" s="258">
        <f t="shared" si="47"/>
        <v>0</v>
      </c>
      <c r="W61" s="258">
        <f t="shared" si="47"/>
        <v>0</v>
      </c>
      <c r="X61" s="3667" t="s">
        <v>75</v>
      </c>
      <c r="Y61" s="4129"/>
      <c r="Z61" s="864">
        <v>2842867</v>
      </c>
    </row>
    <row r="62" spans="1:29" s="301" customFormat="1" ht="12.75" hidden="1">
      <c r="A62" s="3936"/>
      <c r="B62" s="217" t="s">
        <v>29</v>
      </c>
      <c r="C62" s="3728" t="s">
        <v>99</v>
      </c>
      <c r="D62" s="61">
        <f>+D63</f>
        <v>0</v>
      </c>
      <c r="E62" s="62">
        <f t="shared" si="46"/>
        <v>0</v>
      </c>
      <c r="F62" s="62">
        <f t="shared" si="46"/>
        <v>0</v>
      </c>
      <c r="G62" s="62">
        <f t="shared" si="46"/>
        <v>0</v>
      </c>
      <c r="H62" s="62">
        <f t="shared" si="46"/>
        <v>0</v>
      </c>
      <c r="I62" s="62">
        <f t="shared" si="46"/>
        <v>0</v>
      </c>
      <c r="J62" s="62">
        <f t="shared" si="46"/>
        <v>0</v>
      </c>
      <c r="K62" s="62">
        <f t="shared" si="46"/>
        <v>0</v>
      </c>
      <c r="L62" s="62">
        <f t="shared" si="46"/>
        <v>0</v>
      </c>
      <c r="M62" s="62">
        <f t="shared" si="46"/>
        <v>0</v>
      </c>
      <c r="N62" s="62">
        <f t="shared" si="46"/>
        <v>0</v>
      </c>
      <c r="O62" s="62">
        <f t="shared" si="47"/>
        <v>0</v>
      </c>
      <c r="P62" s="62">
        <f t="shared" si="47"/>
        <v>0</v>
      </c>
      <c r="Q62" s="62">
        <f t="shared" si="47"/>
        <v>0</v>
      </c>
      <c r="R62" s="62">
        <f t="shared" si="47"/>
        <v>0</v>
      </c>
      <c r="S62" s="62">
        <f t="shared" si="47"/>
        <v>0</v>
      </c>
      <c r="T62" s="62">
        <f t="shared" si="47"/>
        <v>0</v>
      </c>
      <c r="U62" s="62">
        <f t="shared" si="47"/>
        <v>0</v>
      </c>
      <c r="V62" s="62">
        <f t="shared" si="47"/>
        <v>0</v>
      </c>
      <c r="W62" s="62">
        <f t="shared" si="47"/>
        <v>0</v>
      </c>
      <c r="X62" s="3635"/>
      <c r="Y62" s="4129"/>
    </row>
    <row r="63" spans="1:29" s="301" customFormat="1" ht="12" hidden="1" customHeight="1" thickBot="1">
      <c r="A63" s="3937"/>
      <c r="B63" s="3229" t="s">
        <v>32</v>
      </c>
      <c r="C63" s="3626"/>
      <c r="D63" s="66">
        <f>+M63+O63+P63+Q63+R63+S63+T63+U63+V63+W63</f>
        <v>0</v>
      </c>
      <c r="E63" s="89">
        <v>0</v>
      </c>
      <c r="F63" s="90"/>
      <c r="G63" s="89"/>
      <c r="H63" s="89"/>
      <c r="I63" s="89">
        <v>0</v>
      </c>
      <c r="J63" s="89">
        <v>0</v>
      </c>
      <c r="K63" s="89">
        <v>0</v>
      </c>
      <c r="L63" s="89">
        <v>0</v>
      </c>
      <c r="M63" s="59">
        <v>0</v>
      </c>
      <c r="N63" s="90"/>
      <c r="O63" s="89">
        <v>0</v>
      </c>
      <c r="P63" s="89">
        <v>0</v>
      </c>
      <c r="Q63" s="89">
        <v>0</v>
      </c>
      <c r="R63" s="89">
        <v>0</v>
      </c>
      <c r="S63" s="89">
        <v>0</v>
      </c>
      <c r="T63" s="89">
        <v>0</v>
      </c>
      <c r="U63" s="89">
        <v>0</v>
      </c>
      <c r="V63" s="89">
        <v>0</v>
      </c>
      <c r="W63" s="89">
        <v>0</v>
      </c>
      <c r="X63" s="3636"/>
      <c r="Y63" s="4130"/>
    </row>
    <row r="64" spans="1:29" s="301" customFormat="1" ht="39.75" hidden="1" customHeight="1">
      <c r="A64" s="3935" t="s">
        <v>79</v>
      </c>
      <c r="B64" s="233"/>
      <c r="C64" s="3210" t="s">
        <v>95</v>
      </c>
      <c r="D64" s="1902"/>
      <c r="E64" s="1903"/>
      <c r="F64" s="1903"/>
      <c r="G64" s="1903"/>
      <c r="H64" s="1903"/>
      <c r="I64" s="1903"/>
      <c r="J64" s="1903"/>
      <c r="K64" s="1903"/>
      <c r="L64" s="1904"/>
      <c r="M64" s="1904"/>
      <c r="N64" s="1904"/>
      <c r="O64" s="1904"/>
      <c r="P64" s="1905"/>
      <c r="Q64" s="1905"/>
      <c r="R64" s="1905"/>
      <c r="S64" s="1905"/>
      <c r="T64" s="1904"/>
      <c r="U64" s="1904"/>
      <c r="V64" s="1904"/>
      <c r="W64" s="1904"/>
      <c r="X64" s="1906"/>
      <c r="Y64" s="3863" t="s">
        <v>283</v>
      </c>
    </row>
    <row r="65" spans="1:26" s="301" customFormat="1" ht="14.25" hidden="1" customHeight="1">
      <c r="A65" s="3936"/>
      <c r="B65" s="443" t="s">
        <v>21</v>
      </c>
      <c r="C65" s="26"/>
      <c r="D65" s="1916">
        <f t="shared" ref="D65:X66" si="48">+D66</f>
        <v>0</v>
      </c>
      <c r="E65" s="1916">
        <f t="shared" si="48"/>
        <v>0</v>
      </c>
      <c r="F65" s="1916">
        <f t="shared" si="48"/>
        <v>0</v>
      </c>
      <c r="G65" s="1916">
        <f t="shared" si="48"/>
        <v>0</v>
      </c>
      <c r="H65" s="1916">
        <f t="shared" si="48"/>
        <v>0</v>
      </c>
      <c r="I65" s="1916">
        <f t="shared" si="48"/>
        <v>0</v>
      </c>
      <c r="J65" s="1916">
        <f t="shared" si="48"/>
        <v>0</v>
      </c>
      <c r="K65" s="1916">
        <f t="shared" si="48"/>
        <v>0</v>
      </c>
      <c r="L65" s="1916">
        <f t="shared" si="48"/>
        <v>0</v>
      </c>
      <c r="M65" s="1916">
        <f t="shared" si="48"/>
        <v>0</v>
      </c>
      <c r="N65" s="1916">
        <f t="shared" si="48"/>
        <v>0</v>
      </c>
      <c r="O65" s="1916">
        <f t="shared" si="48"/>
        <v>0</v>
      </c>
      <c r="P65" s="1916">
        <f t="shared" si="48"/>
        <v>0</v>
      </c>
      <c r="Q65" s="1916">
        <f t="shared" si="48"/>
        <v>0</v>
      </c>
      <c r="R65" s="1916">
        <f t="shared" si="48"/>
        <v>0</v>
      </c>
      <c r="S65" s="1916">
        <f t="shared" si="48"/>
        <v>0</v>
      </c>
      <c r="T65" s="1916">
        <f t="shared" si="48"/>
        <v>0</v>
      </c>
      <c r="U65" s="1916">
        <f t="shared" si="48"/>
        <v>0</v>
      </c>
      <c r="V65" s="1916">
        <f t="shared" si="48"/>
        <v>0</v>
      </c>
      <c r="W65" s="1916">
        <f t="shared" si="48"/>
        <v>0</v>
      </c>
      <c r="X65" s="439">
        <f t="shared" si="48"/>
        <v>0</v>
      </c>
      <c r="Y65" s="3864"/>
    </row>
    <row r="66" spans="1:26" s="301" customFormat="1" ht="14.25" hidden="1" customHeight="1">
      <c r="A66" s="3936"/>
      <c r="B66" s="444" t="s">
        <v>29</v>
      </c>
      <c r="C66" s="3764" t="s">
        <v>215</v>
      </c>
      <c r="D66" s="441">
        <f t="shared" si="48"/>
        <v>0</v>
      </c>
      <c r="E66" s="442">
        <f t="shared" si="48"/>
        <v>0</v>
      </c>
      <c r="F66" s="442">
        <f t="shared" si="48"/>
        <v>0</v>
      </c>
      <c r="G66" s="442">
        <f t="shared" si="48"/>
        <v>0</v>
      </c>
      <c r="H66" s="442">
        <f t="shared" si="48"/>
        <v>0</v>
      </c>
      <c r="I66" s="445">
        <f t="shared" si="48"/>
        <v>0</v>
      </c>
      <c r="J66" s="445">
        <f t="shared" si="48"/>
        <v>0</v>
      </c>
      <c r="K66" s="445">
        <f t="shared" si="48"/>
        <v>0</v>
      </c>
      <c r="L66" s="445">
        <f t="shared" si="48"/>
        <v>0</v>
      </c>
      <c r="M66" s="445">
        <f t="shared" si="48"/>
        <v>0</v>
      </c>
      <c r="N66" s="446">
        <f>N67</f>
        <v>0</v>
      </c>
      <c r="O66" s="446">
        <v>0</v>
      </c>
      <c r="P66" s="446">
        <v>0</v>
      </c>
      <c r="Q66" s="446">
        <v>0</v>
      </c>
      <c r="R66" s="446">
        <v>0</v>
      </c>
      <c r="S66" s="446">
        <v>0</v>
      </c>
      <c r="T66" s="446">
        <v>0</v>
      </c>
      <c r="U66" s="446">
        <v>0</v>
      </c>
      <c r="V66" s="446">
        <v>0</v>
      </c>
      <c r="W66" s="446">
        <v>0</v>
      </c>
      <c r="X66" s="429">
        <f t="shared" si="48"/>
        <v>0</v>
      </c>
      <c r="Y66" s="4129"/>
    </row>
    <row r="67" spans="1:26" s="301" customFormat="1" ht="11.25" hidden="1" customHeight="1">
      <c r="A67" s="3936"/>
      <c r="B67" s="379" t="s">
        <v>32</v>
      </c>
      <c r="C67" s="3625"/>
      <c r="D67" s="438">
        <f>+M67+O67+P67+Q67+R67+S67+T67+U67+V67+W67</f>
        <v>0</v>
      </c>
      <c r="E67" s="433">
        <v>0</v>
      </c>
      <c r="F67" s="440">
        <v>0</v>
      </c>
      <c r="G67" s="440"/>
      <c r="H67" s="433"/>
      <c r="I67" s="433">
        <v>0</v>
      </c>
      <c r="J67" s="433">
        <v>0</v>
      </c>
      <c r="K67" s="433">
        <v>0</v>
      </c>
      <c r="L67" s="433">
        <v>0</v>
      </c>
      <c r="M67" s="431">
        <v>0</v>
      </c>
      <c r="N67" s="440">
        <f>14000-14000</f>
        <v>0</v>
      </c>
      <c r="O67" s="440">
        <v>0</v>
      </c>
      <c r="P67" s="440">
        <v>0</v>
      </c>
      <c r="Q67" s="440">
        <v>0</v>
      </c>
      <c r="R67" s="440">
        <v>0</v>
      </c>
      <c r="S67" s="440">
        <v>0</v>
      </c>
      <c r="T67" s="440">
        <v>0</v>
      </c>
      <c r="U67" s="440">
        <v>0</v>
      </c>
      <c r="V67" s="440">
        <v>0</v>
      </c>
      <c r="W67" s="440">
        <v>0</v>
      </c>
      <c r="X67" s="1917">
        <f>+P67+Q67+R67+S67</f>
        <v>0</v>
      </c>
      <c r="Y67" s="4129"/>
    </row>
    <row r="68" spans="1:26" s="301" customFormat="1" ht="13.5" hidden="1" customHeight="1">
      <c r="A68" s="3936"/>
      <c r="B68" s="25" t="s">
        <v>33</v>
      </c>
      <c r="C68" s="26"/>
      <c r="D68" s="1916">
        <f>+D69</f>
        <v>0</v>
      </c>
      <c r="E68" s="1916">
        <f t="shared" ref="E68:N69" si="49">+E69</f>
        <v>0</v>
      </c>
      <c r="F68" s="1916">
        <f t="shared" si="49"/>
        <v>0</v>
      </c>
      <c r="G68" s="1916">
        <f t="shared" si="49"/>
        <v>0</v>
      </c>
      <c r="H68" s="1916">
        <f t="shared" si="49"/>
        <v>0</v>
      </c>
      <c r="I68" s="1916">
        <f t="shared" si="49"/>
        <v>0</v>
      </c>
      <c r="J68" s="1916">
        <f t="shared" si="49"/>
        <v>0</v>
      </c>
      <c r="K68" s="1916">
        <f t="shared" si="49"/>
        <v>0</v>
      </c>
      <c r="L68" s="1916">
        <f t="shared" si="49"/>
        <v>0</v>
      </c>
      <c r="M68" s="1916">
        <f t="shared" si="49"/>
        <v>0</v>
      </c>
      <c r="N68" s="1916">
        <f t="shared" si="49"/>
        <v>0</v>
      </c>
      <c r="O68" s="1916">
        <f t="shared" ref="O68:W69" si="50">O69</f>
        <v>0</v>
      </c>
      <c r="P68" s="1916">
        <f t="shared" si="50"/>
        <v>0</v>
      </c>
      <c r="Q68" s="1916">
        <f t="shared" si="50"/>
        <v>0</v>
      </c>
      <c r="R68" s="1916">
        <f t="shared" si="50"/>
        <v>0</v>
      </c>
      <c r="S68" s="1916">
        <f t="shared" si="50"/>
        <v>0</v>
      </c>
      <c r="T68" s="1916">
        <f t="shared" si="50"/>
        <v>0</v>
      </c>
      <c r="U68" s="1916">
        <f t="shared" si="50"/>
        <v>0</v>
      </c>
      <c r="V68" s="1916">
        <f t="shared" si="50"/>
        <v>0</v>
      </c>
      <c r="W68" s="1916">
        <f t="shared" si="50"/>
        <v>0</v>
      </c>
      <c r="X68" s="4158" t="s">
        <v>75</v>
      </c>
      <c r="Y68" s="4129"/>
    </row>
    <row r="69" spans="1:26" s="301" customFormat="1" ht="12" hidden="1" customHeight="1">
      <c r="A69" s="3936"/>
      <c r="B69" s="217" t="s">
        <v>29</v>
      </c>
      <c r="C69" s="4126" t="s">
        <v>99</v>
      </c>
      <c r="D69" s="441">
        <f>+D70</f>
        <v>0</v>
      </c>
      <c r="E69" s="442">
        <f t="shared" si="49"/>
        <v>0</v>
      </c>
      <c r="F69" s="442">
        <f t="shared" si="49"/>
        <v>0</v>
      </c>
      <c r="G69" s="442">
        <f t="shared" si="49"/>
        <v>0</v>
      </c>
      <c r="H69" s="442">
        <f t="shared" si="49"/>
        <v>0</v>
      </c>
      <c r="I69" s="442">
        <f t="shared" si="49"/>
        <v>0</v>
      </c>
      <c r="J69" s="442">
        <f t="shared" si="49"/>
        <v>0</v>
      </c>
      <c r="K69" s="442">
        <f t="shared" si="49"/>
        <v>0</v>
      </c>
      <c r="L69" s="442">
        <f t="shared" si="49"/>
        <v>0</v>
      </c>
      <c r="M69" s="442">
        <f t="shared" si="49"/>
        <v>0</v>
      </c>
      <c r="N69" s="442">
        <f t="shared" si="49"/>
        <v>0</v>
      </c>
      <c r="O69" s="442">
        <f t="shared" si="50"/>
        <v>0</v>
      </c>
      <c r="P69" s="442">
        <f t="shared" si="50"/>
        <v>0</v>
      </c>
      <c r="Q69" s="442">
        <f t="shared" si="50"/>
        <v>0</v>
      </c>
      <c r="R69" s="442">
        <f t="shared" si="50"/>
        <v>0</v>
      </c>
      <c r="S69" s="442">
        <f t="shared" si="50"/>
        <v>0</v>
      </c>
      <c r="T69" s="442">
        <f t="shared" si="50"/>
        <v>0</v>
      </c>
      <c r="U69" s="442">
        <f t="shared" si="50"/>
        <v>0</v>
      </c>
      <c r="V69" s="442">
        <f t="shared" si="50"/>
        <v>0</v>
      </c>
      <c r="W69" s="442">
        <f t="shared" si="50"/>
        <v>0</v>
      </c>
      <c r="X69" s="3635"/>
      <c r="Y69" s="4129"/>
    </row>
    <row r="70" spans="1:26" s="301" customFormat="1" ht="13.5" hidden="1" thickBot="1">
      <c r="A70" s="3937"/>
      <c r="B70" s="3229" t="s">
        <v>32</v>
      </c>
      <c r="C70" s="3626"/>
      <c r="D70" s="113">
        <f>+M70+O70+P70+Q70+R70+S70+T70+U70+V70+W70</f>
        <v>0</v>
      </c>
      <c r="E70" s="89">
        <v>0</v>
      </c>
      <c r="F70" s="90"/>
      <c r="G70" s="89"/>
      <c r="H70" s="89"/>
      <c r="I70" s="89">
        <v>0</v>
      </c>
      <c r="J70" s="89">
        <v>0</v>
      </c>
      <c r="K70" s="89">
        <v>0</v>
      </c>
      <c r="L70" s="89">
        <v>0</v>
      </c>
      <c r="M70" s="89">
        <v>0</v>
      </c>
      <c r="N70" s="90">
        <v>0</v>
      </c>
      <c r="O70" s="89">
        <f>14000-14000</f>
        <v>0</v>
      </c>
      <c r="P70" s="89">
        <v>0</v>
      </c>
      <c r="Q70" s="89">
        <v>0</v>
      </c>
      <c r="R70" s="89">
        <v>0</v>
      </c>
      <c r="S70" s="89">
        <v>0</v>
      </c>
      <c r="T70" s="89">
        <v>0</v>
      </c>
      <c r="U70" s="89">
        <v>0</v>
      </c>
      <c r="V70" s="89">
        <v>0</v>
      </c>
      <c r="W70" s="89">
        <v>0</v>
      </c>
      <c r="X70" s="3636"/>
      <c r="Y70" s="4148"/>
    </row>
    <row r="71" spans="1:26" s="301" customFormat="1" ht="30" hidden="1" customHeight="1">
      <c r="A71" s="3935" t="s">
        <v>80</v>
      </c>
      <c r="B71" s="233"/>
      <c r="C71" s="3210" t="s">
        <v>217</v>
      </c>
      <c r="D71" s="1902"/>
      <c r="E71" s="1903"/>
      <c r="F71" s="1903"/>
      <c r="G71" s="1903"/>
      <c r="H71" s="1903"/>
      <c r="I71" s="1903"/>
      <c r="J71" s="1903"/>
      <c r="K71" s="1903"/>
      <c r="L71" s="1904"/>
      <c r="M71" s="1904"/>
      <c r="N71" s="1904"/>
      <c r="O71" s="1904"/>
      <c r="P71" s="1905"/>
      <c r="Q71" s="1905"/>
      <c r="R71" s="1905"/>
      <c r="S71" s="1905"/>
      <c r="T71" s="1904"/>
      <c r="U71" s="1904"/>
      <c r="V71" s="1904"/>
      <c r="W71" s="1904"/>
      <c r="X71" s="1906"/>
      <c r="Y71" s="3863" t="s">
        <v>283</v>
      </c>
    </row>
    <row r="72" spans="1:26" s="301" customFormat="1" ht="12.75" hidden="1">
      <c r="A72" s="3936"/>
      <c r="B72" s="38" t="s">
        <v>21</v>
      </c>
      <c r="C72" s="26"/>
      <c r="D72" s="258">
        <f t="shared" ref="D72:X73" si="51">+D73</f>
        <v>0</v>
      </c>
      <c r="E72" s="258">
        <f t="shared" si="51"/>
        <v>0</v>
      </c>
      <c r="F72" s="258">
        <f t="shared" si="51"/>
        <v>0</v>
      </c>
      <c r="G72" s="258">
        <f t="shared" si="51"/>
        <v>0</v>
      </c>
      <c r="H72" s="258">
        <f t="shared" si="51"/>
        <v>0</v>
      </c>
      <c r="I72" s="258">
        <f t="shared" si="51"/>
        <v>0</v>
      </c>
      <c r="J72" s="258">
        <f t="shared" si="51"/>
        <v>0</v>
      </c>
      <c r="K72" s="258">
        <f t="shared" si="51"/>
        <v>0</v>
      </c>
      <c r="L72" s="258">
        <f t="shared" si="51"/>
        <v>0</v>
      </c>
      <c r="M72" s="258">
        <f t="shared" si="51"/>
        <v>0</v>
      </c>
      <c r="N72" s="258">
        <f t="shared" si="51"/>
        <v>0</v>
      </c>
      <c r="O72" s="258">
        <f t="shared" si="51"/>
        <v>0</v>
      </c>
      <c r="P72" s="258">
        <f t="shared" si="51"/>
        <v>0</v>
      </c>
      <c r="Q72" s="258">
        <f t="shared" si="51"/>
        <v>0</v>
      </c>
      <c r="R72" s="258">
        <f t="shared" si="51"/>
        <v>0</v>
      </c>
      <c r="S72" s="258">
        <f t="shared" si="51"/>
        <v>0</v>
      </c>
      <c r="T72" s="258">
        <f t="shared" si="51"/>
        <v>0</v>
      </c>
      <c r="U72" s="258">
        <f t="shared" si="51"/>
        <v>0</v>
      </c>
      <c r="V72" s="258">
        <f t="shared" si="51"/>
        <v>0</v>
      </c>
      <c r="W72" s="258">
        <f t="shared" si="51"/>
        <v>0</v>
      </c>
      <c r="X72" s="80">
        <f t="shared" si="51"/>
        <v>0</v>
      </c>
      <c r="Y72" s="3864"/>
    </row>
    <row r="73" spans="1:26" s="301" customFormat="1" ht="12.75" hidden="1" customHeight="1">
      <c r="A73" s="3936"/>
      <c r="B73" s="1269" t="s">
        <v>29</v>
      </c>
      <c r="C73" s="3624" t="s">
        <v>215</v>
      </c>
      <c r="D73" s="61">
        <f t="shared" si="51"/>
        <v>0</v>
      </c>
      <c r="E73" s="62">
        <f t="shared" si="51"/>
        <v>0</v>
      </c>
      <c r="F73" s="62">
        <f t="shared" si="51"/>
        <v>0</v>
      </c>
      <c r="G73" s="62">
        <f t="shared" si="51"/>
        <v>0</v>
      </c>
      <c r="H73" s="62">
        <f t="shared" si="51"/>
        <v>0</v>
      </c>
      <c r="I73" s="131">
        <f t="shared" si="51"/>
        <v>0</v>
      </c>
      <c r="J73" s="131">
        <f t="shared" si="51"/>
        <v>0</v>
      </c>
      <c r="K73" s="131">
        <f t="shared" si="51"/>
        <v>0</v>
      </c>
      <c r="L73" s="131">
        <f t="shared" si="51"/>
        <v>0</v>
      </c>
      <c r="M73" s="131">
        <f t="shared" si="51"/>
        <v>0</v>
      </c>
      <c r="N73" s="133">
        <f>N74</f>
        <v>0</v>
      </c>
      <c r="O73" s="133">
        <f>O74</f>
        <v>0</v>
      </c>
      <c r="P73" s="133">
        <v>0</v>
      </c>
      <c r="Q73" s="133">
        <v>0</v>
      </c>
      <c r="R73" s="133">
        <v>0</v>
      </c>
      <c r="S73" s="133">
        <v>0</v>
      </c>
      <c r="T73" s="133">
        <v>0</v>
      </c>
      <c r="U73" s="133">
        <v>0</v>
      </c>
      <c r="V73" s="133">
        <v>0</v>
      </c>
      <c r="W73" s="133">
        <v>0</v>
      </c>
      <c r="X73" s="99">
        <f t="shared" si="51"/>
        <v>0</v>
      </c>
      <c r="Y73" s="4129"/>
    </row>
    <row r="74" spans="1:26" s="301" customFormat="1" ht="12.75" hidden="1">
      <c r="A74" s="3936"/>
      <c r="B74" s="379" t="s">
        <v>32</v>
      </c>
      <c r="C74" s="3625"/>
      <c r="D74" s="66">
        <f>+M74+O74+P74+Q74+R74+S74+T74+U74+V74+W74</f>
        <v>0</v>
      </c>
      <c r="E74" s="57">
        <v>0</v>
      </c>
      <c r="F74" s="64">
        <v>0</v>
      </c>
      <c r="G74" s="64"/>
      <c r="H74" s="57"/>
      <c r="I74" s="57">
        <v>0</v>
      </c>
      <c r="J74" s="57">
        <v>0</v>
      </c>
      <c r="K74" s="57">
        <v>0</v>
      </c>
      <c r="L74" s="57">
        <v>0</v>
      </c>
      <c r="M74" s="59">
        <v>0</v>
      </c>
      <c r="N74" s="64"/>
      <c r="O74" s="64">
        <v>0</v>
      </c>
      <c r="P74" s="64">
        <v>0</v>
      </c>
      <c r="Q74" s="64">
        <v>0</v>
      </c>
      <c r="R74" s="64">
        <v>0</v>
      </c>
      <c r="S74" s="64">
        <v>0</v>
      </c>
      <c r="T74" s="64">
        <v>0</v>
      </c>
      <c r="U74" s="64">
        <v>0</v>
      </c>
      <c r="V74" s="64">
        <v>0</v>
      </c>
      <c r="W74" s="64">
        <v>0</v>
      </c>
      <c r="X74" s="375">
        <f>+P74+Q74+R74+S74</f>
        <v>0</v>
      </c>
      <c r="Y74" s="4129"/>
    </row>
    <row r="75" spans="1:26" s="301" customFormat="1" ht="12.75" hidden="1">
      <c r="A75" s="3936"/>
      <c r="B75" s="25" t="s">
        <v>33</v>
      </c>
      <c r="C75" s="26"/>
      <c r="D75" s="258">
        <f>+D76</f>
        <v>0</v>
      </c>
      <c r="E75" s="258">
        <f t="shared" ref="E75:N76" si="52">+E76</f>
        <v>0</v>
      </c>
      <c r="F75" s="258">
        <f t="shared" si="52"/>
        <v>0</v>
      </c>
      <c r="G75" s="258">
        <f t="shared" si="52"/>
        <v>0</v>
      </c>
      <c r="H75" s="258">
        <f t="shared" si="52"/>
        <v>0</v>
      </c>
      <c r="I75" s="258">
        <f t="shared" si="52"/>
        <v>0</v>
      </c>
      <c r="J75" s="258">
        <f t="shared" si="52"/>
        <v>0</v>
      </c>
      <c r="K75" s="258">
        <f t="shared" si="52"/>
        <v>0</v>
      </c>
      <c r="L75" s="258">
        <f t="shared" si="52"/>
        <v>0</v>
      </c>
      <c r="M75" s="258">
        <f t="shared" si="52"/>
        <v>0</v>
      </c>
      <c r="N75" s="258">
        <f t="shared" si="52"/>
        <v>0</v>
      </c>
      <c r="O75" s="258">
        <f t="shared" ref="O75:W76" si="53">O76</f>
        <v>0</v>
      </c>
      <c r="P75" s="258">
        <f t="shared" si="53"/>
        <v>0</v>
      </c>
      <c r="Q75" s="258">
        <f t="shared" si="53"/>
        <v>0</v>
      </c>
      <c r="R75" s="258">
        <f t="shared" si="53"/>
        <v>0</v>
      </c>
      <c r="S75" s="258">
        <f t="shared" si="53"/>
        <v>0</v>
      </c>
      <c r="T75" s="258">
        <f t="shared" si="53"/>
        <v>0</v>
      </c>
      <c r="U75" s="258">
        <f t="shared" si="53"/>
        <v>0</v>
      </c>
      <c r="V75" s="258">
        <f t="shared" si="53"/>
        <v>0</v>
      </c>
      <c r="W75" s="258">
        <f t="shared" si="53"/>
        <v>0</v>
      </c>
      <c r="X75" s="3667" t="s">
        <v>75</v>
      </c>
      <c r="Y75" s="4129"/>
      <c r="Z75" s="864">
        <v>6000000</v>
      </c>
    </row>
    <row r="76" spans="1:26" s="301" customFormat="1" ht="12" hidden="1" customHeight="1">
      <c r="A76" s="3936"/>
      <c r="B76" s="217" t="s">
        <v>29</v>
      </c>
      <c r="C76" s="3728" t="s">
        <v>99</v>
      </c>
      <c r="D76" s="61">
        <f>+D77</f>
        <v>0</v>
      </c>
      <c r="E76" s="62">
        <f t="shared" si="52"/>
        <v>0</v>
      </c>
      <c r="F76" s="62">
        <f t="shared" si="52"/>
        <v>0</v>
      </c>
      <c r="G76" s="62">
        <f t="shared" si="52"/>
        <v>0</v>
      </c>
      <c r="H76" s="62">
        <f t="shared" si="52"/>
        <v>0</v>
      </c>
      <c r="I76" s="62">
        <f t="shared" si="52"/>
        <v>0</v>
      </c>
      <c r="J76" s="62">
        <f t="shared" si="52"/>
        <v>0</v>
      </c>
      <c r="K76" s="62">
        <f t="shared" si="52"/>
        <v>0</v>
      </c>
      <c r="L76" s="62">
        <f t="shared" si="52"/>
        <v>0</v>
      </c>
      <c r="M76" s="62">
        <f t="shared" si="52"/>
        <v>0</v>
      </c>
      <c r="N76" s="62">
        <f t="shared" si="52"/>
        <v>0</v>
      </c>
      <c r="O76" s="62">
        <f t="shared" si="53"/>
        <v>0</v>
      </c>
      <c r="P76" s="62">
        <f t="shared" si="53"/>
        <v>0</v>
      </c>
      <c r="Q76" s="62">
        <f t="shared" si="53"/>
        <v>0</v>
      </c>
      <c r="R76" s="62">
        <f t="shared" si="53"/>
        <v>0</v>
      </c>
      <c r="S76" s="62">
        <f t="shared" si="53"/>
        <v>0</v>
      </c>
      <c r="T76" s="62">
        <f t="shared" si="53"/>
        <v>0</v>
      </c>
      <c r="U76" s="62">
        <f t="shared" si="53"/>
        <v>0</v>
      </c>
      <c r="V76" s="62">
        <f t="shared" si="53"/>
        <v>0</v>
      </c>
      <c r="W76" s="62">
        <f t="shared" si="53"/>
        <v>0</v>
      </c>
      <c r="X76" s="3635"/>
      <c r="Y76" s="4129"/>
    </row>
    <row r="77" spans="1:26" s="301" customFormat="1" ht="13.5" hidden="1" thickBot="1">
      <c r="A77" s="3937"/>
      <c r="B77" s="3229" t="s">
        <v>32</v>
      </c>
      <c r="C77" s="3626"/>
      <c r="D77" s="113">
        <f>+M77+O77+P77+Q77+R77+S77+T77+U77+V77+W77</f>
        <v>0</v>
      </c>
      <c r="E77" s="89">
        <v>0</v>
      </c>
      <c r="F77" s="90"/>
      <c r="G77" s="89"/>
      <c r="H77" s="89"/>
      <c r="I77" s="89">
        <v>0</v>
      </c>
      <c r="J77" s="89">
        <v>0</v>
      </c>
      <c r="K77" s="89">
        <v>0</v>
      </c>
      <c r="L77" s="89">
        <v>0</v>
      </c>
      <c r="M77" s="89">
        <v>0</v>
      </c>
      <c r="N77" s="90"/>
      <c r="O77" s="89">
        <v>0</v>
      </c>
      <c r="P77" s="89">
        <v>0</v>
      </c>
      <c r="Q77" s="89">
        <v>0</v>
      </c>
      <c r="R77" s="89">
        <v>0</v>
      </c>
      <c r="S77" s="89">
        <v>0</v>
      </c>
      <c r="T77" s="89">
        <v>0</v>
      </c>
      <c r="U77" s="89">
        <v>0</v>
      </c>
      <c r="V77" s="89">
        <v>0</v>
      </c>
      <c r="W77" s="89">
        <v>0</v>
      </c>
      <c r="X77" s="3636"/>
      <c r="Y77" s="4148"/>
    </row>
    <row r="78" spans="1:26" s="301" customFormat="1" ht="27.75" hidden="1" customHeight="1">
      <c r="A78" s="3940" t="s">
        <v>77</v>
      </c>
      <c r="B78" s="233" t="s">
        <v>539</v>
      </c>
      <c r="C78" s="3210" t="s">
        <v>217</v>
      </c>
      <c r="D78" s="1902"/>
      <c r="E78" s="1903"/>
      <c r="F78" s="1903"/>
      <c r="G78" s="1903"/>
      <c r="H78" s="1903"/>
      <c r="I78" s="1903"/>
      <c r="J78" s="1903"/>
      <c r="K78" s="1903"/>
      <c r="L78" s="1904"/>
      <c r="M78" s="1904"/>
      <c r="N78" s="1904"/>
      <c r="O78" s="1904"/>
      <c r="P78" s="1905"/>
      <c r="Q78" s="1905"/>
      <c r="R78" s="1905"/>
      <c r="S78" s="1905"/>
      <c r="T78" s="1904"/>
      <c r="U78" s="1904"/>
      <c r="V78" s="1904"/>
      <c r="W78" s="1904"/>
      <c r="X78" s="1906"/>
      <c r="Y78" s="3746" t="s">
        <v>283</v>
      </c>
    </row>
    <row r="79" spans="1:26" s="301" customFormat="1" ht="12.75" hidden="1">
      <c r="A79" s="3936"/>
      <c r="B79" s="38" t="s">
        <v>21</v>
      </c>
      <c r="C79" s="26"/>
      <c r="D79" s="258">
        <f>I79+J79+K79+L79+N79+O79+P79+Q79+R79</f>
        <v>0</v>
      </c>
      <c r="E79" s="258">
        <f t="shared" ref="E79:J79" si="54">+E82</f>
        <v>0</v>
      </c>
      <c r="F79" s="258">
        <f t="shared" si="54"/>
        <v>0</v>
      </c>
      <c r="G79" s="258">
        <f t="shared" si="54"/>
        <v>0</v>
      </c>
      <c r="H79" s="258">
        <f t="shared" si="54"/>
        <v>0</v>
      </c>
      <c r="I79" s="258">
        <f>+I82</f>
        <v>0</v>
      </c>
      <c r="J79" s="258">
        <f t="shared" si="54"/>
        <v>0</v>
      </c>
      <c r="K79" s="258">
        <f t="shared" ref="K79:P79" si="55">K80+K82</f>
        <v>0</v>
      </c>
      <c r="L79" s="258">
        <f t="shared" si="55"/>
        <v>0</v>
      </c>
      <c r="M79" s="258">
        <f t="shared" si="55"/>
        <v>0</v>
      </c>
      <c r="N79" s="258">
        <f t="shared" si="55"/>
        <v>0</v>
      </c>
      <c r="O79" s="258">
        <f t="shared" si="55"/>
        <v>0</v>
      </c>
      <c r="P79" s="258">
        <f t="shared" si="55"/>
        <v>0</v>
      </c>
      <c r="Q79" s="258">
        <f t="shared" ref="Q79:W79" si="56">+Q82</f>
        <v>0</v>
      </c>
      <c r="R79" s="258">
        <f t="shared" si="56"/>
        <v>0</v>
      </c>
      <c r="S79" s="258">
        <f t="shared" si="56"/>
        <v>0</v>
      </c>
      <c r="T79" s="258">
        <f t="shared" si="56"/>
        <v>0</v>
      </c>
      <c r="U79" s="258">
        <f t="shared" si="56"/>
        <v>0</v>
      </c>
      <c r="V79" s="258">
        <f t="shared" si="56"/>
        <v>0</v>
      </c>
      <c r="W79" s="258">
        <f t="shared" si="56"/>
        <v>0</v>
      </c>
      <c r="X79" s="80">
        <f>+X82+X80</f>
        <v>0</v>
      </c>
      <c r="Y79" s="3747"/>
    </row>
    <row r="80" spans="1:26" s="301" customFormat="1" ht="14.25" hidden="1" customHeight="1">
      <c r="A80" s="3936"/>
      <c r="B80" s="1918" t="s">
        <v>35</v>
      </c>
      <c r="C80" s="3764" t="s">
        <v>215</v>
      </c>
      <c r="D80" s="441">
        <f>D81</f>
        <v>0</v>
      </c>
      <c r="E80" s="442"/>
      <c r="F80" s="442"/>
      <c r="G80" s="442"/>
      <c r="H80" s="442"/>
      <c r="I80" s="445"/>
      <c r="J80" s="445"/>
      <c r="K80" s="445">
        <f t="shared" ref="K80:P80" si="57">K81</f>
        <v>0</v>
      </c>
      <c r="L80" s="445">
        <f t="shared" si="57"/>
        <v>0</v>
      </c>
      <c r="M80" s="445">
        <f t="shared" si="57"/>
        <v>0</v>
      </c>
      <c r="N80" s="446">
        <f t="shared" si="57"/>
        <v>0</v>
      </c>
      <c r="O80" s="446">
        <f t="shared" si="57"/>
        <v>0</v>
      </c>
      <c r="P80" s="446">
        <f t="shared" si="57"/>
        <v>0</v>
      </c>
      <c r="Q80" s="446">
        <v>0</v>
      </c>
      <c r="R80" s="446">
        <v>0</v>
      </c>
      <c r="S80" s="446">
        <v>0</v>
      </c>
      <c r="T80" s="446">
        <v>0</v>
      </c>
      <c r="U80" s="446">
        <v>0</v>
      </c>
      <c r="V80" s="446">
        <v>0</v>
      </c>
      <c r="W80" s="446">
        <v>0</v>
      </c>
      <c r="X80" s="429">
        <f>X81</f>
        <v>0</v>
      </c>
      <c r="Y80" s="3747"/>
    </row>
    <row r="81" spans="1:26" s="301" customFormat="1" ht="14.25" hidden="1" customHeight="1">
      <c r="A81" s="3936"/>
      <c r="B81" s="1919" t="s">
        <v>23</v>
      </c>
      <c r="C81" s="3612"/>
      <c r="D81" s="325">
        <f>M81+P81+Q81+R81+S81+T81+U81+V81+W81</f>
        <v>0</v>
      </c>
      <c r="E81" s="433"/>
      <c r="F81" s="440"/>
      <c r="G81" s="440"/>
      <c r="H81" s="433"/>
      <c r="I81" s="433"/>
      <c r="J81" s="433"/>
      <c r="K81" s="433"/>
      <c r="L81" s="433"/>
      <c r="M81" s="2200"/>
      <c r="N81" s="440"/>
      <c r="O81" s="440"/>
      <c r="P81" s="440">
        <v>0</v>
      </c>
      <c r="Q81" s="440">
        <v>0</v>
      </c>
      <c r="R81" s="440">
        <v>0</v>
      </c>
      <c r="S81" s="440">
        <v>0</v>
      </c>
      <c r="T81" s="440">
        <v>0</v>
      </c>
      <c r="U81" s="440">
        <v>0</v>
      </c>
      <c r="V81" s="440">
        <v>0</v>
      </c>
      <c r="W81" s="440">
        <v>0</v>
      </c>
      <c r="X81" s="1899">
        <f>SUM(Q81:W81)</f>
        <v>0</v>
      </c>
      <c r="Y81" s="3747"/>
    </row>
    <row r="82" spans="1:26" s="301" customFormat="1" ht="12.75" hidden="1" customHeight="1">
      <c r="A82" s="3936"/>
      <c r="B82" s="1269" t="s">
        <v>29</v>
      </c>
      <c r="C82" s="3612"/>
      <c r="D82" s="61">
        <f>I82+J82+K82+L82+N82+O82+P82+Q82+R82</f>
        <v>0</v>
      </c>
      <c r="E82" s="62">
        <f t="shared" ref="E82:X82" si="58">+E83</f>
        <v>0</v>
      </c>
      <c r="F82" s="62">
        <f t="shared" si="58"/>
        <v>0</v>
      </c>
      <c r="G82" s="62">
        <f t="shared" si="58"/>
        <v>0</v>
      </c>
      <c r="H82" s="62">
        <f t="shared" si="58"/>
        <v>0</v>
      </c>
      <c r="I82" s="131">
        <f t="shared" si="58"/>
        <v>0</v>
      </c>
      <c r="J82" s="131">
        <f t="shared" si="58"/>
        <v>0</v>
      </c>
      <c r="K82" s="131">
        <f t="shared" si="58"/>
        <v>0</v>
      </c>
      <c r="L82" s="131">
        <f t="shared" si="58"/>
        <v>0</v>
      </c>
      <c r="M82" s="131">
        <f t="shared" si="58"/>
        <v>0</v>
      </c>
      <c r="N82" s="133">
        <f>N83</f>
        <v>0</v>
      </c>
      <c r="O82" s="133">
        <f>O83</f>
        <v>0</v>
      </c>
      <c r="P82" s="133">
        <v>0</v>
      </c>
      <c r="Q82" s="133">
        <v>0</v>
      </c>
      <c r="R82" s="133">
        <v>0</v>
      </c>
      <c r="S82" s="133">
        <v>0</v>
      </c>
      <c r="T82" s="133">
        <v>0</v>
      </c>
      <c r="U82" s="133">
        <v>0</v>
      </c>
      <c r="V82" s="133">
        <v>0</v>
      </c>
      <c r="W82" s="133">
        <v>0</v>
      </c>
      <c r="X82" s="99">
        <f t="shared" si="58"/>
        <v>0</v>
      </c>
      <c r="Y82" s="3622"/>
    </row>
    <row r="83" spans="1:26" s="301" customFormat="1" ht="12.75" hidden="1">
      <c r="A83" s="3936"/>
      <c r="B83" s="379" t="s">
        <v>32</v>
      </c>
      <c r="C83" s="3670"/>
      <c r="D83" s="325">
        <f>M83+P83+Q83+R83+S83+T83+U83+V83+W83</f>
        <v>0</v>
      </c>
      <c r="E83" s="57"/>
      <c r="F83" s="64">
        <v>0</v>
      </c>
      <c r="G83" s="64"/>
      <c r="H83" s="57"/>
      <c r="I83" s="57"/>
      <c r="J83" s="57"/>
      <c r="K83" s="57"/>
      <c r="L83" s="57"/>
      <c r="M83" s="2200"/>
      <c r="N83" s="64"/>
      <c r="O83" s="64"/>
      <c r="P83" s="64">
        <v>0</v>
      </c>
      <c r="Q83" s="64">
        <v>0</v>
      </c>
      <c r="R83" s="64">
        <v>0</v>
      </c>
      <c r="S83" s="64">
        <v>0</v>
      </c>
      <c r="T83" s="64">
        <v>0</v>
      </c>
      <c r="U83" s="64">
        <v>0</v>
      </c>
      <c r="V83" s="64">
        <v>0</v>
      </c>
      <c r="W83" s="64">
        <v>0</v>
      </c>
      <c r="X83" s="1899">
        <f>SUM(Q83:W83)</f>
        <v>0</v>
      </c>
      <c r="Y83" s="3622"/>
    </row>
    <row r="84" spans="1:26" s="301" customFormat="1" ht="12.75" hidden="1">
      <c r="A84" s="3936"/>
      <c r="B84" s="25" t="s">
        <v>33</v>
      </c>
      <c r="C84" s="26"/>
      <c r="D84" s="258">
        <f>I84+J84+K84+L84+N84+O84+P84+Q84+R84</f>
        <v>0</v>
      </c>
      <c r="E84" s="258">
        <f t="shared" ref="E84:N85" si="59">+E85</f>
        <v>0</v>
      </c>
      <c r="F84" s="258">
        <f t="shared" si="59"/>
        <v>0</v>
      </c>
      <c r="G84" s="258">
        <f t="shared" si="59"/>
        <v>0</v>
      </c>
      <c r="H84" s="258">
        <f t="shared" si="59"/>
        <v>0</v>
      </c>
      <c r="I84" s="258">
        <f t="shared" si="59"/>
        <v>0</v>
      </c>
      <c r="J84" s="258">
        <f t="shared" si="59"/>
        <v>0</v>
      </c>
      <c r="K84" s="258">
        <f t="shared" si="59"/>
        <v>0</v>
      </c>
      <c r="L84" s="258">
        <f t="shared" si="59"/>
        <v>0</v>
      </c>
      <c r="M84" s="258">
        <f t="shared" si="59"/>
        <v>0</v>
      </c>
      <c r="N84" s="258">
        <f t="shared" si="59"/>
        <v>0</v>
      </c>
      <c r="O84" s="258">
        <f t="shared" ref="O84:W85" si="60">O85</f>
        <v>0</v>
      </c>
      <c r="P84" s="258">
        <f t="shared" si="60"/>
        <v>0</v>
      </c>
      <c r="Q84" s="258">
        <f t="shared" si="60"/>
        <v>0</v>
      </c>
      <c r="R84" s="258">
        <f t="shared" si="60"/>
        <v>0</v>
      </c>
      <c r="S84" s="258">
        <f t="shared" si="60"/>
        <v>0</v>
      </c>
      <c r="T84" s="258">
        <f t="shared" si="60"/>
        <v>0</v>
      </c>
      <c r="U84" s="258">
        <f t="shared" si="60"/>
        <v>0</v>
      </c>
      <c r="V84" s="258">
        <f t="shared" si="60"/>
        <v>0</v>
      </c>
      <c r="W84" s="258">
        <f t="shared" si="60"/>
        <v>0</v>
      </c>
      <c r="X84" s="3667" t="s">
        <v>75</v>
      </c>
      <c r="Y84" s="3622"/>
      <c r="Z84" s="864">
        <v>683592</v>
      </c>
    </row>
    <row r="85" spans="1:26" s="301" customFormat="1" ht="12.75" hidden="1" customHeight="1">
      <c r="A85" s="3936"/>
      <c r="B85" s="217" t="s">
        <v>29</v>
      </c>
      <c r="C85" s="3728" t="s">
        <v>99</v>
      </c>
      <c r="D85" s="61">
        <f>I85+J85+K85+L85+N85+O85+P85+Q85+R85</f>
        <v>0</v>
      </c>
      <c r="E85" s="62">
        <f t="shared" si="59"/>
        <v>0</v>
      </c>
      <c r="F85" s="62">
        <f t="shared" si="59"/>
        <v>0</v>
      </c>
      <c r="G85" s="62">
        <f t="shared" si="59"/>
        <v>0</v>
      </c>
      <c r="H85" s="62">
        <f t="shared" si="59"/>
        <v>0</v>
      </c>
      <c r="I85" s="62">
        <f t="shared" si="59"/>
        <v>0</v>
      </c>
      <c r="J85" s="62">
        <f t="shared" si="59"/>
        <v>0</v>
      </c>
      <c r="K85" s="62">
        <f t="shared" si="59"/>
        <v>0</v>
      </c>
      <c r="L85" s="62">
        <f t="shared" si="59"/>
        <v>0</v>
      </c>
      <c r="M85" s="62">
        <f t="shared" si="59"/>
        <v>0</v>
      </c>
      <c r="N85" s="62">
        <f t="shared" si="59"/>
        <v>0</v>
      </c>
      <c r="O85" s="62">
        <f t="shared" si="60"/>
        <v>0</v>
      </c>
      <c r="P85" s="62">
        <f t="shared" si="60"/>
        <v>0</v>
      </c>
      <c r="Q85" s="62">
        <f t="shared" si="60"/>
        <v>0</v>
      </c>
      <c r="R85" s="62">
        <f t="shared" si="60"/>
        <v>0</v>
      </c>
      <c r="S85" s="62">
        <f t="shared" si="60"/>
        <v>0</v>
      </c>
      <c r="T85" s="62">
        <f t="shared" si="60"/>
        <v>0</v>
      </c>
      <c r="U85" s="62">
        <f t="shared" si="60"/>
        <v>0</v>
      </c>
      <c r="V85" s="62">
        <f t="shared" si="60"/>
        <v>0</v>
      </c>
      <c r="W85" s="62">
        <f t="shared" si="60"/>
        <v>0</v>
      </c>
      <c r="X85" s="3635"/>
      <c r="Y85" s="3622"/>
    </row>
    <row r="86" spans="1:26" s="301" customFormat="1" ht="13.5" hidden="1" thickBot="1">
      <c r="A86" s="3937"/>
      <c r="B86" s="3229" t="s">
        <v>32</v>
      </c>
      <c r="C86" s="3626"/>
      <c r="D86" s="325">
        <f>M86+P86+Q86+R86+S86+T86+U86+V86+W86</f>
        <v>0</v>
      </c>
      <c r="E86" s="89"/>
      <c r="F86" s="90"/>
      <c r="G86" s="89"/>
      <c r="H86" s="89"/>
      <c r="I86" s="89">
        <v>0</v>
      </c>
      <c r="J86" s="89">
        <v>0</v>
      </c>
      <c r="K86" s="89">
        <v>0</v>
      </c>
      <c r="L86" s="89">
        <v>0</v>
      </c>
      <c r="M86" s="2200"/>
      <c r="N86" s="90">
        <v>0</v>
      </c>
      <c r="O86" s="89"/>
      <c r="P86" s="89">
        <v>0</v>
      </c>
      <c r="Q86" s="89">
        <v>0</v>
      </c>
      <c r="R86" s="89">
        <v>0</v>
      </c>
      <c r="S86" s="89">
        <v>0</v>
      </c>
      <c r="T86" s="89">
        <v>0</v>
      </c>
      <c r="U86" s="89">
        <v>0</v>
      </c>
      <c r="V86" s="89">
        <v>0</v>
      </c>
      <c r="W86" s="89">
        <v>0</v>
      </c>
      <c r="X86" s="3636"/>
      <c r="Y86" s="4161"/>
    </row>
    <row r="87" spans="1:26" s="301" customFormat="1" ht="27.75" hidden="1" customHeight="1">
      <c r="A87" s="3940" t="s">
        <v>78</v>
      </c>
      <c r="B87" s="233" t="s">
        <v>540</v>
      </c>
      <c r="C87" s="3210" t="s">
        <v>95</v>
      </c>
      <c r="D87" s="1902"/>
      <c r="E87" s="1903"/>
      <c r="F87" s="1903"/>
      <c r="G87" s="1903"/>
      <c r="H87" s="1903"/>
      <c r="I87" s="1903"/>
      <c r="J87" s="1903"/>
      <c r="K87" s="1903"/>
      <c r="L87" s="1904"/>
      <c r="M87" s="1904"/>
      <c r="N87" s="1904"/>
      <c r="O87" s="1904"/>
      <c r="P87" s="1905"/>
      <c r="Q87" s="1905"/>
      <c r="R87" s="1905"/>
      <c r="S87" s="1905"/>
      <c r="T87" s="1904"/>
      <c r="U87" s="1904"/>
      <c r="V87" s="1904"/>
      <c r="W87" s="1904"/>
      <c r="X87" s="1906"/>
      <c r="Y87" s="3864" t="s">
        <v>283</v>
      </c>
    </row>
    <row r="88" spans="1:26" s="301" customFormat="1" ht="12.75" hidden="1">
      <c r="A88" s="3936"/>
      <c r="B88" s="38" t="s">
        <v>21</v>
      </c>
      <c r="C88" s="26"/>
      <c r="D88" s="258">
        <f>D89+D91</f>
        <v>0</v>
      </c>
      <c r="E88" s="258">
        <f t="shared" ref="E88:M88" si="61">E89+E91</f>
        <v>0</v>
      </c>
      <c r="F88" s="258">
        <f t="shared" si="61"/>
        <v>0</v>
      </c>
      <c r="G88" s="258">
        <f t="shared" si="61"/>
        <v>0</v>
      </c>
      <c r="H88" s="258">
        <f t="shared" si="61"/>
        <v>0</v>
      </c>
      <c r="I88" s="258">
        <f t="shared" si="61"/>
        <v>0</v>
      </c>
      <c r="J88" s="258">
        <f t="shared" si="61"/>
        <v>0</v>
      </c>
      <c r="K88" s="258">
        <f t="shared" si="61"/>
        <v>0</v>
      </c>
      <c r="L88" s="258">
        <f t="shared" si="61"/>
        <v>0</v>
      </c>
      <c r="M88" s="258">
        <f t="shared" si="61"/>
        <v>0</v>
      </c>
      <c r="N88" s="258">
        <f t="shared" ref="N88:O88" si="62">+N91</f>
        <v>0</v>
      </c>
      <c r="O88" s="258">
        <f t="shared" si="62"/>
        <v>0</v>
      </c>
      <c r="P88" s="258">
        <f>P89</f>
        <v>0</v>
      </c>
      <c r="Q88" s="258">
        <f t="shared" ref="Q88:W88" si="63">+Q91</f>
        <v>0</v>
      </c>
      <c r="R88" s="258">
        <f t="shared" si="63"/>
        <v>0</v>
      </c>
      <c r="S88" s="258">
        <f t="shared" si="63"/>
        <v>0</v>
      </c>
      <c r="T88" s="258">
        <f t="shared" si="63"/>
        <v>0</v>
      </c>
      <c r="U88" s="258">
        <f t="shared" si="63"/>
        <v>0</v>
      </c>
      <c r="V88" s="258">
        <f t="shared" si="63"/>
        <v>0</v>
      </c>
      <c r="W88" s="258">
        <f t="shared" si="63"/>
        <v>0</v>
      </c>
      <c r="X88" s="80">
        <f>X89</f>
        <v>0</v>
      </c>
      <c r="Y88" s="3864"/>
    </row>
    <row r="89" spans="1:26" s="301" customFormat="1" ht="14.25" hidden="1" customHeight="1">
      <c r="A89" s="3936"/>
      <c r="B89" s="1918" t="s">
        <v>35</v>
      </c>
      <c r="C89" s="3611" t="s">
        <v>215</v>
      </c>
      <c r="D89" s="441">
        <f>D90</f>
        <v>0</v>
      </c>
      <c r="E89" s="442"/>
      <c r="F89" s="442"/>
      <c r="G89" s="442"/>
      <c r="H89" s="442"/>
      <c r="I89" s="445"/>
      <c r="J89" s="445"/>
      <c r="K89" s="445">
        <f>K90</f>
        <v>0</v>
      </c>
      <c r="L89" s="445">
        <f>L90</f>
        <v>0</v>
      </c>
      <c r="M89" s="445">
        <f>M90</f>
        <v>0</v>
      </c>
      <c r="N89" s="446">
        <f>N90</f>
        <v>0</v>
      </c>
      <c r="O89" s="446">
        <f>O90</f>
        <v>0</v>
      </c>
      <c r="P89" s="446">
        <f>P90</f>
        <v>0</v>
      </c>
      <c r="Q89" s="446">
        <v>0</v>
      </c>
      <c r="R89" s="446">
        <v>0</v>
      </c>
      <c r="S89" s="446">
        <v>0</v>
      </c>
      <c r="T89" s="446">
        <v>0</v>
      </c>
      <c r="U89" s="446">
        <v>0</v>
      </c>
      <c r="V89" s="446">
        <v>0</v>
      </c>
      <c r="W89" s="446">
        <v>0</v>
      </c>
      <c r="X89" s="429">
        <f>X90</f>
        <v>0</v>
      </c>
      <c r="Y89" s="3864"/>
    </row>
    <row r="90" spans="1:26" s="301" customFormat="1" ht="14.25" hidden="1" customHeight="1">
      <c r="A90" s="3936"/>
      <c r="B90" s="1919" t="s">
        <v>23</v>
      </c>
      <c r="C90" s="3612"/>
      <c r="D90" s="325">
        <f>M90+P90+Q90+R90+S90+T90+U90+V90+W90</f>
        <v>0</v>
      </c>
      <c r="E90" s="433"/>
      <c r="F90" s="440"/>
      <c r="G90" s="440"/>
      <c r="H90" s="433"/>
      <c r="I90" s="433"/>
      <c r="J90" s="433"/>
      <c r="K90" s="433"/>
      <c r="L90" s="433"/>
      <c r="M90" s="2200">
        <f>+E90+I90+J90+K90+L90+N90+O90</f>
        <v>0</v>
      </c>
      <c r="N90" s="440"/>
      <c r="O90" s="440">
        <v>0</v>
      </c>
      <c r="P90" s="440"/>
      <c r="Q90" s="440">
        <v>0</v>
      </c>
      <c r="R90" s="440">
        <v>0</v>
      </c>
      <c r="S90" s="440">
        <v>0</v>
      </c>
      <c r="T90" s="440">
        <v>0</v>
      </c>
      <c r="U90" s="440">
        <v>0</v>
      </c>
      <c r="V90" s="440">
        <v>0</v>
      </c>
      <c r="W90" s="440">
        <v>0</v>
      </c>
      <c r="X90" s="1899">
        <f>SUM(Q90:W90)</f>
        <v>0</v>
      </c>
      <c r="Y90" s="3864"/>
    </row>
    <row r="91" spans="1:26" s="301" customFormat="1" ht="12.75" hidden="1" customHeight="1">
      <c r="A91" s="3936"/>
      <c r="B91" s="1269" t="s">
        <v>29</v>
      </c>
      <c r="C91" s="3612"/>
      <c r="D91" s="61">
        <f>D92</f>
        <v>0</v>
      </c>
      <c r="E91" s="62">
        <f t="shared" ref="E91:X91" si="64">+E92</f>
        <v>0</v>
      </c>
      <c r="F91" s="62">
        <f t="shared" si="64"/>
        <v>0</v>
      </c>
      <c r="G91" s="62">
        <f t="shared" si="64"/>
        <v>0</v>
      </c>
      <c r="H91" s="62">
        <f t="shared" si="64"/>
        <v>0</v>
      </c>
      <c r="I91" s="131">
        <f t="shared" si="64"/>
        <v>0</v>
      </c>
      <c r="J91" s="131">
        <f t="shared" si="64"/>
        <v>0</v>
      </c>
      <c r="K91" s="131">
        <f t="shared" si="64"/>
        <v>0</v>
      </c>
      <c r="L91" s="131">
        <f t="shared" si="64"/>
        <v>0</v>
      </c>
      <c r="M91" s="131">
        <f t="shared" si="64"/>
        <v>0</v>
      </c>
      <c r="N91" s="133">
        <f>N92</f>
        <v>0</v>
      </c>
      <c r="O91" s="133">
        <f>O92</f>
        <v>0</v>
      </c>
      <c r="P91" s="133">
        <v>0</v>
      </c>
      <c r="Q91" s="133">
        <v>0</v>
      </c>
      <c r="R91" s="133">
        <v>0</v>
      </c>
      <c r="S91" s="133">
        <v>0</v>
      </c>
      <c r="T91" s="133">
        <v>0</v>
      </c>
      <c r="U91" s="133">
        <v>0</v>
      </c>
      <c r="V91" s="133">
        <v>0</v>
      </c>
      <c r="W91" s="133">
        <v>0</v>
      </c>
      <c r="X91" s="99">
        <f t="shared" si="64"/>
        <v>0</v>
      </c>
      <c r="Y91" s="4129"/>
    </row>
    <row r="92" spans="1:26" s="301" customFormat="1" ht="12.75" hidden="1">
      <c r="A92" s="3936"/>
      <c r="B92" s="379" t="s">
        <v>32</v>
      </c>
      <c r="C92" s="3670"/>
      <c r="D92" s="325">
        <f>M92+P92+Q92+R92+S92+T92+U92+V92+W92</f>
        <v>0</v>
      </c>
      <c r="E92" s="57"/>
      <c r="F92" s="64">
        <v>0</v>
      </c>
      <c r="G92" s="64"/>
      <c r="H92" s="57"/>
      <c r="I92" s="57"/>
      <c r="J92" s="57"/>
      <c r="K92" s="57"/>
      <c r="L92" s="57"/>
      <c r="M92" s="2200"/>
      <c r="N92" s="64">
        <v>0</v>
      </c>
      <c r="O92" s="64"/>
      <c r="P92" s="64">
        <v>0</v>
      </c>
      <c r="Q92" s="64">
        <v>0</v>
      </c>
      <c r="R92" s="64">
        <v>0</v>
      </c>
      <c r="S92" s="64">
        <v>0</v>
      </c>
      <c r="T92" s="64">
        <v>0</v>
      </c>
      <c r="U92" s="64">
        <v>0</v>
      </c>
      <c r="V92" s="64">
        <v>0</v>
      </c>
      <c r="W92" s="64">
        <v>0</v>
      </c>
      <c r="X92" s="1899">
        <f>SUM(Q92:W92)</f>
        <v>0</v>
      </c>
      <c r="Y92" s="4129"/>
    </row>
    <row r="93" spans="1:26" s="301" customFormat="1" ht="12.75" hidden="1">
      <c r="A93" s="3936"/>
      <c r="B93" s="25" t="s">
        <v>33</v>
      </c>
      <c r="C93" s="26"/>
      <c r="D93" s="258">
        <f>I93+J93+K93+L93+N93+O93+P93+Q93+R93</f>
        <v>0</v>
      </c>
      <c r="E93" s="258">
        <f t="shared" ref="E93:N94" si="65">+E94</f>
        <v>0</v>
      </c>
      <c r="F93" s="258">
        <f t="shared" si="65"/>
        <v>0</v>
      </c>
      <c r="G93" s="258">
        <f t="shared" si="65"/>
        <v>0</v>
      </c>
      <c r="H93" s="258">
        <f t="shared" si="65"/>
        <v>0</v>
      </c>
      <c r="I93" s="258">
        <f t="shared" si="65"/>
        <v>0</v>
      </c>
      <c r="J93" s="258">
        <f t="shared" si="65"/>
        <v>0</v>
      </c>
      <c r="K93" s="258">
        <f t="shared" si="65"/>
        <v>0</v>
      </c>
      <c r="L93" s="258">
        <f t="shared" si="65"/>
        <v>0</v>
      </c>
      <c r="M93" s="258">
        <f t="shared" si="65"/>
        <v>0</v>
      </c>
      <c r="N93" s="258">
        <f t="shared" si="65"/>
        <v>0</v>
      </c>
      <c r="O93" s="258">
        <f t="shared" ref="O93:W94" si="66">O94</f>
        <v>0</v>
      </c>
      <c r="P93" s="258">
        <f t="shared" si="66"/>
        <v>0</v>
      </c>
      <c r="Q93" s="258">
        <f t="shared" si="66"/>
        <v>0</v>
      </c>
      <c r="R93" s="258">
        <f t="shared" si="66"/>
        <v>0</v>
      </c>
      <c r="S93" s="258">
        <f t="shared" si="66"/>
        <v>0</v>
      </c>
      <c r="T93" s="258">
        <f t="shared" si="66"/>
        <v>0</v>
      </c>
      <c r="U93" s="258">
        <f t="shared" si="66"/>
        <v>0</v>
      </c>
      <c r="V93" s="258">
        <f t="shared" si="66"/>
        <v>0</v>
      </c>
      <c r="W93" s="258">
        <f t="shared" si="66"/>
        <v>0</v>
      </c>
      <c r="X93" s="3667" t="s">
        <v>75</v>
      </c>
      <c r="Y93" s="4129"/>
    </row>
    <row r="94" spans="1:26" s="301" customFormat="1" ht="12.75" hidden="1" customHeight="1">
      <c r="A94" s="3936"/>
      <c r="B94" s="217" t="s">
        <v>29</v>
      </c>
      <c r="C94" s="3728" t="s">
        <v>99</v>
      </c>
      <c r="D94" s="61">
        <f>I94+J94+K94+L94+N94+O94+P94+Q94+R94</f>
        <v>0</v>
      </c>
      <c r="E94" s="62">
        <f t="shared" si="65"/>
        <v>0</v>
      </c>
      <c r="F94" s="62">
        <f t="shared" si="65"/>
        <v>0</v>
      </c>
      <c r="G94" s="62">
        <f t="shared" si="65"/>
        <v>0</v>
      </c>
      <c r="H94" s="62">
        <f t="shared" si="65"/>
        <v>0</v>
      </c>
      <c r="I94" s="62">
        <f t="shared" si="65"/>
        <v>0</v>
      </c>
      <c r="J94" s="62">
        <f t="shared" si="65"/>
        <v>0</v>
      </c>
      <c r="K94" s="62">
        <f t="shared" si="65"/>
        <v>0</v>
      </c>
      <c r="L94" s="62">
        <f t="shared" si="65"/>
        <v>0</v>
      </c>
      <c r="M94" s="62">
        <f t="shared" si="65"/>
        <v>0</v>
      </c>
      <c r="N94" s="62">
        <f t="shared" si="65"/>
        <v>0</v>
      </c>
      <c r="O94" s="62">
        <f t="shared" si="66"/>
        <v>0</v>
      </c>
      <c r="P94" s="62">
        <f t="shared" si="66"/>
        <v>0</v>
      </c>
      <c r="Q94" s="62">
        <f t="shared" si="66"/>
        <v>0</v>
      </c>
      <c r="R94" s="62">
        <f t="shared" si="66"/>
        <v>0</v>
      </c>
      <c r="S94" s="62">
        <f t="shared" si="66"/>
        <v>0</v>
      </c>
      <c r="T94" s="62">
        <f t="shared" si="66"/>
        <v>0</v>
      </c>
      <c r="U94" s="62">
        <f t="shared" si="66"/>
        <v>0</v>
      </c>
      <c r="V94" s="62">
        <f t="shared" si="66"/>
        <v>0</v>
      </c>
      <c r="W94" s="62">
        <f t="shared" si="66"/>
        <v>0</v>
      </c>
      <c r="X94" s="3635"/>
      <c r="Y94" s="4129"/>
    </row>
    <row r="95" spans="1:26" s="301" customFormat="1" ht="13.5" hidden="1" thickBot="1">
      <c r="A95" s="3937"/>
      <c r="B95" s="3229" t="s">
        <v>32</v>
      </c>
      <c r="C95" s="3626"/>
      <c r="D95" s="325">
        <f>M95+P95+Q95+R95+S95+T95+U95+V95+W95</f>
        <v>0</v>
      </c>
      <c r="E95" s="89"/>
      <c r="F95" s="90"/>
      <c r="G95" s="89"/>
      <c r="H95" s="89"/>
      <c r="I95" s="89">
        <v>0</v>
      </c>
      <c r="J95" s="89">
        <v>0</v>
      </c>
      <c r="K95" s="89">
        <v>0</v>
      </c>
      <c r="L95" s="89">
        <v>0</v>
      </c>
      <c r="M95" s="2200"/>
      <c r="N95" s="90">
        <v>0</v>
      </c>
      <c r="O95" s="89"/>
      <c r="P95" s="89">
        <v>0</v>
      </c>
      <c r="Q95" s="89">
        <v>0</v>
      </c>
      <c r="R95" s="89">
        <v>0</v>
      </c>
      <c r="S95" s="89">
        <v>0</v>
      </c>
      <c r="T95" s="89">
        <v>0</v>
      </c>
      <c r="U95" s="89">
        <v>0</v>
      </c>
      <c r="V95" s="89">
        <v>0</v>
      </c>
      <c r="W95" s="89">
        <v>0</v>
      </c>
      <c r="X95" s="3636"/>
      <c r="Y95" s="4130"/>
    </row>
    <row r="96" spans="1:26" s="301" customFormat="1" ht="29.25" customHeight="1">
      <c r="A96" s="3935" t="s">
        <v>77</v>
      </c>
      <c r="B96" s="233" t="s">
        <v>569</v>
      </c>
      <c r="C96" s="3210" t="s">
        <v>95</v>
      </c>
      <c r="D96" s="1902"/>
      <c r="E96" s="1903"/>
      <c r="F96" s="1903"/>
      <c r="G96" s="1903"/>
      <c r="H96" s="1903"/>
      <c r="I96" s="1903"/>
      <c r="J96" s="1903"/>
      <c r="K96" s="1903"/>
      <c r="L96" s="1904"/>
      <c r="M96" s="1904"/>
      <c r="N96" s="1904"/>
      <c r="O96" s="1904"/>
      <c r="P96" s="1905"/>
      <c r="Q96" s="1905"/>
      <c r="R96" s="1905"/>
      <c r="S96" s="1905"/>
      <c r="T96" s="1904"/>
      <c r="U96" s="1904"/>
      <c r="V96" s="1904"/>
      <c r="W96" s="1904"/>
      <c r="X96" s="1906"/>
      <c r="Y96" s="3746" t="s">
        <v>101</v>
      </c>
    </row>
    <row r="97" spans="1:27" s="301" customFormat="1" ht="14.25" customHeight="1">
      <c r="A97" s="3936"/>
      <c r="B97" s="968" t="s">
        <v>21</v>
      </c>
      <c r="C97" s="26"/>
      <c r="D97" s="1920">
        <f>D98+D100</f>
        <v>45474581</v>
      </c>
      <c r="E97" s="1920">
        <f t="shared" ref="E97:S97" si="67">+E100</f>
        <v>0</v>
      </c>
      <c r="F97" s="1920">
        <f t="shared" si="67"/>
        <v>0</v>
      </c>
      <c r="G97" s="1920">
        <f t="shared" si="67"/>
        <v>0</v>
      </c>
      <c r="H97" s="1920">
        <f t="shared" si="67"/>
        <v>0</v>
      </c>
      <c r="I97" s="1920">
        <f t="shared" si="67"/>
        <v>0</v>
      </c>
      <c r="J97" s="1920">
        <f t="shared" si="67"/>
        <v>0</v>
      </c>
      <c r="K97" s="1920">
        <f t="shared" si="67"/>
        <v>0</v>
      </c>
      <c r="L97" s="1920">
        <f t="shared" si="67"/>
        <v>0</v>
      </c>
      <c r="M97" s="1920">
        <f>+M100+M98</f>
        <v>0</v>
      </c>
      <c r="N97" s="1920">
        <f>+N100+N98</f>
        <v>0</v>
      </c>
      <c r="O97" s="1920">
        <f>+O100+O98</f>
        <v>0</v>
      </c>
      <c r="P97" s="1920">
        <f>+P100+P98</f>
        <v>146960</v>
      </c>
      <c r="Q97" s="1920">
        <f>+Q100+Q98</f>
        <v>18385116</v>
      </c>
      <c r="R97" s="1920">
        <f>+R98+R100</f>
        <v>26942505</v>
      </c>
      <c r="S97" s="1920">
        <f t="shared" si="67"/>
        <v>0</v>
      </c>
      <c r="T97" s="1920"/>
      <c r="U97" s="1920"/>
      <c r="V97" s="1920"/>
      <c r="W97" s="1920"/>
      <c r="X97" s="905">
        <f>+X100+X98</f>
        <v>45327621</v>
      </c>
      <c r="Y97" s="3747"/>
    </row>
    <row r="98" spans="1:27" s="301" customFormat="1" ht="14.25" customHeight="1">
      <c r="A98" s="3936"/>
      <c r="B98" s="1888" t="s">
        <v>35</v>
      </c>
      <c r="C98" s="3718" t="s">
        <v>215</v>
      </c>
      <c r="D98" s="911">
        <f>D99</f>
        <v>7090603</v>
      </c>
      <c r="E98" s="960"/>
      <c r="F98" s="960"/>
      <c r="G98" s="960"/>
      <c r="H98" s="960"/>
      <c r="I98" s="969"/>
      <c r="J98" s="969"/>
      <c r="K98" s="969"/>
      <c r="L98" s="969">
        <f t="shared" ref="L98:S98" si="68">L99</f>
        <v>0</v>
      </c>
      <c r="M98" s="969">
        <f t="shared" si="68"/>
        <v>0</v>
      </c>
      <c r="N98" s="970">
        <f t="shared" si="68"/>
        <v>0</v>
      </c>
      <c r="O98" s="970">
        <f t="shared" si="68"/>
        <v>0</v>
      </c>
      <c r="P98" s="1886">
        <f t="shared" si="68"/>
        <v>146960</v>
      </c>
      <c r="Q98" s="1886">
        <f t="shared" si="68"/>
        <v>2902267</v>
      </c>
      <c r="R98" s="970">
        <f t="shared" si="68"/>
        <v>4041376</v>
      </c>
      <c r="S98" s="970">
        <f t="shared" si="68"/>
        <v>0</v>
      </c>
      <c r="T98" s="970"/>
      <c r="U98" s="970"/>
      <c r="V98" s="970"/>
      <c r="W98" s="970"/>
      <c r="X98" s="971">
        <f>X99</f>
        <v>6943643</v>
      </c>
      <c r="Y98" s="3747"/>
    </row>
    <row r="99" spans="1:27" s="301" customFormat="1" ht="14.25" customHeight="1">
      <c r="A99" s="3936"/>
      <c r="B99" s="1921" t="s">
        <v>23</v>
      </c>
      <c r="C99" s="3612"/>
      <c r="D99" s="325">
        <f>M99+P99+Q99+R99+S99+T99+U99+V99+W99</f>
        <v>7090603</v>
      </c>
      <c r="E99" s="972"/>
      <c r="F99" s="973"/>
      <c r="G99" s="973"/>
      <c r="H99" s="972"/>
      <c r="I99" s="972"/>
      <c r="J99" s="972"/>
      <c r="K99" s="972"/>
      <c r="L99" s="972"/>
      <c r="M99" s="2200">
        <f>+E99+I99+J99+K99+L99+N99+O99</f>
        <v>0</v>
      </c>
      <c r="N99" s="973">
        <v>0</v>
      </c>
      <c r="O99" s="973">
        <f>1010-1010</f>
        <v>0</v>
      </c>
      <c r="P99" s="973">
        <f>1101580-954620</f>
        <v>146960</v>
      </c>
      <c r="Q99" s="973">
        <f>2732267+170000</f>
        <v>2902267</v>
      </c>
      <c r="R99" s="973">
        <v>4041376</v>
      </c>
      <c r="S99" s="973">
        <v>0</v>
      </c>
      <c r="T99" s="973"/>
      <c r="U99" s="973"/>
      <c r="V99" s="973"/>
      <c r="W99" s="973"/>
      <c r="X99" s="1899">
        <f>SUM(Q99:W99)</f>
        <v>6943643</v>
      </c>
      <c r="Y99" s="3747"/>
    </row>
    <row r="100" spans="1:27" s="301" customFormat="1" ht="14.25" customHeight="1">
      <c r="A100" s="3936"/>
      <c r="B100" s="974" t="s">
        <v>29</v>
      </c>
      <c r="C100" s="3612"/>
      <c r="D100" s="911">
        <f>D101</f>
        <v>38383978</v>
      </c>
      <c r="E100" s="960">
        <f t="shared" ref="E100:M100" si="69">+E101</f>
        <v>0</v>
      </c>
      <c r="F100" s="960">
        <f t="shared" si="69"/>
        <v>0</v>
      </c>
      <c r="G100" s="960">
        <f t="shared" si="69"/>
        <v>0</v>
      </c>
      <c r="H100" s="960">
        <f t="shared" si="69"/>
        <v>0</v>
      </c>
      <c r="I100" s="969">
        <f t="shared" si="69"/>
        <v>0</v>
      </c>
      <c r="J100" s="969">
        <f t="shared" si="69"/>
        <v>0</v>
      </c>
      <c r="K100" s="969">
        <f t="shared" si="69"/>
        <v>0</v>
      </c>
      <c r="L100" s="969">
        <f t="shared" si="69"/>
        <v>0</v>
      </c>
      <c r="M100" s="969">
        <f t="shared" si="69"/>
        <v>0</v>
      </c>
      <c r="N100" s="970">
        <f>N101</f>
        <v>0</v>
      </c>
      <c r="O100" s="970">
        <f>O101</f>
        <v>0</v>
      </c>
      <c r="P100" s="970">
        <v>0</v>
      </c>
      <c r="Q100" s="970">
        <f>+Q101</f>
        <v>15482849</v>
      </c>
      <c r="R100" s="970">
        <f>+R101</f>
        <v>22901129</v>
      </c>
      <c r="S100" s="970">
        <v>0</v>
      </c>
      <c r="T100" s="970"/>
      <c r="U100" s="970"/>
      <c r="V100" s="970"/>
      <c r="W100" s="970"/>
      <c r="X100" s="971">
        <f>+X101</f>
        <v>38383978</v>
      </c>
      <c r="Y100" s="3747"/>
    </row>
    <row r="101" spans="1:27" s="301" customFormat="1" ht="15" customHeight="1">
      <c r="A101" s="3936"/>
      <c r="B101" s="379" t="s">
        <v>32</v>
      </c>
      <c r="C101" s="3670"/>
      <c r="D101" s="325">
        <f>M101+P101+Q101+R101+S101+T101+U101+V101+W101</f>
        <v>38383978</v>
      </c>
      <c r="E101" s="972"/>
      <c r="F101" s="973">
        <v>0</v>
      </c>
      <c r="G101" s="973"/>
      <c r="H101" s="972"/>
      <c r="I101" s="972"/>
      <c r="J101" s="972"/>
      <c r="K101" s="972"/>
      <c r="L101" s="972"/>
      <c r="M101" s="2200">
        <f>+E101+I101+J101+K101+L101+N101+O101</f>
        <v>0</v>
      </c>
      <c r="N101" s="973">
        <v>0</v>
      </c>
      <c r="O101" s="973">
        <v>0</v>
      </c>
      <c r="P101" s="973">
        <v>0</v>
      </c>
      <c r="Q101" s="973">
        <v>15482849</v>
      </c>
      <c r="R101" s="973">
        <v>22901129</v>
      </c>
      <c r="S101" s="973">
        <v>0</v>
      </c>
      <c r="T101" s="973"/>
      <c r="U101" s="973"/>
      <c r="V101" s="973"/>
      <c r="W101" s="973"/>
      <c r="X101" s="1899">
        <f>SUM(Q101:W101)</f>
        <v>38383978</v>
      </c>
      <c r="Y101" s="4127"/>
    </row>
    <row r="102" spans="1:27" s="301" customFormat="1" ht="14.25" customHeight="1">
      <c r="A102" s="3936"/>
      <c r="B102" s="25" t="s">
        <v>33</v>
      </c>
      <c r="C102" s="26"/>
      <c r="D102" s="1920">
        <f>+D103</f>
        <v>38383978</v>
      </c>
      <c r="E102" s="1920">
        <f t="shared" ref="E102:N103" si="70">+E103</f>
        <v>0</v>
      </c>
      <c r="F102" s="1920">
        <f t="shared" si="70"/>
        <v>0</v>
      </c>
      <c r="G102" s="1920">
        <f t="shared" si="70"/>
        <v>0</v>
      </c>
      <c r="H102" s="1920">
        <f t="shared" si="70"/>
        <v>0</v>
      </c>
      <c r="I102" s="1920">
        <f t="shared" si="70"/>
        <v>0</v>
      </c>
      <c r="J102" s="1920">
        <f t="shared" si="70"/>
        <v>0</v>
      </c>
      <c r="K102" s="1920">
        <f t="shared" si="70"/>
        <v>0</v>
      </c>
      <c r="L102" s="1920">
        <f t="shared" si="70"/>
        <v>0</v>
      </c>
      <c r="M102" s="1920">
        <f t="shared" si="70"/>
        <v>0</v>
      </c>
      <c r="N102" s="1920">
        <f t="shared" si="70"/>
        <v>0</v>
      </c>
      <c r="O102" s="1920">
        <f t="shared" ref="O102:S103" si="71">O103</f>
        <v>0</v>
      </c>
      <c r="P102" s="1920">
        <f t="shared" si="71"/>
        <v>0</v>
      </c>
      <c r="Q102" s="1920">
        <f t="shared" si="71"/>
        <v>14000000</v>
      </c>
      <c r="R102" s="1920">
        <f t="shared" si="71"/>
        <v>23383978</v>
      </c>
      <c r="S102" s="1920">
        <f t="shared" si="71"/>
        <v>1000000</v>
      </c>
      <c r="T102" s="1920"/>
      <c r="U102" s="1920"/>
      <c r="V102" s="1920"/>
      <c r="W102" s="1920"/>
      <c r="X102" s="4136" t="s">
        <v>75</v>
      </c>
      <c r="Y102" s="3622" t="s">
        <v>118</v>
      </c>
      <c r="Z102" s="864"/>
    </row>
    <row r="103" spans="1:27" s="301" customFormat="1" ht="14.25" customHeight="1">
      <c r="A103" s="3936"/>
      <c r="B103" s="217" t="s">
        <v>29</v>
      </c>
      <c r="C103" s="4135" t="s">
        <v>276</v>
      </c>
      <c r="D103" s="911">
        <f>+D104</f>
        <v>38383978</v>
      </c>
      <c r="E103" s="960">
        <f t="shared" si="70"/>
        <v>0</v>
      </c>
      <c r="F103" s="960">
        <f t="shared" si="70"/>
        <v>0</v>
      </c>
      <c r="G103" s="960">
        <f t="shared" si="70"/>
        <v>0</v>
      </c>
      <c r="H103" s="960">
        <f t="shared" si="70"/>
        <v>0</v>
      </c>
      <c r="I103" s="960">
        <f t="shared" si="70"/>
        <v>0</v>
      </c>
      <c r="J103" s="960">
        <f t="shared" si="70"/>
        <v>0</v>
      </c>
      <c r="K103" s="960">
        <f t="shared" si="70"/>
        <v>0</v>
      </c>
      <c r="L103" s="960">
        <f t="shared" si="70"/>
        <v>0</v>
      </c>
      <c r="M103" s="960">
        <f t="shared" si="70"/>
        <v>0</v>
      </c>
      <c r="N103" s="960">
        <f t="shared" si="70"/>
        <v>0</v>
      </c>
      <c r="O103" s="960">
        <f t="shared" si="71"/>
        <v>0</v>
      </c>
      <c r="P103" s="960">
        <f t="shared" si="71"/>
        <v>0</v>
      </c>
      <c r="Q103" s="960">
        <f t="shared" si="71"/>
        <v>14000000</v>
      </c>
      <c r="R103" s="960">
        <f t="shared" si="71"/>
        <v>23383978</v>
      </c>
      <c r="S103" s="960">
        <f t="shared" si="71"/>
        <v>1000000</v>
      </c>
      <c r="T103" s="960"/>
      <c r="U103" s="960"/>
      <c r="V103" s="960"/>
      <c r="W103" s="960"/>
      <c r="X103" s="3635"/>
      <c r="Y103" s="3622"/>
    </row>
    <row r="104" spans="1:27" s="301" customFormat="1" ht="14.25" customHeight="1" thickBot="1">
      <c r="A104" s="3937"/>
      <c r="B104" s="3229" t="s">
        <v>32</v>
      </c>
      <c r="C104" s="3626"/>
      <c r="D104" s="325">
        <f>M104+P104+Q104+R104+S104+T104+U104+V104+W104</f>
        <v>38383978</v>
      </c>
      <c r="E104" s="89"/>
      <c r="F104" s="90"/>
      <c r="G104" s="89"/>
      <c r="H104" s="89"/>
      <c r="I104" s="89">
        <v>0</v>
      </c>
      <c r="J104" s="89">
        <v>0</v>
      </c>
      <c r="K104" s="89">
        <v>0</v>
      </c>
      <c r="L104" s="89">
        <v>0</v>
      </c>
      <c r="M104" s="2200">
        <f>+E104+I104+J104+K104+L104+N104+O104</f>
        <v>0</v>
      </c>
      <c r="N104" s="90"/>
      <c r="O104" s="89">
        <v>0</v>
      </c>
      <c r="P104" s="89">
        <v>0</v>
      </c>
      <c r="Q104" s="89">
        <v>14000000</v>
      </c>
      <c r="R104" s="89">
        <v>23383978</v>
      </c>
      <c r="S104" s="89">
        <v>1000000</v>
      </c>
      <c r="T104" s="89"/>
      <c r="U104" s="89"/>
      <c r="V104" s="89"/>
      <c r="W104" s="89"/>
      <c r="X104" s="3636"/>
      <c r="Y104" s="3623"/>
    </row>
    <row r="105" spans="1:27" ht="28.5" customHeight="1">
      <c r="A105" s="3935" t="s">
        <v>78</v>
      </c>
      <c r="B105" s="233" t="s">
        <v>570</v>
      </c>
      <c r="C105" s="3210" t="s">
        <v>95</v>
      </c>
      <c r="D105" s="1922"/>
      <c r="E105" s="1923"/>
      <c r="F105" s="264"/>
      <c r="G105" s="265"/>
      <c r="H105" s="1923"/>
      <c r="I105" s="1923"/>
      <c r="J105" s="1923"/>
      <c r="K105" s="1923"/>
      <c r="L105" s="1924"/>
      <c r="M105" s="1924"/>
      <c r="N105" s="1924"/>
      <c r="O105" s="1924"/>
      <c r="P105" s="1925"/>
      <c r="Q105" s="1925"/>
      <c r="R105" s="1925"/>
      <c r="S105" s="1925"/>
      <c r="T105" s="1924"/>
      <c r="U105" s="1924"/>
      <c r="V105" s="1924"/>
      <c r="W105" s="1924"/>
      <c r="X105" s="1926"/>
      <c r="Y105" s="3746" t="s">
        <v>101</v>
      </c>
    </row>
    <row r="106" spans="1:27" ht="16.5" customHeight="1">
      <c r="A106" s="3940"/>
      <c r="B106" s="443" t="s">
        <v>21</v>
      </c>
      <c r="C106" s="187"/>
      <c r="D106" s="1916">
        <f>+D107+D109</f>
        <v>16691432</v>
      </c>
      <c r="E106" s="1916">
        <f t="shared" ref="E106:P106" si="72">+E107+E109</f>
        <v>0</v>
      </c>
      <c r="F106" s="1916">
        <f t="shared" si="72"/>
        <v>0</v>
      </c>
      <c r="G106" s="1916">
        <f t="shared" si="72"/>
        <v>0</v>
      </c>
      <c r="H106" s="1916">
        <f t="shared" si="72"/>
        <v>0</v>
      </c>
      <c r="I106" s="1916">
        <f t="shared" si="72"/>
        <v>0</v>
      </c>
      <c r="J106" s="1916">
        <f t="shared" si="72"/>
        <v>0</v>
      </c>
      <c r="K106" s="1916">
        <f t="shared" si="72"/>
        <v>0</v>
      </c>
      <c r="L106" s="1916">
        <f t="shared" si="72"/>
        <v>0</v>
      </c>
      <c r="M106" s="1916">
        <f t="shared" si="72"/>
        <v>0</v>
      </c>
      <c r="N106" s="1916">
        <f t="shared" si="72"/>
        <v>0</v>
      </c>
      <c r="O106" s="1916">
        <f t="shared" si="72"/>
        <v>0</v>
      </c>
      <c r="P106" s="1916">
        <f t="shared" si="72"/>
        <v>52306</v>
      </c>
      <c r="Q106" s="1916">
        <f>+Q107+Q109</f>
        <v>6729744</v>
      </c>
      <c r="R106" s="1916">
        <f>+R107+R109</f>
        <v>9909382</v>
      </c>
      <c r="S106" s="1916"/>
      <c r="T106" s="1916"/>
      <c r="U106" s="1916"/>
      <c r="V106" s="1916"/>
      <c r="W106" s="1916"/>
      <c r="X106" s="905">
        <f>X107+X109</f>
        <v>16639126</v>
      </c>
      <c r="Y106" s="3747"/>
      <c r="Z106" s="263"/>
      <c r="AA106" s="263"/>
    </row>
    <row r="107" spans="1:27" s="301" customFormat="1" ht="14.25" customHeight="1">
      <c r="A107" s="3940"/>
      <c r="B107" s="1918" t="s">
        <v>35</v>
      </c>
      <c r="C107" s="3764" t="s">
        <v>215</v>
      </c>
      <c r="D107" s="441">
        <f>D108</f>
        <v>2603425</v>
      </c>
      <c r="E107" s="442"/>
      <c r="F107" s="442"/>
      <c r="G107" s="442"/>
      <c r="H107" s="442"/>
      <c r="I107" s="445"/>
      <c r="J107" s="445"/>
      <c r="K107" s="445"/>
      <c r="L107" s="445">
        <f t="shared" ref="L107:R107" si="73">L108</f>
        <v>0</v>
      </c>
      <c r="M107" s="445">
        <f t="shared" si="73"/>
        <v>0</v>
      </c>
      <c r="N107" s="446">
        <f t="shared" si="73"/>
        <v>0</v>
      </c>
      <c r="O107" s="446">
        <f t="shared" si="73"/>
        <v>0</v>
      </c>
      <c r="P107" s="1887">
        <f t="shared" si="73"/>
        <v>52306</v>
      </c>
      <c r="Q107" s="1887">
        <f t="shared" si="73"/>
        <v>1064712</v>
      </c>
      <c r="R107" s="1887">
        <f t="shared" si="73"/>
        <v>1486407</v>
      </c>
      <c r="S107" s="446"/>
      <c r="T107" s="446"/>
      <c r="U107" s="446"/>
      <c r="V107" s="446"/>
      <c r="W107" s="446"/>
      <c r="X107" s="429">
        <f>X108</f>
        <v>2551119</v>
      </c>
      <c r="Y107" s="3747"/>
    </row>
    <row r="108" spans="1:27" s="301" customFormat="1" ht="14.25" customHeight="1">
      <c r="A108" s="3940"/>
      <c r="B108" s="1919" t="s">
        <v>23</v>
      </c>
      <c r="C108" s="3612"/>
      <c r="D108" s="325">
        <f>M108+P108+Q108+R108+S108+T108+U108+V108+W108</f>
        <v>2603425</v>
      </c>
      <c r="E108" s="433"/>
      <c r="F108" s="440"/>
      <c r="G108" s="440"/>
      <c r="H108" s="433"/>
      <c r="I108" s="433"/>
      <c r="J108" s="433"/>
      <c r="K108" s="433"/>
      <c r="L108" s="433"/>
      <c r="M108" s="2200">
        <f>+E108+I108+J108+K108+L108+N108+O108</f>
        <v>0</v>
      </c>
      <c r="N108" s="440">
        <v>0</v>
      </c>
      <c r="O108" s="440">
        <f>1010-1010</f>
        <v>0</v>
      </c>
      <c r="P108" s="440">
        <f>455580-403274</f>
        <v>52306</v>
      </c>
      <c r="Q108" s="440">
        <f>1009016+55696</f>
        <v>1064712</v>
      </c>
      <c r="R108" s="440">
        <f>1500949-14542</f>
        <v>1486407</v>
      </c>
      <c r="S108" s="440"/>
      <c r="T108" s="440"/>
      <c r="U108" s="440"/>
      <c r="V108" s="440"/>
      <c r="W108" s="440"/>
      <c r="X108" s="1899">
        <f>SUM(Q108:W108)</f>
        <v>2551119</v>
      </c>
      <c r="Y108" s="3747"/>
    </row>
    <row r="109" spans="1:27" ht="14.25" customHeight="1">
      <c r="A109" s="3940"/>
      <c r="B109" s="444" t="s">
        <v>29</v>
      </c>
      <c r="C109" s="3612"/>
      <c r="D109" s="441">
        <f>+D110</f>
        <v>14088007</v>
      </c>
      <c r="E109" s="442">
        <f t="shared" ref="E109:L109" si="74">+E110</f>
        <v>0</v>
      </c>
      <c r="F109" s="442">
        <f t="shared" si="74"/>
        <v>0</v>
      </c>
      <c r="G109" s="442">
        <f t="shared" si="74"/>
        <v>0</v>
      </c>
      <c r="H109" s="442">
        <f t="shared" si="74"/>
        <v>0</v>
      </c>
      <c r="I109" s="445">
        <f t="shared" si="74"/>
        <v>0</v>
      </c>
      <c r="J109" s="445">
        <f t="shared" si="74"/>
        <v>0</v>
      </c>
      <c r="K109" s="445">
        <f t="shared" si="74"/>
        <v>0</v>
      </c>
      <c r="L109" s="445">
        <f t="shared" si="74"/>
        <v>0</v>
      </c>
      <c r="M109" s="445">
        <f>+M110</f>
        <v>0</v>
      </c>
      <c r="N109" s="445">
        <f>+N110</f>
        <v>0</v>
      </c>
      <c r="O109" s="445">
        <f>+O110</f>
        <v>0</v>
      </c>
      <c r="P109" s="445">
        <f>+P110</f>
        <v>0</v>
      </c>
      <c r="Q109" s="1887">
        <f>Q110</f>
        <v>5665032</v>
      </c>
      <c r="R109" s="1887">
        <f>R110</f>
        <v>8422975</v>
      </c>
      <c r="S109" s="446"/>
      <c r="T109" s="446"/>
      <c r="U109" s="446"/>
      <c r="V109" s="446"/>
      <c r="W109" s="446"/>
      <c r="X109" s="1927">
        <f>+X110</f>
        <v>14088007</v>
      </c>
      <c r="Y109" s="3747"/>
    </row>
    <row r="110" spans="1:27" ht="13.5" customHeight="1">
      <c r="A110" s="3940"/>
      <c r="B110" s="379" t="s">
        <v>32</v>
      </c>
      <c r="C110" s="3670"/>
      <c r="D110" s="325">
        <f>M110+P110+Q110+R110+S110+T110+U110+V110+W110</f>
        <v>14088007</v>
      </c>
      <c r="E110" s="433"/>
      <c r="F110" s="440"/>
      <c r="G110" s="440"/>
      <c r="H110" s="433"/>
      <c r="I110" s="433"/>
      <c r="J110" s="433"/>
      <c r="K110" s="433"/>
      <c r="L110" s="433"/>
      <c r="M110" s="2200">
        <f>+E110+I110+J110+K110+L110+N110+O110</f>
        <v>0</v>
      </c>
      <c r="N110" s="440"/>
      <c r="O110" s="440">
        <v>0</v>
      </c>
      <c r="P110" s="440">
        <v>0</v>
      </c>
      <c r="Q110" s="440">
        <f>5717756-52724</f>
        <v>5665032</v>
      </c>
      <c r="R110" s="440">
        <f>8505377-82402</f>
        <v>8422975</v>
      </c>
      <c r="S110" s="440"/>
      <c r="T110" s="440"/>
      <c r="U110" s="440"/>
      <c r="V110" s="440"/>
      <c r="W110" s="440"/>
      <c r="X110" s="1899">
        <f>SUM(Q110:W110)</f>
        <v>14088007</v>
      </c>
      <c r="Y110" s="4127"/>
    </row>
    <row r="111" spans="1:27" ht="15.75" customHeight="1">
      <c r="A111" s="3940"/>
      <c r="B111" s="25" t="s">
        <v>33</v>
      </c>
      <c r="C111" s="26"/>
      <c r="D111" s="1916">
        <f>+D112</f>
        <v>14088007</v>
      </c>
      <c r="E111" s="1916">
        <f t="shared" ref="E111:N112" si="75">+E112</f>
        <v>0</v>
      </c>
      <c r="F111" s="1916">
        <f t="shared" si="75"/>
        <v>0</v>
      </c>
      <c r="G111" s="1916">
        <f t="shared" si="75"/>
        <v>0</v>
      </c>
      <c r="H111" s="1916">
        <f t="shared" si="75"/>
        <v>0</v>
      </c>
      <c r="I111" s="1916">
        <f t="shared" si="75"/>
        <v>0</v>
      </c>
      <c r="J111" s="1916">
        <f t="shared" si="75"/>
        <v>0</v>
      </c>
      <c r="K111" s="1916">
        <f t="shared" si="75"/>
        <v>0</v>
      </c>
      <c r="L111" s="1916">
        <f t="shared" si="75"/>
        <v>0</v>
      </c>
      <c r="M111" s="1916">
        <f>+M112</f>
        <v>0</v>
      </c>
      <c r="N111" s="1916">
        <f t="shared" si="75"/>
        <v>0</v>
      </c>
      <c r="O111" s="1916">
        <f t="shared" ref="O111:S112" si="76">O112</f>
        <v>0</v>
      </c>
      <c r="P111" s="1916">
        <f t="shared" si="76"/>
        <v>0</v>
      </c>
      <c r="Q111" s="1916">
        <f t="shared" si="76"/>
        <v>5464874</v>
      </c>
      <c r="R111" s="1916">
        <f t="shared" si="76"/>
        <v>8123133</v>
      </c>
      <c r="S111" s="1916">
        <f t="shared" si="76"/>
        <v>500000</v>
      </c>
      <c r="T111" s="1916"/>
      <c r="U111" s="1916"/>
      <c r="V111" s="1916"/>
      <c r="W111" s="1916"/>
      <c r="X111" s="4162"/>
      <c r="Y111" s="3622" t="s">
        <v>118</v>
      </c>
    </row>
    <row r="112" spans="1:27" ht="12.75" customHeight="1">
      <c r="A112" s="3940"/>
      <c r="B112" s="217" t="s">
        <v>29</v>
      </c>
      <c r="C112" s="4126" t="s">
        <v>276</v>
      </c>
      <c r="D112" s="441">
        <f>+D113</f>
        <v>14088007</v>
      </c>
      <c r="E112" s="442">
        <f t="shared" si="75"/>
        <v>0</v>
      </c>
      <c r="F112" s="442">
        <f t="shared" si="75"/>
        <v>0</v>
      </c>
      <c r="G112" s="442">
        <f t="shared" si="75"/>
        <v>0</v>
      </c>
      <c r="H112" s="442">
        <f t="shared" si="75"/>
        <v>0</v>
      </c>
      <c r="I112" s="442">
        <f t="shared" si="75"/>
        <v>0</v>
      </c>
      <c r="J112" s="442">
        <f t="shared" si="75"/>
        <v>0</v>
      </c>
      <c r="K112" s="442">
        <f t="shared" si="75"/>
        <v>0</v>
      </c>
      <c r="L112" s="442">
        <f t="shared" si="75"/>
        <v>0</v>
      </c>
      <c r="M112" s="442">
        <f>+M113</f>
        <v>0</v>
      </c>
      <c r="N112" s="442">
        <f t="shared" si="75"/>
        <v>0</v>
      </c>
      <c r="O112" s="442">
        <f t="shared" si="76"/>
        <v>0</v>
      </c>
      <c r="P112" s="442">
        <f t="shared" si="76"/>
        <v>0</v>
      </c>
      <c r="Q112" s="442">
        <f t="shared" si="76"/>
        <v>5464874</v>
      </c>
      <c r="R112" s="442">
        <f t="shared" si="76"/>
        <v>8123133</v>
      </c>
      <c r="S112" s="442">
        <f t="shared" si="76"/>
        <v>500000</v>
      </c>
      <c r="T112" s="442"/>
      <c r="U112" s="442"/>
      <c r="V112" s="442"/>
      <c r="W112" s="442"/>
      <c r="X112" s="4163"/>
      <c r="Y112" s="3622"/>
    </row>
    <row r="113" spans="1:27" ht="17.25" customHeight="1" thickBot="1">
      <c r="A113" s="4137"/>
      <c r="B113" s="3229" t="s">
        <v>32</v>
      </c>
      <c r="C113" s="3626"/>
      <c r="D113" s="325">
        <f>M113+P113+Q113+R113+S113+T113+U113+V113+W113</f>
        <v>14088007</v>
      </c>
      <c r="E113" s="89"/>
      <c r="F113" s="90"/>
      <c r="G113" s="89"/>
      <c r="H113" s="89"/>
      <c r="I113" s="89"/>
      <c r="J113" s="89"/>
      <c r="K113" s="89"/>
      <c r="L113" s="89"/>
      <c r="M113" s="2200">
        <f>+E113+I113+J113+K113+L113+N113+O113</f>
        <v>0</v>
      </c>
      <c r="N113" s="90"/>
      <c r="O113" s="89">
        <v>0</v>
      </c>
      <c r="P113" s="89">
        <v>0</v>
      </c>
      <c r="Q113" s="89">
        <f>5600000-135126</f>
        <v>5464874</v>
      </c>
      <c r="R113" s="89">
        <v>8123133</v>
      </c>
      <c r="S113" s="89">
        <v>500000</v>
      </c>
      <c r="T113" s="89"/>
      <c r="U113" s="89"/>
      <c r="V113" s="89"/>
      <c r="W113" s="89"/>
      <c r="X113" s="4164"/>
      <c r="Y113" s="3623"/>
    </row>
    <row r="114" spans="1:27" ht="24">
      <c r="A114" s="3935" t="s">
        <v>79</v>
      </c>
      <c r="B114" s="233" t="s">
        <v>571</v>
      </c>
      <c r="C114" s="3210" t="s">
        <v>95</v>
      </c>
      <c r="D114" s="1922"/>
      <c r="E114" s="1923"/>
      <c r="F114" s="264"/>
      <c r="G114" s="265"/>
      <c r="H114" s="1923"/>
      <c r="I114" s="1923"/>
      <c r="J114" s="1923"/>
      <c r="K114" s="1923"/>
      <c r="L114" s="1924"/>
      <c r="M114" s="1924"/>
      <c r="N114" s="1924"/>
      <c r="O114" s="1924"/>
      <c r="P114" s="1925"/>
      <c r="Q114" s="1925"/>
      <c r="R114" s="1925"/>
      <c r="S114" s="1925"/>
      <c r="T114" s="1924"/>
      <c r="U114" s="1924"/>
      <c r="V114" s="1924"/>
      <c r="W114" s="1924"/>
      <c r="X114" s="1926"/>
      <c r="Y114" s="3746" t="s">
        <v>101</v>
      </c>
    </row>
    <row r="115" spans="1:27" ht="16.5" customHeight="1">
      <c r="A115" s="3940"/>
      <c r="B115" s="2344" t="s">
        <v>21</v>
      </c>
      <c r="C115" s="3169"/>
      <c r="D115" s="1690">
        <f>+D116+D118</f>
        <v>7500000</v>
      </c>
      <c r="E115" s="1690">
        <f t="shared" ref="E115:P115" si="77">+E116+E118</f>
        <v>0</v>
      </c>
      <c r="F115" s="1690">
        <f t="shared" si="77"/>
        <v>0</v>
      </c>
      <c r="G115" s="1690">
        <f t="shared" si="77"/>
        <v>0</v>
      </c>
      <c r="H115" s="1690">
        <f t="shared" si="77"/>
        <v>0</v>
      </c>
      <c r="I115" s="1690">
        <f t="shared" si="77"/>
        <v>0</v>
      </c>
      <c r="J115" s="1690">
        <f t="shared" si="77"/>
        <v>0</v>
      </c>
      <c r="K115" s="1690">
        <f t="shared" si="77"/>
        <v>0</v>
      </c>
      <c r="L115" s="1690">
        <f t="shared" si="77"/>
        <v>0</v>
      </c>
      <c r="M115" s="1690">
        <f t="shared" si="77"/>
        <v>0</v>
      </c>
      <c r="N115" s="1690">
        <f t="shared" si="77"/>
        <v>0</v>
      </c>
      <c r="O115" s="1690">
        <f t="shared" si="77"/>
        <v>0</v>
      </c>
      <c r="P115" s="1690">
        <f t="shared" si="77"/>
        <v>0</v>
      </c>
      <c r="Q115" s="1690">
        <f>+Q116+Q118</f>
        <v>1500000</v>
      </c>
      <c r="R115" s="1690">
        <f>+R116+R118</f>
        <v>6000000</v>
      </c>
      <c r="S115" s="1690"/>
      <c r="T115" s="1690"/>
      <c r="U115" s="1690"/>
      <c r="V115" s="1690"/>
      <c r="W115" s="1690"/>
      <c r="X115" s="2261">
        <f>X116+X118</f>
        <v>7500000</v>
      </c>
      <c r="Y115" s="3747"/>
      <c r="Z115" s="263"/>
      <c r="AA115" s="263"/>
    </row>
    <row r="116" spans="1:27" s="301" customFormat="1" ht="14.25" customHeight="1">
      <c r="A116" s="3940"/>
      <c r="B116" s="2332" t="s">
        <v>35</v>
      </c>
      <c r="C116" s="3611" t="s">
        <v>215</v>
      </c>
      <c r="D116" s="1284">
        <f>D117</f>
        <v>1125000</v>
      </c>
      <c r="E116" s="2268"/>
      <c r="F116" s="2268"/>
      <c r="G116" s="2268"/>
      <c r="H116" s="2268"/>
      <c r="I116" s="3170"/>
      <c r="J116" s="3170"/>
      <c r="K116" s="3170"/>
      <c r="L116" s="3170">
        <f t="shared" ref="L116:R116" si="78">L117</f>
        <v>0</v>
      </c>
      <c r="M116" s="3170">
        <f t="shared" si="78"/>
        <v>0</v>
      </c>
      <c r="N116" s="3171">
        <f t="shared" si="78"/>
        <v>0</v>
      </c>
      <c r="O116" s="3171">
        <f t="shared" si="78"/>
        <v>0</v>
      </c>
      <c r="P116" s="3172">
        <f t="shared" si="78"/>
        <v>0</v>
      </c>
      <c r="Q116" s="3172">
        <f t="shared" si="78"/>
        <v>225000</v>
      </c>
      <c r="R116" s="3172">
        <f t="shared" si="78"/>
        <v>900000</v>
      </c>
      <c r="S116" s="3171"/>
      <c r="T116" s="3171"/>
      <c r="U116" s="3171"/>
      <c r="V116" s="3171"/>
      <c r="W116" s="3171"/>
      <c r="X116" s="1280">
        <f>X117</f>
        <v>1125000</v>
      </c>
      <c r="Y116" s="3747"/>
    </row>
    <row r="117" spans="1:27" s="301" customFormat="1" ht="14.25" customHeight="1">
      <c r="A117" s="3940"/>
      <c r="B117" s="2988" t="s">
        <v>23</v>
      </c>
      <c r="C117" s="3612"/>
      <c r="D117" s="2234">
        <f>M117+P117+Q117+R117+S117+T117+U117+V117+W117</f>
        <v>1125000</v>
      </c>
      <c r="E117" s="2300"/>
      <c r="F117" s="2314"/>
      <c r="G117" s="2314"/>
      <c r="H117" s="2300"/>
      <c r="I117" s="2300"/>
      <c r="J117" s="2300"/>
      <c r="K117" s="2300"/>
      <c r="L117" s="2300"/>
      <c r="M117" s="2254">
        <f>+E117+I117+J117+K117+L117+N117+O117</f>
        <v>0</v>
      </c>
      <c r="N117" s="2314">
        <v>0</v>
      </c>
      <c r="O117" s="2314">
        <f>1010-1010</f>
        <v>0</v>
      </c>
      <c r="P117" s="2314"/>
      <c r="Q117" s="2314">
        <v>225000</v>
      </c>
      <c r="R117" s="2314">
        <v>900000</v>
      </c>
      <c r="S117" s="2314"/>
      <c r="T117" s="2314"/>
      <c r="U117" s="2314"/>
      <c r="V117" s="2314"/>
      <c r="W117" s="2314"/>
      <c r="X117" s="3173">
        <f>SUM(Q117:W117)</f>
        <v>1125000</v>
      </c>
      <c r="Y117" s="3747"/>
    </row>
    <row r="118" spans="1:27" ht="14.25" customHeight="1">
      <c r="A118" s="3940"/>
      <c r="B118" s="2293" t="s">
        <v>29</v>
      </c>
      <c r="C118" s="3612"/>
      <c r="D118" s="1284">
        <f>+D119</f>
        <v>6375000</v>
      </c>
      <c r="E118" s="2268">
        <f t="shared" ref="E118:L118" si="79">+E119</f>
        <v>0</v>
      </c>
      <c r="F118" s="2268">
        <f t="shared" si="79"/>
        <v>0</v>
      </c>
      <c r="G118" s="2268">
        <f t="shared" si="79"/>
        <v>0</v>
      </c>
      <c r="H118" s="2268">
        <f t="shared" si="79"/>
        <v>0</v>
      </c>
      <c r="I118" s="3170">
        <f t="shared" si="79"/>
        <v>0</v>
      </c>
      <c r="J118" s="3170">
        <f t="shared" si="79"/>
        <v>0</v>
      </c>
      <c r="K118" s="3170">
        <f t="shared" si="79"/>
        <v>0</v>
      </c>
      <c r="L118" s="3170">
        <f t="shared" si="79"/>
        <v>0</v>
      </c>
      <c r="M118" s="3170">
        <f>+M119</f>
        <v>0</v>
      </c>
      <c r="N118" s="3170">
        <f>+N119</f>
        <v>0</v>
      </c>
      <c r="O118" s="3170">
        <f>+O119</f>
        <v>0</v>
      </c>
      <c r="P118" s="3170">
        <f>+P119</f>
        <v>0</v>
      </c>
      <c r="Q118" s="3172">
        <f>Q119</f>
        <v>1275000</v>
      </c>
      <c r="R118" s="3172">
        <f>R119</f>
        <v>5100000</v>
      </c>
      <c r="S118" s="3171"/>
      <c r="T118" s="3171"/>
      <c r="U118" s="3171"/>
      <c r="V118" s="3171"/>
      <c r="W118" s="3171"/>
      <c r="X118" s="2400">
        <f>+X119</f>
        <v>6375000</v>
      </c>
      <c r="Y118" s="3747"/>
    </row>
    <row r="119" spans="1:27" ht="13.5" customHeight="1">
      <c r="A119" s="3940"/>
      <c r="B119" s="379" t="s">
        <v>32</v>
      </c>
      <c r="C119" s="3670"/>
      <c r="D119" s="2234">
        <f>M119+P119+Q119+R119+S119+T119+U119+V119+W119</f>
        <v>6375000</v>
      </c>
      <c r="E119" s="2300"/>
      <c r="F119" s="2314"/>
      <c r="G119" s="2314"/>
      <c r="H119" s="2300"/>
      <c r="I119" s="2300"/>
      <c r="J119" s="2300"/>
      <c r="K119" s="2300"/>
      <c r="L119" s="2300"/>
      <c r="M119" s="2254">
        <f>+E119+I119+J119+K119+L119+N119+O119</f>
        <v>0</v>
      </c>
      <c r="N119" s="2314"/>
      <c r="O119" s="2314">
        <v>0</v>
      </c>
      <c r="P119" s="2314">
        <v>0</v>
      </c>
      <c r="Q119" s="2314">
        <v>1275000</v>
      </c>
      <c r="R119" s="2314">
        <v>5100000</v>
      </c>
      <c r="S119" s="2314"/>
      <c r="T119" s="2314"/>
      <c r="U119" s="2314"/>
      <c r="V119" s="2314"/>
      <c r="W119" s="2314"/>
      <c r="X119" s="3173">
        <f>SUM(Q119:W119)</f>
        <v>6375000</v>
      </c>
      <c r="Y119" s="4127"/>
    </row>
    <row r="120" spans="1:27" ht="15.75" customHeight="1">
      <c r="A120" s="3940"/>
      <c r="B120" s="1320" t="s">
        <v>33</v>
      </c>
      <c r="C120" s="1881"/>
      <c r="D120" s="1690">
        <f>+D121</f>
        <v>6375000</v>
      </c>
      <c r="E120" s="1690">
        <f t="shared" ref="E120:N121" si="80">+E121</f>
        <v>0</v>
      </c>
      <c r="F120" s="1690">
        <f t="shared" si="80"/>
        <v>0</v>
      </c>
      <c r="G120" s="1690">
        <f t="shared" si="80"/>
        <v>0</v>
      </c>
      <c r="H120" s="1690">
        <f t="shared" si="80"/>
        <v>0</v>
      </c>
      <c r="I120" s="1690">
        <f t="shared" si="80"/>
        <v>0</v>
      </c>
      <c r="J120" s="1690">
        <f t="shared" si="80"/>
        <v>0</v>
      </c>
      <c r="K120" s="1690">
        <f t="shared" si="80"/>
        <v>0</v>
      </c>
      <c r="L120" s="1690">
        <f t="shared" si="80"/>
        <v>0</v>
      </c>
      <c r="M120" s="1690">
        <f>+M121</f>
        <v>0</v>
      </c>
      <c r="N120" s="1690">
        <f t="shared" si="80"/>
        <v>0</v>
      </c>
      <c r="O120" s="1690">
        <f t="shared" ref="O120:S121" si="81">O121</f>
        <v>0</v>
      </c>
      <c r="P120" s="1690">
        <f t="shared" si="81"/>
        <v>0</v>
      </c>
      <c r="Q120" s="1690">
        <f t="shared" si="81"/>
        <v>0</v>
      </c>
      <c r="R120" s="1690">
        <f t="shared" si="81"/>
        <v>1800000</v>
      </c>
      <c r="S120" s="1690">
        <f t="shared" si="81"/>
        <v>4575000</v>
      </c>
      <c r="T120" s="1690"/>
      <c r="U120" s="1690"/>
      <c r="V120" s="1690"/>
      <c r="W120" s="1690"/>
      <c r="X120" s="4165"/>
      <c r="Y120" s="3622" t="s">
        <v>118</v>
      </c>
    </row>
    <row r="121" spans="1:27" ht="12.75" customHeight="1">
      <c r="A121" s="3940"/>
      <c r="B121" s="1251" t="s">
        <v>29</v>
      </c>
      <c r="C121" s="3724" t="s">
        <v>276</v>
      </c>
      <c r="D121" s="1284">
        <f>+D122</f>
        <v>6375000</v>
      </c>
      <c r="E121" s="2268">
        <f t="shared" si="80"/>
        <v>0</v>
      </c>
      <c r="F121" s="2268">
        <f t="shared" si="80"/>
        <v>0</v>
      </c>
      <c r="G121" s="2268">
        <f t="shared" si="80"/>
        <v>0</v>
      </c>
      <c r="H121" s="2268">
        <f t="shared" si="80"/>
        <v>0</v>
      </c>
      <c r="I121" s="2268">
        <f t="shared" si="80"/>
        <v>0</v>
      </c>
      <c r="J121" s="2268">
        <f t="shared" si="80"/>
        <v>0</v>
      </c>
      <c r="K121" s="2268">
        <f t="shared" si="80"/>
        <v>0</v>
      </c>
      <c r="L121" s="2268">
        <f t="shared" si="80"/>
        <v>0</v>
      </c>
      <c r="M121" s="2268">
        <f>+M122</f>
        <v>0</v>
      </c>
      <c r="N121" s="2268">
        <f t="shared" si="80"/>
        <v>0</v>
      </c>
      <c r="O121" s="2268">
        <f t="shared" si="81"/>
        <v>0</v>
      </c>
      <c r="P121" s="2268">
        <f t="shared" si="81"/>
        <v>0</v>
      </c>
      <c r="Q121" s="2268">
        <f t="shared" si="81"/>
        <v>0</v>
      </c>
      <c r="R121" s="2268">
        <f t="shared" si="81"/>
        <v>1800000</v>
      </c>
      <c r="S121" s="2268">
        <f t="shared" si="81"/>
        <v>4575000</v>
      </c>
      <c r="T121" s="2268"/>
      <c r="U121" s="2268"/>
      <c r="V121" s="2268"/>
      <c r="W121" s="2268"/>
      <c r="X121" s="4163"/>
      <c r="Y121" s="3622"/>
    </row>
    <row r="122" spans="1:27" ht="17.25" customHeight="1" thickBot="1">
      <c r="A122" s="4137"/>
      <c r="B122" s="3229" t="s">
        <v>32</v>
      </c>
      <c r="C122" s="3626"/>
      <c r="D122" s="2215">
        <f>M122+P122+Q122+R122+S122+T122+U122+V122+W122</f>
        <v>6375000</v>
      </c>
      <c r="E122" s="963"/>
      <c r="F122" s="1088"/>
      <c r="G122" s="963"/>
      <c r="H122" s="963"/>
      <c r="I122" s="963"/>
      <c r="J122" s="963"/>
      <c r="K122" s="963"/>
      <c r="L122" s="963"/>
      <c r="M122" s="2219">
        <f>+E122+I122+J122+K122+L122+N122+O122</f>
        <v>0</v>
      </c>
      <c r="N122" s="1088"/>
      <c r="O122" s="963">
        <v>0</v>
      </c>
      <c r="P122" s="963">
        <v>0</v>
      </c>
      <c r="Q122" s="963"/>
      <c r="R122" s="963">
        <v>1800000</v>
      </c>
      <c r="S122" s="963">
        <v>4575000</v>
      </c>
      <c r="T122" s="963"/>
      <c r="U122" s="963"/>
      <c r="V122" s="963"/>
      <c r="W122" s="963"/>
      <c r="X122" s="4164"/>
      <c r="Y122" s="3623"/>
    </row>
    <row r="123" spans="1:27" s="301" customFormat="1" ht="41.25" customHeight="1">
      <c r="A123" s="3935" t="s">
        <v>80</v>
      </c>
      <c r="B123" s="233" t="s">
        <v>416</v>
      </c>
      <c r="C123" s="3210" t="s">
        <v>95</v>
      </c>
      <c r="D123" s="1902"/>
      <c r="E123" s="1903"/>
      <c r="F123" s="1903"/>
      <c r="G123" s="1903"/>
      <c r="H123" s="1903"/>
      <c r="I123" s="1903"/>
      <c r="J123" s="1903"/>
      <c r="K123" s="1903"/>
      <c r="L123" s="1904"/>
      <c r="M123" s="1904"/>
      <c r="N123" s="1904"/>
      <c r="O123" s="1904"/>
      <c r="P123" s="1905"/>
      <c r="Q123" s="1905"/>
      <c r="R123" s="1905"/>
      <c r="S123" s="1905"/>
      <c r="T123" s="1904"/>
      <c r="U123" s="1904"/>
      <c r="V123" s="1904"/>
      <c r="W123" s="1904"/>
      <c r="X123" s="1906"/>
      <c r="Y123" s="975"/>
    </row>
    <row r="124" spans="1:27" s="301" customFormat="1" ht="14.25" customHeight="1">
      <c r="A124" s="3936"/>
      <c r="B124" s="443" t="s">
        <v>21</v>
      </c>
      <c r="C124" s="26"/>
      <c r="D124" s="1916">
        <f t="shared" ref="D124:P124" si="82">+D127+D125</f>
        <v>15204902</v>
      </c>
      <c r="E124" s="1916">
        <f t="shared" si="82"/>
        <v>0</v>
      </c>
      <c r="F124" s="1916">
        <f t="shared" si="82"/>
        <v>0</v>
      </c>
      <c r="G124" s="1916">
        <f t="shared" si="82"/>
        <v>0</v>
      </c>
      <c r="H124" s="1916">
        <f t="shared" si="82"/>
        <v>0</v>
      </c>
      <c r="I124" s="1916">
        <f t="shared" si="82"/>
        <v>0</v>
      </c>
      <c r="J124" s="1916">
        <f t="shared" si="82"/>
        <v>0</v>
      </c>
      <c r="K124" s="1916">
        <f t="shared" si="82"/>
        <v>0</v>
      </c>
      <c r="L124" s="1916">
        <f t="shared" si="82"/>
        <v>0</v>
      </c>
      <c r="M124" s="1916">
        <f t="shared" si="82"/>
        <v>0</v>
      </c>
      <c r="N124" s="1916">
        <f t="shared" si="82"/>
        <v>0</v>
      </c>
      <c r="O124" s="1916">
        <f t="shared" si="82"/>
        <v>0</v>
      </c>
      <c r="P124" s="1916">
        <f t="shared" si="82"/>
        <v>0</v>
      </c>
      <c r="Q124" s="1916">
        <f>+Q127+Q125</f>
        <v>7602451</v>
      </c>
      <c r="R124" s="1916">
        <f t="shared" ref="R124:W124" si="83">+R127+R125</f>
        <v>7602451</v>
      </c>
      <c r="S124" s="1916">
        <f t="shared" si="83"/>
        <v>0</v>
      </c>
      <c r="T124" s="1916">
        <f t="shared" si="83"/>
        <v>0</v>
      </c>
      <c r="U124" s="1916">
        <f t="shared" si="83"/>
        <v>0</v>
      </c>
      <c r="V124" s="1916">
        <f t="shared" si="83"/>
        <v>0</v>
      </c>
      <c r="W124" s="1916">
        <f t="shared" si="83"/>
        <v>0</v>
      </c>
      <c r="X124" s="439">
        <f>+X127+X125</f>
        <v>15204902</v>
      </c>
      <c r="Y124" s="3747" t="s">
        <v>528</v>
      </c>
    </row>
    <row r="125" spans="1:27" s="301" customFormat="1" ht="14.25" customHeight="1">
      <c r="A125" s="3936"/>
      <c r="B125" s="1918" t="s">
        <v>35</v>
      </c>
      <c r="C125" s="3764" t="s">
        <v>215</v>
      </c>
      <c r="D125" s="441">
        <f>D126</f>
        <v>2280735</v>
      </c>
      <c r="E125" s="442"/>
      <c r="F125" s="442"/>
      <c r="G125" s="442"/>
      <c r="H125" s="442"/>
      <c r="I125" s="445"/>
      <c r="J125" s="445"/>
      <c r="K125" s="445"/>
      <c r="L125" s="445">
        <f t="shared" ref="L125:T125" si="84">L126</f>
        <v>0</v>
      </c>
      <c r="M125" s="445">
        <f t="shared" si="84"/>
        <v>0</v>
      </c>
      <c r="N125" s="446">
        <f t="shared" si="84"/>
        <v>0</v>
      </c>
      <c r="O125" s="446">
        <f t="shared" si="84"/>
        <v>0</v>
      </c>
      <c r="P125" s="446">
        <f t="shared" si="84"/>
        <v>0</v>
      </c>
      <c r="Q125" s="446">
        <f t="shared" si="84"/>
        <v>1140368</v>
      </c>
      <c r="R125" s="446">
        <f t="shared" si="84"/>
        <v>1140367</v>
      </c>
      <c r="S125" s="446">
        <f t="shared" si="84"/>
        <v>0</v>
      </c>
      <c r="T125" s="446">
        <f t="shared" si="84"/>
        <v>0</v>
      </c>
      <c r="U125" s="446"/>
      <c r="V125" s="446"/>
      <c r="W125" s="446"/>
      <c r="X125" s="429">
        <f>X126</f>
        <v>2280735</v>
      </c>
      <c r="Y125" s="3747"/>
    </row>
    <row r="126" spans="1:27" s="301" customFormat="1" ht="14.25" customHeight="1">
      <c r="A126" s="3936"/>
      <c r="B126" s="1919" t="s">
        <v>23</v>
      </c>
      <c r="C126" s="3612"/>
      <c r="D126" s="325">
        <f>M126+P126+Q126+R126+S126+T126+U126+V126+W126</f>
        <v>2280735</v>
      </c>
      <c r="E126" s="433"/>
      <c r="F126" s="440"/>
      <c r="G126" s="440"/>
      <c r="H126" s="433"/>
      <c r="I126" s="433"/>
      <c r="J126" s="433"/>
      <c r="K126" s="433"/>
      <c r="L126" s="433"/>
      <c r="M126" s="2200">
        <f>+E126+I126+J126+K126+L126+N126+O126</f>
        <v>0</v>
      </c>
      <c r="N126" s="440">
        <v>0</v>
      </c>
      <c r="O126" s="440">
        <v>0</v>
      </c>
      <c r="P126" s="440"/>
      <c r="Q126" s="440">
        <v>1140368</v>
      </c>
      <c r="R126" s="440">
        <v>1140367</v>
      </c>
      <c r="S126" s="440"/>
      <c r="T126" s="440"/>
      <c r="U126" s="440"/>
      <c r="V126" s="440"/>
      <c r="W126" s="440"/>
      <c r="X126" s="1899">
        <f>SUM(Q126:W126)</f>
        <v>2280735</v>
      </c>
      <c r="Y126" s="3747"/>
    </row>
    <row r="127" spans="1:27" s="301" customFormat="1" ht="14.25" customHeight="1">
      <c r="A127" s="3936"/>
      <c r="B127" s="444" t="s">
        <v>29</v>
      </c>
      <c r="C127" s="3612"/>
      <c r="D127" s="441">
        <f>D128</f>
        <v>12924167</v>
      </c>
      <c r="E127" s="441">
        <f t="shared" ref="E127:W127" si="85">E128</f>
        <v>0</v>
      </c>
      <c r="F127" s="441">
        <f t="shared" si="85"/>
        <v>0</v>
      </c>
      <c r="G127" s="441">
        <f t="shared" si="85"/>
        <v>0</v>
      </c>
      <c r="H127" s="441">
        <f t="shared" si="85"/>
        <v>0</v>
      </c>
      <c r="I127" s="441">
        <f t="shared" si="85"/>
        <v>0</v>
      </c>
      <c r="J127" s="441">
        <f t="shared" si="85"/>
        <v>0</v>
      </c>
      <c r="K127" s="441">
        <f t="shared" si="85"/>
        <v>0</v>
      </c>
      <c r="L127" s="441">
        <f t="shared" si="85"/>
        <v>0</v>
      </c>
      <c r="M127" s="441">
        <f t="shared" si="85"/>
        <v>0</v>
      </c>
      <c r="N127" s="441">
        <f t="shared" si="85"/>
        <v>0</v>
      </c>
      <c r="O127" s="441">
        <f t="shared" si="85"/>
        <v>0</v>
      </c>
      <c r="P127" s="441">
        <f t="shared" si="85"/>
        <v>0</v>
      </c>
      <c r="Q127" s="441">
        <f t="shared" si="85"/>
        <v>6462083</v>
      </c>
      <c r="R127" s="441">
        <f t="shared" si="85"/>
        <v>6462084</v>
      </c>
      <c r="S127" s="441">
        <f t="shared" si="85"/>
        <v>0</v>
      </c>
      <c r="T127" s="441">
        <f t="shared" si="85"/>
        <v>0</v>
      </c>
      <c r="U127" s="441">
        <f t="shared" si="85"/>
        <v>0</v>
      </c>
      <c r="V127" s="441">
        <f t="shared" si="85"/>
        <v>0</v>
      </c>
      <c r="W127" s="441">
        <f t="shared" si="85"/>
        <v>0</v>
      </c>
      <c r="X127" s="429">
        <f>+X128</f>
        <v>12924167</v>
      </c>
      <c r="Y127" s="3747"/>
    </row>
    <row r="128" spans="1:27" s="301" customFormat="1" ht="15" customHeight="1">
      <c r="A128" s="3936"/>
      <c r="B128" s="379" t="s">
        <v>32</v>
      </c>
      <c r="C128" s="3670"/>
      <c r="D128" s="325">
        <f>M128+P128+Q128+R128+S128+T128+U128+V128+W128</f>
        <v>12924167</v>
      </c>
      <c r="E128" s="433"/>
      <c r="F128" s="440">
        <v>0</v>
      </c>
      <c r="G128" s="440"/>
      <c r="H128" s="433"/>
      <c r="I128" s="433"/>
      <c r="J128" s="433"/>
      <c r="K128" s="433"/>
      <c r="L128" s="433"/>
      <c r="M128" s="2200">
        <f>+E128+I128+J128+K128+L128+N128+O128</f>
        <v>0</v>
      </c>
      <c r="N128" s="440">
        <v>0</v>
      </c>
      <c r="O128" s="440">
        <v>0</v>
      </c>
      <c r="P128" s="440">
        <v>0</v>
      </c>
      <c r="Q128" s="440">
        <f>6462083</f>
        <v>6462083</v>
      </c>
      <c r="R128" s="440">
        <v>6462084</v>
      </c>
      <c r="S128" s="440">
        <v>0</v>
      </c>
      <c r="T128" s="440">
        <v>0</v>
      </c>
      <c r="U128" s="440">
        <v>0</v>
      </c>
      <c r="V128" s="440">
        <v>0</v>
      </c>
      <c r="W128" s="440">
        <v>0</v>
      </c>
      <c r="X128" s="1899">
        <f>SUM(Q128:W128)</f>
        <v>12924167</v>
      </c>
      <c r="Y128" s="4127"/>
    </row>
    <row r="129" spans="1:25" s="301" customFormat="1" ht="15.75" customHeight="1">
      <c r="A129" s="3936"/>
      <c r="B129" s="25" t="s">
        <v>33</v>
      </c>
      <c r="C129" s="26"/>
      <c r="D129" s="1916">
        <f>I129+J129+K129+L129+N129+O129+P129+Q129+R129</f>
        <v>12924167</v>
      </c>
      <c r="E129" s="1916">
        <f t="shared" ref="E129:N130" si="86">+E130</f>
        <v>0</v>
      </c>
      <c r="F129" s="1916">
        <f t="shared" si="86"/>
        <v>0</v>
      </c>
      <c r="G129" s="1916">
        <f t="shared" si="86"/>
        <v>0</v>
      </c>
      <c r="H129" s="1916">
        <f t="shared" si="86"/>
        <v>0</v>
      </c>
      <c r="I129" s="1916">
        <f t="shared" si="86"/>
        <v>0</v>
      </c>
      <c r="J129" s="1916">
        <f t="shared" si="86"/>
        <v>0</v>
      </c>
      <c r="K129" s="1916">
        <f t="shared" si="86"/>
        <v>0</v>
      </c>
      <c r="L129" s="1916">
        <f t="shared" si="86"/>
        <v>0</v>
      </c>
      <c r="M129" s="1916">
        <f t="shared" si="86"/>
        <v>0</v>
      </c>
      <c r="N129" s="1916">
        <f t="shared" si="86"/>
        <v>0</v>
      </c>
      <c r="O129" s="1916">
        <f t="shared" ref="O129:W130" si="87">O130</f>
        <v>0</v>
      </c>
      <c r="P129" s="1916">
        <f t="shared" si="87"/>
        <v>0</v>
      </c>
      <c r="Q129" s="1916">
        <f t="shared" si="87"/>
        <v>6462083</v>
      </c>
      <c r="R129" s="1916">
        <f t="shared" si="87"/>
        <v>6462084</v>
      </c>
      <c r="S129" s="1916">
        <f t="shared" si="87"/>
        <v>0</v>
      </c>
      <c r="T129" s="1916">
        <f t="shared" si="87"/>
        <v>0</v>
      </c>
      <c r="U129" s="1916">
        <f t="shared" si="87"/>
        <v>0</v>
      </c>
      <c r="V129" s="1916">
        <f t="shared" si="87"/>
        <v>0</v>
      </c>
      <c r="W129" s="1916">
        <f t="shared" si="87"/>
        <v>0</v>
      </c>
      <c r="X129" s="4158" t="s">
        <v>75</v>
      </c>
      <c r="Y129" s="3719" t="s">
        <v>415</v>
      </c>
    </row>
    <row r="130" spans="1:25" s="301" customFormat="1" ht="15" customHeight="1">
      <c r="A130" s="3936"/>
      <c r="B130" s="217" t="s">
        <v>29</v>
      </c>
      <c r="C130" s="4126" t="s">
        <v>276</v>
      </c>
      <c r="D130" s="441">
        <f>I130+J130+K130+L130+N130+O130+P130+Q130+R130</f>
        <v>12924167</v>
      </c>
      <c r="E130" s="442">
        <f t="shared" si="86"/>
        <v>0</v>
      </c>
      <c r="F130" s="442">
        <f t="shared" si="86"/>
        <v>0</v>
      </c>
      <c r="G130" s="442">
        <f t="shared" si="86"/>
        <v>0</v>
      </c>
      <c r="H130" s="442">
        <f t="shared" si="86"/>
        <v>0</v>
      </c>
      <c r="I130" s="442">
        <f t="shared" si="86"/>
        <v>0</v>
      </c>
      <c r="J130" s="442">
        <f t="shared" si="86"/>
        <v>0</v>
      </c>
      <c r="K130" s="442">
        <f t="shared" si="86"/>
        <v>0</v>
      </c>
      <c r="L130" s="442">
        <f t="shared" si="86"/>
        <v>0</v>
      </c>
      <c r="M130" s="442">
        <f t="shared" si="86"/>
        <v>0</v>
      </c>
      <c r="N130" s="442">
        <f t="shared" si="86"/>
        <v>0</v>
      </c>
      <c r="O130" s="442">
        <f t="shared" si="87"/>
        <v>0</v>
      </c>
      <c r="P130" s="442">
        <f t="shared" si="87"/>
        <v>0</v>
      </c>
      <c r="Q130" s="442">
        <f t="shared" si="87"/>
        <v>6462083</v>
      </c>
      <c r="R130" s="442">
        <f t="shared" si="87"/>
        <v>6462084</v>
      </c>
      <c r="S130" s="442">
        <f t="shared" si="87"/>
        <v>0</v>
      </c>
      <c r="T130" s="442">
        <f t="shared" si="87"/>
        <v>0</v>
      </c>
      <c r="U130" s="442">
        <f t="shared" si="87"/>
        <v>0</v>
      </c>
      <c r="V130" s="442">
        <f t="shared" si="87"/>
        <v>0</v>
      </c>
      <c r="W130" s="442">
        <f t="shared" si="87"/>
        <v>0</v>
      </c>
      <c r="X130" s="3635"/>
      <c r="Y130" s="3609"/>
    </row>
    <row r="131" spans="1:25" s="301" customFormat="1" ht="15" customHeight="1" thickBot="1">
      <c r="A131" s="3937"/>
      <c r="B131" s="3229" t="s">
        <v>32</v>
      </c>
      <c r="C131" s="3626"/>
      <c r="D131" s="325">
        <f>M131+P131+Q131+R131+S131+T131+U131+V131+W131</f>
        <v>12924167</v>
      </c>
      <c r="E131" s="89"/>
      <c r="F131" s="90"/>
      <c r="G131" s="89"/>
      <c r="H131" s="89"/>
      <c r="I131" s="89">
        <v>0</v>
      </c>
      <c r="J131" s="89">
        <v>0</v>
      </c>
      <c r="K131" s="89">
        <v>0</v>
      </c>
      <c r="L131" s="89">
        <v>0</v>
      </c>
      <c r="M131" s="2200">
        <f>+E131+I131+J131+K131+L131+N131+O131</f>
        <v>0</v>
      </c>
      <c r="N131" s="90"/>
      <c r="O131" s="89">
        <v>0</v>
      </c>
      <c r="P131" s="89">
        <v>0</v>
      </c>
      <c r="Q131" s="89">
        <v>6462083</v>
      </c>
      <c r="R131" s="89">
        <v>6462084</v>
      </c>
      <c r="S131" s="89">
        <v>0</v>
      </c>
      <c r="T131" s="89">
        <v>0</v>
      </c>
      <c r="U131" s="89">
        <v>0</v>
      </c>
      <c r="V131" s="89">
        <v>0</v>
      </c>
      <c r="W131" s="89">
        <v>0</v>
      </c>
      <c r="X131" s="3636"/>
      <c r="Y131" s="3610"/>
    </row>
    <row r="132" spans="1:25" s="301" customFormat="1" ht="36">
      <c r="A132" s="3940" t="s">
        <v>81</v>
      </c>
      <c r="B132" s="233" t="s">
        <v>580</v>
      </c>
      <c r="C132" s="3210" t="s">
        <v>217</v>
      </c>
      <c r="D132" s="1902"/>
      <c r="E132" s="1903"/>
      <c r="F132" s="1903"/>
      <c r="G132" s="1903"/>
      <c r="H132" s="1903"/>
      <c r="I132" s="1903"/>
      <c r="J132" s="1903"/>
      <c r="K132" s="1903"/>
      <c r="L132" s="1904"/>
      <c r="M132" s="1904"/>
      <c r="N132" s="1904"/>
      <c r="O132" s="1904"/>
      <c r="P132" s="1905"/>
      <c r="Q132" s="1905"/>
      <c r="R132" s="1905"/>
      <c r="S132" s="1905"/>
      <c r="T132" s="1904"/>
      <c r="U132" s="1904"/>
      <c r="V132" s="1904"/>
      <c r="W132" s="1904"/>
      <c r="X132" s="1906"/>
      <c r="Y132" s="3746" t="s">
        <v>527</v>
      </c>
    </row>
    <row r="133" spans="1:25" s="301" customFormat="1" ht="15" customHeight="1">
      <c r="A133" s="3936"/>
      <c r="B133" s="38" t="s">
        <v>21</v>
      </c>
      <c r="C133" s="26"/>
      <c r="D133" s="258">
        <f>D134+D136</f>
        <v>119600</v>
      </c>
      <c r="E133" s="258">
        <f t="shared" ref="E133:J133" si="88">+E136</f>
        <v>0</v>
      </c>
      <c r="F133" s="258">
        <f t="shared" si="88"/>
        <v>0</v>
      </c>
      <c r="G133" s="258">
        <f t="shared" si="88"/>
        <v>0</v>
      </c>
      <c r="H133" s="258">
        <f t="shared" si="88"/>
        <v>0</v>
      </c>
      <c r="I133" s="258">
        <f t="shared" si="88"/>
        <v>0</v>
      </c>
      <c r="J133" s="258">
        <f t="shared" si="88"/>
        <v>0</v>
      </c>
      <c r="K133" s="258">
        <f t="shared" ref="K133:P133" si="89">K134+K136</f>
        <v>0</v>
      </c>
      <c r="L133" s="258">
        <f t="shared" si="89"/>
        <v>0</v>
      </c>
      <c r="M133" s="258">
        <f t="shared" si="89"/>
        <v>0</v>
      </c>
      <c r="N133" s="258">
        <f t="shared" si="89"/>
        <v>0</v>
      </c>
      <c r="O133" s="258">
        <f t="shared" si="89"/>
        <v>0</v>
      </c>
      <c r="P133" s="258">
        <f t="shared" si="89"/>
        <v>0</v>
      </c>
      <c r="Q133" s="258">
        <f t="shared" ref="Q133:W133" si="90">+Q136</f>
        <v>0</v>
      </c>
      <c r="R133" s="258">
        <f>R134+R138</f>
        <v>119600</v>
      </c>
      <c r="S133" s="258">
        <f t="shared" si="90"/>
        <v>0</v>
      </c>
      <c r="T133" s="258">
        <f t="shared" si="90"/>
        <v>0</v>
      </c>
      <c r="U133" s="258">
        <f t="shared" si="90"/>
        <v>0</v>
      </c>
      <c r="V133" s="258">
        <f t="shared" si="90"/>
        <v>0</v>
      </c>
      <c r="W133" s="258">
        <f t="shared" si="90"/>
        <v>0</v>
      </c>
      <c r="X133" s="80">
        <f>+X136+X134</f>
        <v>119600</v>
      </c>
      <c r="Y133" s="3747"/>
    </row>
    <row r="134" spans="1:25" s="301" customFormat="1" ht="15" customHeight="1">
      <c r="A134" s="3936"/>
      <c r="B134" s="1918" t="s">
        <v>35</v>
      </c>
      <c r="C134" s="3764" t="s">
        <v>273</v>
      </c>
      <c r="D134" s="441">
        <f>D135</f>
        <v>17940</v>
      </c>
      <c r="E134" s="442"/>
      <c r="F134" s="442"/>
      <c r="G134" s="442"/>
      <c r="H134" s="442"/>
      <c r="I134" s="445"/>
      <c r="J134" s="445"/>
      <c r="K134" s="445">
        <f t="shared" ref="K134:P134" si="91">K135</f>
        <v>0</v>
      </c>
      <c r="L134" s="445">
        <f t="shared" si="91"/>
        <v>0</v>
      </c>
      <c r="M134" s="445">
        <f t="shared" si="91"/>
        <v>0</v>
      </c>
      <c r="N134" s="446">
        <f t="shared" si="91"/>
        <v>0</v>
      </c>
      <c r="O134" s="446">
        <f t="shared" si="91"/>
        <v>0</v>
      </c>
      <c r="P134" s="446">
        <f t="shared" si="91"/>
        <v>0</v>
      </c>
      <c r="Q134" s="446">
        <v>0</v>
      </c>
      <c r="R134" s="446">
        <f>R135</f>
        <v>17940</v>
      </c>
      <c r="S134" s="446">
        <v>0</v>
      </c>
      <c r="T134" s="446">
        <v>0</v>
      </c>
      <c r="U134" s="446">
        <v>0</v>
      </c>
      <c r="V134" s="446">
        <v>0</v>
      </c>
      <c r="W134" s="446">
        <v>0</v>
      </c>
      <c r="X134" s="429">
        <f>X135</f>
        <v>17940</v>
      </c>
      <c r="Y134" s="3747"/>
    </row>
    <row r="135" spans="1:25" s="301" customFormat="1" ht="15" customHeight="1">
      <c r="A135" s="3936"/>
      <c r="B135" s="1919" t="s">
        <v>23</v>
      </c>
      <c r="C135" s="3612"/>
      <c r="D135" s="325">
        <f>M135+P135+Q135+R135+S135+T135+U135+V135+W135</f>
        <v>17940</v>
      </c>
      <c r="E135" s="433"/>
      <c r="F135" s="440"/>
      <c r="G135" s="440"/>
      <c r="H135" s="433"/>
      <c r="I135" s="433"/>
      <c r="J135" s="433"/>
      <c r="K135" s="433"/>
      <c r="L135" s="433"/>
      <c r="M135" s="2200">
        <f>+E135+I135+J135+K135+L135+N135+O135</f>
        <v>0</v>
      </c>
      <c r="N135" s="440"/>
      <c r="O135" s="440">
        <v>0</v>
      </c>
      <c r="P135" s="440">
        <v>0</v>
      </c>
      <c r="Q135" s="440">
        <v>0</v>
      </c>
      <c r="R135" s="440">
        <v>17940</v>
      </c>
      <c r="S135" s="440">
        <v>0</v>
      </c>
      <c r="T135" s="440">
        <v>0</v>
      </c>
      <c r="U135" s="440">
        <v>0</v>
      </c>
      <c r="V135" s="440">
        <v>0</v>
      </c>
      <c r="W135" s="440">
        <v>0</v>
      </c>
      <c r="X135" s="1899">
        <f>SUM(Q135:W135)</f>
        <v>17940</v>
      </c>
      <c r="Y135" s="3747"/>
    </row>
    <row r="136" spans="1:25" s="301" customFormat="1" ht="15" customHeight="1">
      <c r="A136" s="3936"/>
      <c r="B136" s="1269" t="s">
        <v>29</v>
      </c>
      <c r="C136" s="3612"/>
      <c r="D136" s="61">
        <f>D137</f>
        <v>101660</v>
      </c>
      <c r="E136" s="62">
        <f t="shared" ref="E136:X136" si="92">+E137</f>
        <v>0</v>
      </c>
      <c r="F136" s="62">
        <f t="shared" si="92"/>
        <v>0</v>
      </c>
      <c r="G136" s="62">
        <f t="shared" si="92"/>
        <v>0</v>
      </c>
      <c r="H136" s="62">
        <f t="shared" si="92"/>
        <v>0</v>
      </c>
      <c r="I136" s="131">
        <f t="shared" si="92"/>
        <v>0</v>
      </c>
      <c r="J136" s="131">
        <f t="shared" si="92"/>
        <v>0</v>
      </c>
      <c r="K136" s="131">
        <f t="shared" si="92"/>
        <v>0</v>
      </c>
      <c r="L136" s="131">
        <f t="shared" si="92"/>
        <v>0</v>
      </c>
      <c r="M136" s="131">
        <f t="shared" si="92"/>
        <v>0</v>
      </c>
      <c r="N136" s="133">
        <f>N137</f>
        <v>0</v>
      </c>
      <c r="O136" s="133">
        <f>O137</f>
        <v>0</v>
      </c>
      <c r="P136" s="133">
        <v>0</v>
      </c>
      <c r="Q136" s="133">
        <v>0</v>
      </c>
      <c r="R136" s="133">
        <f>R137</f>
        <v>101660</v>
      </c>
      <c r="S136" s="133">
        <v>0</v>
      </c>
      <c r="T136" s="133">
        <v>0</v>
      </c>
      <c r="U136" s="133">
        <v>0</v>
      </c>
      <c r="V136" s="133">
        <v>0</v>
      </c>
      <c r="W136" s="133">
        <v>0</v>
      </c>
      <c r="X136" s="99">
        <f t="shared" si="92"/>
        <v>101660</v>
      </c>
      <c r="Y136" s="3747"/>
    </row>
    <row r="137" spans="1:25" s="301" customFormat="1" ht="15" customHeight="1">
      <c r="A137" s="3936"/>
      <c r="B137" s="379" t="s">
        <v>32</v>
      </c>
      <c r="C137" s="3670"/>
      <c r="D137" s="325">
        <f>M137+P137+Q137+R137+S137+T137+U137+V137+W137</f>
        <v>101660</v>
      </c>
      <c r="E137" s="57"/>
      <c r="F137" s="64">
        <v>0</v>
      </c>
      <c r="G137" s="64"/>
      <c r="H137" s="57"/>
      <c r="I137" s="57"/>
      <c r="J137" s="57"/>
      <c r="K137" s="57"/>
      <c r="L137" s="57"/>
      <c r="M137" s="2200">
        <f>+E137+I137+J137+K137+L137+N137+O137</f>
        <v>0</v>
      </c>
      <c r="N137" s="64"/>
      <c r="O137" s="64">
        <v>0</v>
      </c>
      <c r="P137" s="64">
        <v>0</v>
      </c>
      <c r="Q137" s="64">
        <v>0</v>
      </c>
      <c r="R137" s="64">
        <v>101660</v>
      </c>
      <c r="S137" s="64">
        <v>0</v>
      </c>
      <c r="T137" s="64">
        <v>0</v>
      </c>
      <c r="U137" s="64">
        <v>0</v>
      </c>
      <c r="V137" s="64">
        <v>0</v>
      </c>
      <c r="W137" s="64">
        <v>0</v>
      </c>
      <c r="X137" s="1899">
        <f>SUM(Q137:W137)</f>
        <v>101660</v>
      </c>
      <c r="Y137" s="4127"/>
    </row>
    <row r="138" spans="1:25" s="301" customFormat="1" ht="15" customHeight="1">
      <c r="A138" s="3936"/>
      <c r="B138" s="25" t="s">
        <v>33</v>
      </c>
      <c r="C138" s="26"/>
      <c r="D138" s="258">
        <f>I138+J138+K138+L138+N138+O138+P138+Q138+R138</f>
        <v>101660</v>
      </c>
      <c r="E138" s="258">
        <f t="shared" ref="E138:N139" si="93">+E139</f>
        <v>0</v>
      </c>
      <c r="F138" s="258">
        <f t="shared" si="93"/>
        <v>0</v>
      </c>
      <c r="G138" s="258">
        <f t="shared" si="93"/>
        <v>0</v>
      </c>
      <c r="H138" s="258">
        <f t="shared" si="93"/>
        <v>0</v>
      </c>
      <c r="I138" s="258">
        <f t="shared" si="93"/>
        <v>0</v>
      </c>
      <c r="J138" s="258">
        <f t="shared" si="93"/>
        <v>0</v>
      </c>
      <c r="K138" s="258">
        <f t="shared" si="93"/>
        <v>0</v>
      </c>
      <c r="L138" s="258">
        <f t="shared" si="93"/>
        <v>0</v>
      </c>
      <c r="M138" s="258">
        <f t="shared" si="93"/>
        <v>0</v>
      </c>
      <c r="N138" s="258">
        <f t="shared" si="93"/>
        <v>0</v>
      </c>
      <c r="O138" s="258">
        <f t="shared" ref="O138:W139" si="94">O139</f>
        <v>0</v>
      </c>
      <c r="P138" s="258">
        <f t="shared" si="94"/>
        <v>0</v>
      </c>
      <c r="Q138" s="258">
        <f t="shared" si="94"/>
        <v>0</v>
      </c>
      <c r="R138" s="258">
        <f t="shared" si="94"/>
        <v>101660</v>
      </c>
      <c r="S138" s="258">
        <f t="shared" si="94"/>
        <v>0</v>
      </c>
      <c r="T138" s="258">
        <f t="shared" si="94"/>
        <v>0</v>
      </c>
      <c r="U138" s="258">
        <f t="shared" si="94"/>
        <v>0</v>
      </c>
      <c r="V138" s="258">
        <f t="shared" si="94"/>
        <v>0</v>
      </c>
      <c r="W138" s="258">
        <f t="shared" si="94"/>
        <v>0</v>
      </c>
      <c r="X138" s="3667" t="s">
        <v>75</v>
      </c>
      <c r="Y138" s="3747" t="s">
        <v>283</v>
      </c>
    </row>
    <row r="139" spans="1:25" s="301" customFormat="1" ht="15" customHeight="1">
      <c r="A139" s="3936"/>
      <c r="B139" s="217" t="s">
        <v>29</v>
      </c>
      <c r="C139" s="3728" t="s">
        <v>276</v>
      </c>
      <c r="D139" s="61">
        <f>I139+J139+K139+L139+N139+O139+P139+Q139+R139</f>
        <v>101660</v>
      </c>
      <c r="E139" s="62">
        <f t="shared" si="93"/>
        <v>0</v>
      </c>
      <c r="F139" s="62">
        <f t="shared" si="93"/>
        <v>0</v>
      </c>
      <c r="G139" s="62">
        <f t="shared" si="93"/>
        <v>0</v>
      </c>
      <c r="H139" s="62">
        <f t="shared" si="93"/>
        <v>0</v>
      </c>
      <c r="I139" s="62">
        <f t="shared" si="93"/>
        <v>0</v>
      </c>
      <c r="J139" s="62">
        <f t="shared" si="93"/>
        <v>0</v>
      </c>
      <c r="K139" s="62">
        <f t="shared" si="93"/>
        <v>0</v>
      </c>
      <c r="L139" s="62">
        <f t="shared" si="93"/>
        <v>0</v>
      </c>
      <c r="M139" s="62">
        <f t="shared" si="93"/>
        <v>0</v>
      </c>
      <c r="N139" s="62">
        <f t="shared" si="93"/>
        <v>0</v>
      </c>
      <c r="O139" s="62">
        <f t="shared" si="94"/>
        <v>0</v>
      </c>
      <c r="P139" s="62">
        <f t="shared" si="94"/>
        <v>0</v>
      </c>
      <c r="Q139" s="62">
        <f t="shared" si="94"/>
        <v>0</v>
      </c>
      <c r="R139" s="62">
        <f t="shared" si="94"/>
        <v>101660</v>
      </c>
      <c r="S139" s="62">
        <f t="shared" si="94"/>
        <v>0</v>
      </c>
      <c r="T139" s="62">
        <f t="shared" si="94"/>
        <v>0</v>
      </c>
      <c r="U139" s="62">
        <f t="shared" si="94"/>
        <v>0</v>
      </c>
      <c r="V139" s="62">
        <f t="shared" si="94"/>
        <v>0</v>
      </c>
      <c r="W139" s="62">
        <f t="shared" si="94"/>
        <v>0</v>
      </c>
      <c r="X139" s="3635"/>
      <c r="Y139" s="3747"/>
    </row>
    <row r="140" spans="1:25" s="301" customFormat="1" ht="15" customHeight="1" thickBot="1">
      <c r="A140" s="3937"/>
      <c r="B140" s="3229" t="s">
        <v>32</v>
      </c>
      <c r="C140" s="3626"/>
      <c r="D140" s="325">
        <f>M140+P140+Q140+R140+S140+T140+U140+V140+W140</f>
        <v>101660</v>
      </c>
      <c r="E140" s="89"/>
      <c r="F140" s="90"/>
      <c r="G140" s="89"/>
      <c r="H140" s="89"/>
      <c r="I140" s="89">
        <v>0</v>
      </c>
      <c r="J140" s="89">
        <v>0</v>
      </c>
      <c r="K140" s="89">
        <v>0</v>
      </c>
      <c r="L140" s="89">
        <v>0</v>
      </c>
      <c r="M140" s="2200">
        <f>+E140+I140+J140+K140+L140+N140+O140</f>
        <v>0</v>
      </c>
      <c r="N140" s="90">
        <v>0</v>
      </c>
      <c r="O140" s="89">
        <v>0</v>
      </c>
      <c r="P140" s="89">
        <v>0</v>
      </c>
      <c r="Q140" s="89">
        <v>0</v>
      </c>
      <c r="R140" s="89">
        <v>101660</v>
      </c>
      <c r="S140" s="89">
        <v>0</v>
      </c>
      <c r="T140" s="89">
        <v>0</v>
      </c>
      <c r="U140" s="89">
        <v>0</v>
      </c>
      <c r="V140" s="89">
        <v>0</v>
      </c>
      <c r="W140" s="89">
        <v>0</v>
      </c>
      <c r="X140" s="3636"/>
      <c r="Y140" s="3748"/>
    </row>
    <row r="141" spans="1:25" s="301" customFormat="1" ht="36">
      <c r="A141" s="3940" t="s">
        <v>133</v>
      </c>
      <c r="B141" s="233" t="s">
        <v>581</v>
      </c>
      <c r="C141" s="3210" t="s">
        <v>95</v>
      </c>
      <c r="D141" s="1902"/>
      <c r="E141" s="1903"/>
      <c r="F141" s="1903"/>
      <c r="G141" s="1903"/>
      <c r="H141" s="1903"/>
      <c r="I141" s="1903"/>
      <c r="J141" s="1903"/>
      <c r="K141" s="1903"/>
      <c r="L141" s="1904"/>
      <c r="M141" s="1904"/>
      <c r="N141" s="1904"/>
      <c r="O141" s="1904"/>
      <c r="P141" s="1905"/>
      <c r="Q141" s="1905"/>
      <c r="R141" s="1905"/>
      <c r="S141" s="1905"/>
      <c r="T141" s="1904"/>
      <c r="U141" s="1904"/>
      <c r="V141" s="1904"/>
      <c r="W141" s="1904"/>
      <c r="X141" s="1906"/>
      <c r="Y141" s="3746" t="s">
        <v>527</v>
      </c>
    </row>
    <row r="142" spans="1:25" s="301" customFormat="1" ht="15" customHeight="1">
      <c r="A142" s="3936"/>
      <c r="B142" s="38" t="s">
        <v>21</v>
      </c>
      <c r="C142" s="26"/>
      <c r="D142" s="258">
        <f>D143+D145</f>
        <v>13955532</v>
      </c>
      <c r="E142" s="258">
        <f t="shared" ref="E142:M142" si="95">E143+E145</f>
        <v>0</v>
      </c>
      <c r="F142" s="258">
        <f t="shared" si="95"/>
        <v>0</v>
      </c>
      <c r="G142" s="258">
        <f t="shared" si="95"/>
        <v>0</v>
      </c>
      <c r="H142" s="258">
        <f t="shared" si="95"/>
        <v>0</v>
      </c>
      <c r="I142" s="258">
        <f t="shared" si="95"/>
        <v>0</v>
      </c>
      <c r="J142" s="258">
        <f t="shared" si="95"/>
        <v>0</v>
      </c>
      <c r="K142" s="258">
        <f t="shared" si="95"/>
        <v>0</v>
      </c>
      <c r="L142" s="258">
        <f t="shared" si="95"/>
        <v>0</v>
      </c>
      <c r="M142" s="258">
        <f t="shared" si="95"/>
        <v>0</v>
      </c>
      <c r="N142" s="258">
        <f t="shared" ref="N142:O142" si="96">+N145</f>
        <v>0</v>
      </c>
      <c r="O142" s="258">
        <f t="shared" si="96"/>
        <v>0</v>
      </c>
      <c r="P142" s="258">
        <f>P143+P145</f>
        <v>630367</v>
      </c>
      <c r="Q142" s="258">
        <f>Q143+Q145</f>
        <v>2867416</v>
      </c>
      <c r="R142" s="258">
        <f>R143+R145</f>
        <v>10457749</v>
      </c>
      <c r="S142" s="258">
        <f>+S145</f>
        <v>0</v>
      </c>
      <c r="T142" s="258">
        <f>+T145</f>
        <v>0</v>
      </c>
      <c r="U142" s="258">
        <f>+U145</f>
        <v>0</v>
      </c>
      <c r="V142" s="258">
        <f>+V145</f>
        <v>0</v>
      </c>
      <c r="W142" s="258">
        <f>+W145</f>
        <v>0</v>
      </c>
      <c r="X142" s="80">
        <f>X143+X145</f>
        <v>13325165</v>
      </c>
      <c r="Y142" s="3747"/>
    </row>
    <row r="143" spans="1:25" s="301" customFormat="1" ht="15" customHeight="1">
      <c r="A143" s="3936"/>
      <c r="B143" s="1918" t="s">
        <v>35</v>
      </c>
      <c r="C143" s="3611" t="s">
        <v>273</v>
      </c>
      <c r="D143" s="441">
        <f>D144</f>
        <v>2093329</v>
      </c>
      <c r="E143" s="442"/>
      <c r="F143" s="442"/>
      <c r="G143" s="442"/>
      <c r="H143" s="442"/>
      <c r="I143" s="445"/>
      <c r="J143" s="445"/>
      <c r="K143" s="445">
        <f t="shared" ref="K143:R143" si="97">K144</f>
        <v>0</v>
      </c>
      <c r="L143" s="445">
        <f t="shared" si="97"/>
        <v>0</v>
      </c>
      <c r="M143" s="445">
        <f t="shared" si="97"/>
        <v>0</v>
      </c>
      <c r="N143" s="446">
        <f t="shared" si="97"/>
        <v>0</v>
      </c>
      <c r="O143" s="446">
        <f t="shared" si="97"/>
        <v>0</v>
      </c>
      <c r="P143" s="446">
        <f t="shared" si="97"/>
        <v>94555</v>
      </c>
      <c r="Q143" s="446">
        <f t="shared" si="97"/>
        <v>430112</v>
      </c>
      <c r="R143" s="446">
        <f t="shared" si="97"/>
        <v>1568662</v>
      </c>
      <c r="S143" s="446">
        <v>0</v>
      </c>
      <c r="T143" s="446">
        <v>0</v>
      </c>
      <c r="U143" s="446">
        <v>0</v>
      </c>
      <c r="V143" s="446">
        <v>0</v>
      </c>
      <c r="W143" s="446">
        <v>0</v>
      </c>
      <c r="X143" s="429">
        <f>X144</f>
        <v>1998774</v>
      </c>
      <c r="Y143" s="3747"/>
    </row>
    <row r="144" spans="1:25" s="301" customFormat="1" ht="15" customHeight="1">
      <c r="A144" s="3936"/>
      <c r="B144" s="1919" t="s">
        <v>23</v>
      </c>
      <c r="C144" s="3612"/>
      <c r="D144" s="325">
        <f>M144+P144+Q144+R144+S144+T144+U144+V144+W144</f>
        <v>2093329</v>
      </c>
      <c r="E144" s="433"/>
      <c r="F144" s="440"/>
      <c r="G144" s="440"/>
      <c r="H144" s="433"/>
      <c r="I144" s="433"/>
      <c r="J144" s="433"/>
      <c r="K144" s="433"/>
      <c r="L144" s="433"/>
      <c r="M144" s="2200">
        <f>+E144+I144+J144+K144+L144+N144+O144</f>
        <v>0</v>
      </c>
      <c r="N144" s="440"/>
      <c r="O144" s="440">
        <v>0</v>
      </c>
      <c r="P144" s="440">
        <v>94555</v>
      </c>
      <c r="Q144" s="440">
        <v>430112</v>
      </c>
      <c r="R144" s="440">
        <v>1568662</v>
      </c>
      <c r="S144" s="440">
        <v>0</v>
      </c>
      <c r="T144" s="440">
        <v>0</v>
      </c>
      <c r="U144" s="440">
        <v>0</v>
      </c>
      <c r="V144" s="440">
        <v>0</v>
      </c>
      <c r="W144" s="440">
        <v>0</v>
      </c>
      <c r="X144" s="1899">
        <f>SUM(Q144:W144)</f>
        <v>1998774</v>
      </c>
      <c r="Y144" s="3747"/>
    </row>
    <row r="145" spans="1:25" s="301" customFormat="1" ht="15" customHeight="1">
      <c r="A145" s="3936"/>
      <c r="B145" s="1269" t="s">
        <v>29</v>
      </c>
      <c r="C145" s="3612"/>
      <c r="D145" s="61">
        <f>D146</f>
        <v>11862203</v>
      </c>
      <c r="E145" s="62">
        <f t="shared" ref="E145:X145" si="98">+E146</f>
        <v>0</v>
      </c>
      <c r="F145" s="62">
        <f t="shared" si="98"/>
        <v>0</v>
      </c>
      <c r="G145" s="62">
        <f t="shared" si="98"/>
        <v>0</v>
      </c>
      <c r="H145" s="62">
        <f t="shared" si="98"/>
        <v>0</v>
      </c>
      <c r="I145" s="131">
        <f t="shared" si="98"/>
        <v>0</v>
      </c>
      <c r="J145" s="131">
        <f t="shared" si="98"/>
        <v>0</v>
      </c>
      <c r="K145" s="131">
        <f t="shared" si="98"/>
        <v>0</v>
      </c>
      <c r="L145" s="131">
        <f t="shared" si="98"/>
        <v>0</v>
      </c>
      <c r="M145" s="131">
        <f t="shared" si="98"/>
        <v>0</v>
      </c>
      <c r="N145" s="133">
        <f>N146</f>
        <v>0</v>
      </c>
      <c r="O145" s="133">
        <f>O146</f>
        <v>0</v>
      </c>
      <c r="P145" s="133">
        <f>P146</f>
        <v>535812</v>
      </c>
      <c r="Q145" s="133">
        <f>Q146</f>
        <v>2437304</v>
      </c>
      <c r="R145" s="133">
        <f>R146</f>
        <v>8889087</v>
      </c>
      <c r="S145" s="133">
        <v>0</v>
      </c>
      <c r="T145" s="133">
        <v>0</v>
      </c>
      <c r="U145" s="133">
        <v>0</v>
      </c>
      <c r="V145" s="133">
        <v>0</v>
      </c>
      <c r="W145" s="133">
        <v>0</v>
      </c>
      <c r="X145" s="99">
        <f t="shared" si="98"/>
        <v>11326391</v>
      </c>
      <c r="Y145" s="3747"/>
    </row>
    <row r="146" spans="1:25" s="301" customFormat="1" ht="15" customHeight="1">
      <c r="A146" s="3936"/>
      <c r="B146" s="379" t="s">
        <v>32</v>
      </c>
      <c r="C146" s="3670"/>
      <c r="D146" s="325">
        <f>M146+P146+Q146+R146+S146+T146+U146+V146+W146</f>
        <v>11862203</v>
      </c>
      <c r="E146" s="57"/>
      <c r="F146" s="64">
        <v>0</v>
      </c>
      <c r="G146" s="64"/>
      <c r="H146" s="57"/>
      <c r="I146" s="57"/>
      <c r="J146" s="57"/>
      <c r="K146" s="57"/>
      <c r="L146" s="57"/>
      <c r="M146" s="2200">
        <f>+E146+I146+J146+K146+L146+N146+O146</f>
        <v>0</v>
      </c>
      <c r="N146" s="64">
        <v>0</v>
      </c>
      <c r="O146" s="64">
        <v>0</v>
      </c>
      <c r="P146" s="64">
        <v>535812</v>
      </c>
      <c r="Q146" s="64">
        <v>2437304</v>
      </c>
      <c r="R146" s="64">
        <v>8889087</v>
      </c>
      <c r="S146" s="64">
        <v>0</v>
      </c>
      <c r="T146" s="64">
        <v>0</v>
      </c>
      <c r="U146" s="64">
        <v>0</v>
      </c>
      <c r="V146" s="64">
        <v>0</v>
      </c>
      <c r="W146" s="64">
        <v>0</v>
      </c>
      <c r="X146" s="1899">
        <f>SUM(Q146:W146)</f>
        <v>11326391</v>
      </c>
      <c r="Y146" s="4127"/>
    </row>
    <row r="147" spans="1:25" s="301" customFormat="1" ht="15" customHeight="1">
      <c r="A147" s="3936"/>
      <c r="B147" s="25" t="s">
        <v>33</v>
      </c>
      <c r="C147" s="26"/>
      <c r="D147" s="258">
        <f>I147+J147+K147+L147+N147+O147+P147+Q147+R147</f>
        <v>11862203</v>
      </c>
      <c r="E147" s="258">
        <f t="shared" ref="E147:N148" si="99">+E148</f>
        <v>0</v>
      </c>
      <c r="F147" s="258">
        <f t="shared" si="99"/>
        <v>0</v>
      </c>
      <c r="G147" s="258">
        <f t="shared" si="99"/>
        <v>0</v>
      </c>
      <c r="H147" s="258">
        <f t="shared" si="99"/>
        <v>0</v>
      </c>
      <c r="I147" s="258">
        <f t="shared" si="99"/>
        <v>0</v>
      </c>
      <c r="J147" s="258">
        <f t="shared" si="99"/>
        <v>0</v>
      </c>
      <c r="K147" s="258">
        <f t="shared" si="99"/>
        <v>0</v>
      </c>
      <c r="L147" s="258">
        <f t="shared" si="99"/>
        <v>0</v>
      </c>
      <c r="M147" s="258">
        <f t="shared" si="99"/>
        <v>0</v>
      </c>
      <c r="N147" s="258">
        <f t="shared" si="99"/>
        <v>0</v>
      </c>
      <c r="O147" s="258">
        <f t="shared" ref="O147:W148" si="100">O148</f>
        <v>0</v>
      </c>
      <c r="P147" s="258">
        <f t="shared" si="100"/>
        <v>535812</v>
      </c>
      <c r="Q147" s="258">
        <f t="shared" si="100"/>
        <v>2437304</v>
      </c>
      <c r="R147" s="258">
        <f t="shared" si="100"/>
        <v>8889087</v>
      </c>
      <c r="S147" s="258">
        <f t="shared" si="100"/>
        <v>0</v>
      </c>
      <c r="T147" s="258">
        <f t="shared" si="100"/>
        <v>0</v>
      </c>
      <c r="U147" s="258">
        <f t="shared" si="100"/>
        <v>0</v>
      </c>
      <c r="V147" s="258">
        <f t="shared" si="100"/>
        <v>0</v>
      </c>
      <c r="W147" s="258">
        <f t="shared" si="100"/>
        <v>0</v>
      </c>
      <c r="X147" s="3667" t="s">
        <v>75</v>
      </c>
      <c r="Y147" s="3747" t="s">
        <v>283</v>
      </c>
    </row>
    <row r="148" spans="1:25" s="301" customFormat="1" ht="15" customHeight="1">
      <c r="A148" s="3936"/>
      <c r="B148" s="217" t="s">
        <v>29</v>
      </c>
      <c r="C148" s="3728" t="s">
        <v>276</v>
      </c>
      <c r="D148" s="61">
        <f>I148+J148+K148+L148+N148+O148+P148+Q148+R148</f>
        <v>11862203</v>
      </c>
      <c r="E148" s="62">
        <f t="shared" si="99"/>
        <v>0</v>
      </c>
      <c r="F148" s="62">
        <f t="shared" si="99"/>
        <v>0</v>
      </c>
      <c r="G148" s="62">
        <f t="shared" si="99"/>
        <v>0</v>
      </c>
      <c r="H148" s="62">
        <f t="shared" si="99"/>
        <v>0</v>
      </c>
      <c r="I148" s="62">
        <f t="shared" si="99"/>
        <v>0</v>
      </c>
      <c r="J148" s="62">
        <f t="shared" si="99"/>
        <v>0</v>
      </c>
      <c r="K148" s="62">
        <f t="shared" si="99"/>
        <v>0</v>
      </c>
      <c r="L148" s="62">
        <f t="shared" si="99"/>
        <v>0</v>
      </c>
      <c r="M148" s="62">
        <f t="shared" si="99"/>
        <v>0</v>
      </c>
      <c r="N148" s="62">
        <f t="shared" si="99"/>
        <v>0</v>
      </c>
      <c r="O148" s="62">
        <f t="shared" si="100"/>
        <v>0</v>
      </c>
      <c r="P148" s="62">
        <f t="shared" si="100"/>
        <v>535812</v>
      </c>
      <c r="Q148" s="62">
        <f t="shared" si="100"/>
        <v>2437304</v>
      </c>
      <c r="R148" s="62">
        <f t="shared" si="100"/>
        <v>8889087</v>
      </c>
      <c r="S148" s="62">
        <f t="shared" si="100"/>
        <v>0</v>
      </c>
      <c r="T148" s="62">
        <f t="shared" si="100"/>
        <v>0</v>
      </c>
      <c r="U148" s="62">
        <f t="shared" si="100"/>
        <v>0</v>
      </c>
      <c r="V148" s="62">
        <f t="shared" si="100"/>
        <v>0</v>
      </c>
      <c r="W148" s="62">
        <f t="shared" si="100"/>
        <v>0</v>
      </c>
      <c r="X148" s="3635"/>
      <c r="Y148" s="3747"/>
    </row>
    <row r="149" spans="1:25" s="301" customFormat="1" ht="15" customHeight="1" thickBot="1">
      <c r="A149" s="3937"/>
      <c r="B149" s="3229" t="s">
        <v>32</v>
      </c>
      <c r="C149" s="3626"/>
      <c r="D149" s="325">
        <f>M149+P149+Q149+R149+S149+T149+U149+V149+W149</f>
        <v>11862203</v>
      </c>
      <c r="E149" s="89"/>
      <c r="F149" s="90"/>
      <c r="G149" s="89"/>
      <c r="H149" s="89"/>
      <c r="I149" s="89">
        <v>0</v>
      </c>
      <c r="J149" s="89">
        <v>0</v>
      </c>
      <c r="K149" s="89">
        <v>0</v>
      </c>
      <c r="L149" s="89">
        <v>0</v>
      </c>
      <c r="M149" s="2200">
        <f>+E149+I149+J149+K149+L149+N149+O149</f>
        <v>0</v>
      </c>
      <c r="N149" s="90">
        <v>0</v>
      </c>
      <c r="O149" s="89">
        <v>0</v>
      </c>
      <c r="P149" s="89">
        <v>535812</v>
      </c>
      <c r="Q149" s="89">
        <v>2437304</v>
      </c>
      <c r="R149" s="89">
        <v>8889087</v>
      </c>
      <c r="S149" s="89">
        <v>0</v>
      </c>
      <c r="T149" s="89">
        <v>0</v>
      </c>
      <c r="U149" s="89">
        <v>0</v>
      </c>
      <c r="V149" s="89">
        <v>0</v>
      </c>
      <c r="W149" s="89">
        <v>0</v>
      </c>
      <c r="X149" s="3636"/>
      <c r="Y149" s="3748"/>
    </row>
    <row r="150" spans="1:25" s="301" customFormat="1" ht="45" customHeight="1">
      <c r="A150" s="3940" t="s">
        <v>102</v>
      </c>
      <c r="B150" s="233" t="s">
        <v>574</v>
      </c>
      <c r="C150" s="3210" t="s">
        <v>217</v>
      </c>
      <c r="D150" s="1902"/>
      <c r="E150" s="1903"/>
      <c r="F150" s="1903"/>
      <c r="G150" s="1903"/>
      <c r="H150" s="1903"/>
      <c r="I150" s="1903"/>
      <c r="J150" s="1903"/>
      <c r="K150" s="1903"/>
      <c r="L150" s="1904"/>
      <c r="M150" s="1904"/>
      <c r="N150" s="1904"/>
      <c r="O150" s="1904"/>
      <c r="P150" s="1905"/>
      <c r="Q150" s="1905"/>
      <c r="R150" s="1905"/>
      <c r="S150" s="1905"/>
      <c r="T150" s="1904"/>
      <c r="U150" s="1904"/>
      <c r="V150" s="1904"/>
      <c r="W150" s="1904"/>
      <c r="X150" s="1906"/>
      <c r="Y150" s="3746" t="s">
        <v>551</v>
      </c>
    </row>
    <row r="151" spans="1:25" s="301" customFormat="1" ht="15" customHeight="1">
      <c r="A151" s="3936"/>
      <c r="B151" s="38" t="s">
        <v>21</v>
      </c>
      <c r="C151" s="26"/>
      <c r="D151" s="258">
        <f>D152+D156</f>
        <v>342701</v>
      </c>
      <c r="E151" s="258">
        <f t="shared" ref="E151:M151" si="101">E152+E156</f>
        <v>0</v>
      </c>
      <c r="F151" s="258">
        <f t="shared" si="101"/>
        <v>0</v>
      </c>
      <c r="G151" s="258">
        <f t="shared" si="101"/>
        <v>0</v>
      </c>
      <c r="H151" s="258">
        <f t="shared" si="101"/>
        <v>0</v>
      </c>
      <c r="I151" s="258">
        <f t="shared" si="101"/>
        <v>0</v>
      </c>
      <c r="J151" s="258">
        <f t="shared" si="101"/>
        <v>0</v>
      </c>
      <c r="K151" s="258">
        <f t="shared" si="101"/>
        <v>0</v>
      </c>
      <c r="L151" s="258">
        <f t="shared" si="101"/>
        <v>0</v>
      </c>
      <c r="M151" s="258">
        <f t="shared" si="101"/>
        <v>0</v>
      </c>
      <c r="N151" s="258">
        <f t="shared" ref="N151:O151" si="102">+N156</f>
        <v>0</v>
      </c>
      <c r="O151" s="258">
        <f t="shared" si="102"/>
        <v>0</v>
      </c>
      <c r="P151" s="258">
        <f>P152+P156</f>
        <v>0</v>
      </c>
      <c r="Q151" s="258">
        <f>Q152+Q156</f>
        <v>32411</v>
      </c>
      <c r="R151" s="258">
        <f>R152+R156</f>
        <v>65928</v>
      </c>
      <c r="S151" s="258">
        <f>S152+S156</f>
        <v>244362</v>
      </c>
      <c r="T151" s="258">
        <f>+T156</f>
        <v>0</v>
      </c>
      <c r="U151" s="258">
        <f>+U156</f>
        <v>0</v>
      </c>
      <c r="V151" s="258">
        <f>+V156</f>
        <v>0</v>
      </c>
      <c r="W151" s="258">
        <f>+W156</f>
        <v>0</v>
      </c>
      <c r="X151" s="80">
        <f>X152+X156</f>
        <v>342701</v>
      </c>
      <c r="Y151" s="3747"/>
    </row>
    <row r="152" spans="1:25" s="301" customFormat="1" ht="15" customHeight="1">
      <c r="A152" s="3936"/>
      <c r="B152" s="1918" t="s">
        <v>35</v>
      </c>
      <c r="C152" s="3611" t="s">
        <v>542</v>
      </c>
      <c r="D152" s="441">
        <f>D153</f>
        <v>51406</v>
      </c>
      <c r="E152" s="442"/>
      <c r="F152" s="442"/>
      <c r="G152" s="442"/>
      <c r="H152" s="442"/>
      <c r="I152" s="445"/>
      <c r="J152" s="445"/>
      <c r="K152" s="445">
        <f t="shared" ref="K152:S152" si="103">K153</f>
        <v>0</v>
      </c>
      <c r="L152" s="445">
        <f t="shared" si="103"/>
        <v>0</v>
      </c>
      <c r="M152" s="445">
        <f t="shared" si="103"/>
        <v>0</v>
      </c>
      <c r="N152" s="446">
        <f t="shared" si="103"/>
        <v>0</v>
      </c>
      <c r="O152" s="446">
        <f t="shared" si="103"/>
        <v>0</v>
      </c>
      <c r="P152" s="446">
        <f t="shared" si="103"/>
        <v>0</v>
      </c>
      <c r="Q152" s="446">
        <f t="shared" si="103"/>
        <v>4861</v>
      </c>
      <c r="R152" s="446">
        <f t="shared" si="103"/>
        <v>9889</v>
      </c>
      <c r="S152" s="446">
        <f t="shared" si="103"/>
        <v>36656</v>
      </c>
      <c r="T152" s="446">
        <v>0</v>
      </c>
      <c r="U152" s="446">
        <v>0</v>
      </c>
      <c r="V152" s="446">
        <v>0</v>
      </c>
      <c r="W152" s="446">
        <v>0</v>
      </c>
      <c r="X152" s="429">
        <f>X153</f>
        <v>51406</v>
      </c>
      <c r="Y152" s="3747"/>
    </row>
    <row r="153" spans="1:25" s="301" customFormat="1" ht="15" customHeight="1">
      <c r="A153" s="3936"/>
      <c r="B153" s="1919" t="s">
        <v>23</v>
      </c>
      <c r="C153" s="3612"/>
      <c r="D153" s="325">
        <f>M153+P153+Q153+R153+S153+T153+U153+V153+W153</f>
        <v>51406</v>
      </c>
      <c r="E153" s="433"/>
      <c r="F153" s="440"/>
      <c r="G153" s="440"/>
      <c r="H153" s="433"/>
      <c r="I153" s="433"/>
      <c r="J153" s="433"/>
      <c r="K153" s="433"/>
      <c r="L153" s="433"/>
      <c r="M153" s="2200">
        <f>+E153+I153+J153+K153+L153+N153+O153</f>
        <v>0</v>
      </c>
      <c r="N153" s="440"/>
      <c r="O153" s="440">
        <v>0</v>
      </c>
      <c r="P153" s="440"/>
      <c r="Q153" s="440">
        <v>4861</v>
      </c>
      <c r="R153" s="440">
        <v>9889</v>
      </c>
      <c r="S153" s="440">
        <f>36655+1</f>
        <v>36656</v>
      </c>
      <c r="T153" s="440">
        <v>0</v>
      </c>
      <c r="U153" s="440">
        <v>0</v>
      </c>
      <c r="V153" s="440">
        <v>0</v>
      </c>
      <c r="W153" s="440">
        <v>0</v>
      </c>
      <c r="X153" s="1899">
        <f>SUM(Q153:W153)</f>
        <v>51406</v>
      </c>
      <c r="Y153" s="3747"/>
    </row>
    <row r="154" spans="1:25" s="301" customFormat="1" ht="15" hidden="1" customHeight="1">
      <c r="A154" s="3936"/>
      <c r="B154" s="3431" t="s">
        <v>563</v>
      </c>
      <c r="C154" s="3612"/>
      <c r="D154" s="2234"/>
      <c r="E154" s="2300"/>
      <c r="F154" s="2314"/>
      <c r="G154" s="2314"/>
      <c r="H154" s="2300"/>
      <c r="I154" s="2300"/>
      <c r="J154" s="2300"/>
      <c r="K154" s="2300"/>
      <c r="L154" s="2300"/>
      <c r="M154" s="2264"/>
      <c r="N154" s="2314"/>
      <c r="O154" s="2314"/>
      <c r="P154" s="2314"/>
      <c r="Q154" s="3432">
        <v>3347</v>
      </c>
      <c r="R154" s="3432">
        <v>8073</v>
      </c>
      <c r="S154" s="3432">
        <v>34839</v>
      </c>
      <c r="T154" s="2314"/>
      <c r="U154" s="2314"/>
      <c r="V154" s="2314"/>
      <c r="W154" s="2314"/>
      <c r="X154" s="3433"/>
      <c r="Y154" s="3747"/>
    </row>
    <row r="155" spans="1:25" s="301" customFormat="1" ht="15" hidden="1" customHeight="1">
      <c r="A155" s="3936"/>
      <c r="B155" s="3431" t="s">
        <v>562</v>
      </c>
      <c r="C155" s="3612"/>
      <c r="D155" s="2234"/>
      <c r="E155" s="2300"/>
      <c r="F155" s="2314"/>
      <c r="G155" s="2314"/>
      <c r="H155" s="2300"/>
      <c r="I155" s="2300"/>
      <c r="J155" s="2300"/>
      <c r="K155" s="2300"/>
      <c r="L155" s="2300"/>
      <c r="M155" s="2264"/>
      <c r="N155" s="2314"/>
      <c r="O155" s="2314"/>
      <c r="P155" s="2314"/>
      <c r="Q155" s="3432">
        <v>1514</v>
      </c>
      <c r="R155" s="3432">
        <v>1816</v>
      </c>
      <c r="S155" s="3432">
        <v>1816</v>
      </c>
      <c r="T155" s="2314"/>
      <c r="U155" s="2314"/>
      <c r="V155" s="2314"/>
      <c r="W155" s="2314"/>
      <c r="X155" s="3433"/>
      <c r="Y155" s="3747"/>
    </row>
    <row r="156" spans="1:25" s="301" customFormat="1" ht="15" customHeight="1">
      <c r="A156" s="3936"/>
      <c r="B156" s="1269" t="s">
        <v>29</v>
      </c>
      <c r="C156" s="3612"/>
      <c r="D156" s="61">
        <f>D157</f>
        <v>291295</v>
      </c>
      <c r="E156" s="62">
        <f t="shared" ref="E156:X156" si="104">+E157</f>
        <v>0</v>
      </c>
      <c r="F156" s="62">
        <f t="shared" si="104"/>
        <v>0</v>
      </c>
      <c r="G156" s="62">
        <f t="shared" si="104"/>
        <v>0</v>
      </c>
      <c r="H156" s="62">
        <f t="shared" si="104"/>
        <v>0</v>
      </c>
      <c r="I156" s="131">
        <f t="shared" si="104"/>
        <v>0</v>
      </c>
      <c r="J156" s="131">
        <f t="shared" si="104"/>
        <v>0</v>
      </c>
      <c r="K156" s="131">
        <f t="shared" si="104"/>
        <v>0</v>
      </c>
      <c r="L156" s="131">
        <f t="shared" si="104"/>
        <v>0</v>
      </c>
      <c r="M156" s="131">
        <f t="shared" si="104"/>
        <v>0</v>
      </c>
      <c r="N156" s="133">
        <f t="shared" ref="N156:S156" si="105">N157</f>
        <v>0</v>
      </c>
      <c r="O156" s="133">
        <f t="shared" si="105"/>
        <v>0</v>
      </c>
      <c r="P156" s="133">
        <f t="shared" si="105"/>
        <v>0</v>
      </c>
      <c r="Q156" s="133">
        <f t="shared" si="105"/>
        <v>27550</v>
      </c>
      <c r="R156" s="133">
        <f t="shared" si="105"/>
        <v>56039</v>
      </c>
      <c r="S156" s="133">
        <f t="shared" si="105"/>
        <v>207706</v>
      </c>
      <c r="T156" s="133">
        <v>0</v>
      </c>
      <c r="U156" s="133">
        <v>0</v>
      </c>
      <c r="V156" s="133">
        <v>0</v>
      </c>
      <c r="W156" s="133">
        <v>0</v>
      </c>
      <c r="X156" s="99">
        <f t="shared" si="104"/>
        <v>291295</v>
      </c>
      <c r="Y156" s="3747"/>
    </row>
    <row r="157" spans="1:25" s="301" customFormat="1" ht="15" customHeight="1">
      <c r="A157" s="3936"/>
      <c r="B157" s="379" t="s">
        <v>32</v>
      </c>
      <c r="C157" s="3612"/>
      <c r="D157" s="325">
        <f>M157+P157+Q157+R157+S157+T157+U157+V157+W157</f>
        <v>291295</v>
      </c>
      <c r="E157" s="57"/>
      <c r="F157" s="64">
        <v>0</v>
      </c>
      <c r="G157" s="64"/>
      <c r="H157" s="57"/>
      <c r="I157" s="57"/>
      <c r="J157" s="57"/>
      <c r="K157" s="57"/>
      <c r="L157" s="57"/>
      <c r="M157" s="2200">
        <f>+E157+I157+J157+K157+L157+N157+O157</f>
        <v>0</v>
      </c>
      <c r="N157" s="64">
        <v>0</v>
      </c>
      <c r="O157" s="64">
        <v>0</v>
      </c>
      <c r="P157" s="64"/>
      <c r="Q157" s="64">
        <f>27549+1</f>
        <v>27550</v>
      </c>
      <c r="R157" s="64">
        <v>56039</v>
      </c>
      <c r="S157" s="64">
        <f>207707-1</f>
        <v>207706</v>
      </c>
      <c r="T157" s="64">
        <v>0</v>
      </c>
      <c r="U157" s="64">
        <v>0</v>
      </c>
      <c r="V157" s="64">
        <v>0</v>
      </c>
      <c r="W157" s="64">
        <v>0</v>
      </c>
      <c r="X157" s="1899">
        <f>SUM(Q157:W157)</f>
        <v>291295</v>
      </c>
      <c r="Y157" s="3747"/>
    </row>
    <row r="158" spans="1:25" s="301" customFormat="1" ht="15" hidden="1" customHeight="1">
      <c r="A158" s="3936"/>
      <c r="B158" s="3431" t="s">
        <v>564</v>
      </c>
      <c r="C158" s="3612"/>
      <c r="D158" s="2234"/>
      <c r="E158" s="2314"/>
      <c r="F158" s="2314"/>
      <c r="G158" s="2314"/>
      <c r="H158" s="2314"/>
      <c r="I158" s="2314"/>
      <c r="J158" s="2314"/>
      <c r="K158" s="2314"/>
      <c r="L158" s="2314"/>
      <c r="M158" s="2254"/>
      <c r="N158" s="2314"/>
      <c r="O158" s="2314"/>
      <c r="P158" s="2314"/>
      <c r="Q158" s="3434">
        <v>18973</v>
      </c>
      <c r="R158" s="3434">
        <v>45747</v>
      </c>
      <c r="S158" s="3434">
        <v>197415</v>
      </c>
      <c r="T158" s="2314"/>
      <c r="U158" s="2314"/>
      <c r="V158" s="2314"/>
      <c r="W158" s="2314"/>
      <c r="X158" s="3435"/>
      <c r="Y158" s="3747"/>
    </row>
    <row r="159" spans="1:25" s="301" customFormat="1" ht="15" hidden="1" customHeight="1">
      <c r="A159" s="3936"/>
      <c r="B159" s="3431" t="s">
        <v>565</v>
      </c>
      <c r="C159" s="3670"/>
      <c r="D159" s="2234"/>
      <c r="E159" s="2314"/>
      <c r="F159" s="2314"/>
      <c r="G159" s="2314"/>
      <c r="H159" s="2314"/>
      <c r="I159" s="2314"/>
      <c r="J159" s="2314"/>
      <c r="K159" s="2314"/>
      <c r="L159" s="2314"/>
      <c r="M159" s="2254"/>
      <c r="N159" s="2314"/>
      <c r="O159" s="2314"/>
      <c r="P159" s="2314"/>
      <c r="Q159" s="3434">
        <v>8576</v>
      </c>
      <c r="R159" s="3434">
        <v>10292</v>
      </c>
      <c r="S159" s="3434">
        <v>10292</v>
      </c>
      <c r="T159" s="2314"/>
      <c r="U159" s="2314"/>
      <c r="V159" s="2314"/>
      <c r="W159" s="2314"/>
      <c r="X159" s="3435"/>
      <c r="Y159" s="3747"/>
    </row>
    <row r="160" spans="1:25" s="301" customFormat="1" ht="15" customHeight="1">
      <c r="A160" s="3936"/>
      <c r="B160" s="25" t="s">
        <v>33</v>
      </c>
      <c r="C160" s="26"/>
      <c r="D160" s="258">
        <f>I160+J160+K160+L160+N160+O160+P160+Q160+R160+S160+T160+U160+V160+W160</f>
        <v>291295</v>
      </c>
      <c r="E160" s="258">
        <f t="shared" ref="E160:N161" si="106">+E161</f>
        <v>0</v>
      </c>
      <c r="F160" s="258">
        <f t="shared" si="106"/>
        <v>0</v>
      </c>
      <c r="G160" s="258">
        <f t="shared" si="106"/>
        <v>0</v>
      </c>
      <c r="H160" s="258">
        <f t="shared" si="106"/>
        <v>0</v>
      </c>
      <c r="I160" s="258">
        <f t="shared" si="106"/>
        <v>0</v>
      </c>
      <c r="J160" s="258">
        <f t="shared" si="106"/>
        <v>0</v>
      </c>
      <c r="K160" s="258">
        <f t="shared" si="106"/>
        <v>0</v>
      </c>
      <c r="L160" s="258">
        <f t="shared" si="106"/>
        <v>0</v>
      </c>
      <c r="M160" s="258">
        <f t="shared" si="106"/>
        <v>0</v>
      </c>
      <c r="N160" s="258">
        <f t="shared" si="106"/>
        <v>0</v>
      </c>
      <c r="O160" s="258">
        <f t="shared" ref="O160:W161" si="107">O161</f>
        <v>0</v>
      </c>
      <c r="P160" s="258">
        <f t="shared" si="107"/>
        <v>0</v>
      </c>
      <c r="Q160" s="258">
        <f t="shared" si="107"/>
        <v>2133</v>
      </c>
      <c r="R160" s="258">
        <f t="shared" si="107"/>
        <v>39145</v>
      </c>
      <c r="S160" s="258">
        <f t="shared" si="107"/>
        <v>148930</v>
      </c>
      <c r="T160" s="258">
        <f t="shared" si="107"/>
        <v>101087</v>
      </c>
      <c r="U160" s="258">
        <f t="shared" si="107"/>
        <v>0</v>
      </c>
      <c r="V160" s="258">
        <f t="shared" si="107"/>
        <v>0</v>
      </c>
      <c r="W160" s="258">
        <f t="shared" si="107"/>
        <v>0</v>
      </c>
      <c r="X160" s="3667" t="s">
        <v>75</v>
      </c>
      <c r="Y160" s="3747"/>
    </row>
    <row r="161" spans="1:26" s="301" customFormat="1" ht="15" customHeight="1">
      <c r="A161" s="3936"/>
      <c r="B161" s="217" t="s">
        <v>29</v>
      </c>
      <c r="C161" s="3728" t="s">
        <v>215</v>
      </c>
      <c r="D161" s="61">
        <f>I161+J161+K161+L161+N161+O161+P161+Q161+R161+S161+T161+U161+V161+W161</f>
        <v>291295</v>
      </c>
      <c r="E161" s="62">
        <f t="shared" si="106"/>
        <v>0</v>
      </c>
      <c r="F161" s="62">
        <f t="shared" si="106"/>
        <v>0</v>
      </c>
      <c r="G161" s="62">
        <f t="shared" si="106"/>
        <v>0</v>
      </c>
      <c r="H161" s="62">
        <f t="shared" si="106"/>
        <v>0</v>
      </c>
      <c r="I161" s="62">
        <f t="shared" si="106"/>
        <v>0</v>
      </c>
      <c r="J161" s="62">
        <f t="shared" si="106"/>
        <v>0</v>
      </c>
      <c r="K161" s="62">
        <f t="shared" si="106"/>
        <v>0</v>
      </c>
      <c r="L161" s="62">
        <f t="shared" si="106"/>
        <v>0</v>
      </c>
      <c r="M161" s="62">
        <f t="shared" si="106"/>
        <v>0</v>
      </c>
      <c r="N161" s="62">
        <f t="shared" si="106"/>
        <v>0</v>
      </c>
      <c r="O161" s="62">
        <f t="shared" si="107"/>
        <v>0</v>
      </c>
      <c r="P161" s="62">
        <f t="shared" si="107"/>
        <v>0</v>
      </c>
      <c r="Q161" s="62">
        <f t="shared" si="107"/>
        <v>2133</v>
      </c>
      <c r="R161" s="62">
        <f t="shared" si="107"/>
        <v>39145</v>
      </c>
      <c r="S161" s="62">
        <f t="shared" si="107"/>
        <v>148930</v>
      </c>
      <c r="T161" s="62">
        <f t="shared" si="107"/>
        <v>101087</v>
      </c>
      <c r="U161" s="62">
        <f t="shared" si="107"/>
        <v>0</v>
      </c>
      <c r="V161" s="62">
        <f t="shared" si="107"/>
        <v>0</v>
      </c>
      <c r="W161" s="62">
        <f t="shared" si="107"/>
        <v>0</v>
      </c>
      <c r="X161" s="3635"/>
      <c r="Y161" s="3747"/>
    </row>
    <row r="162" spans="1:26" s="301" customFormat="1" ht="15" customHeight="1" thickBot="1">
      <c r="A162" s="3937"/>
      <c r="B162" s="3229" t="s">
        <v>32</v>
      </c>
      <c r="C162" s="3626"/>
      <c r="D162" s="325">
        <f>M162+P162+Q162+R162+S162+T162+U162+V162+W162</f>
        <v>291295</v>
      </c>
      <c r="E162" s="89"/>
      <c r="F162" s="90"/>
      <c r="G162" s="89"/>
      <c r="H162" s="89"/>
      <c r="I162" s="89">
        <v>0</v>
      </c>
      <c r="J162" s="89">
        <v>0</v>
      </c>
      <c r="K162" s="89">
        <v>0</v>
      </c>
      <c r="L162" s="89">
        <v>0</v>
      </c>
      <c r="M162" s="2200">
        <f>+E162+I162+J162+K162+L162+N162+O162</f>
        <v>0</v>
      </c>
      <c r="N162" s="90">
        <v>0</v>
      </c>
      <c r="O162" s="89">
        <v>0</v>
      </c>
      <c r="P162" s="89"/>
      <c r="Q162" s="89">
        <v>2133</v>
      </c>
      <c r="R162" s="89">
        <v>39145</v>
      </c>
      <c r="S162" s="89">
        <v>148930</v>
      </c>
      <c r="T162" s="89">
        <v>101087</v>
      </c>
      <c r="U162" s="89">
        <v>0</v>
      </c>
      <c r="V162" s="89">
        <v>0</v>
      </c>
      <c r="W162" s="89">
        <v>0</v>
      </c>
      <c r="X162" s="3636"/>
      <c r="Y162" s="3748"/>
    </row>
    <row r="163" spans="1:26" s="301" customFormat="1" ht="54" customHeight="1">
      <c r="A163" s="3940" t="s">
        <v>103</v>
      </c>
      <c r="B163" s="233" t="s">
        <v>573</v>
      </c>
      <c r="C163" s="3210" t="s">
        <v>95</v>
      </c>
      <c r="D163" s="1902"/>
      <c r="E163" s="1903"/>
      <c r="F163" s="1903"/>
      <c r="G163" s="1903"/>
      <c r="H163" s="1903"/>
      <c r="I163" s="1903"/>
      <c r="J163" s="1903"/>
      <c r="K163" s="1903"/>
      <c r="L163" s="1904"/>
      <c r="M163" s="1904"/>
      <c r="N163" s="1904"/>
      <c r="O163" s="1904"/>
      <c r="P163" s="1905"/>
      <c r="Q163" s="1905"/>
      <c r="R163" s="1905"/>
      <c r="S163" s="1905"/>
      <c r="T163" s="1904"/>
      <c r="U163" s="1904"/>
      <c r="V163" s="1904"/>
      <c r="W163" s="1904"/>
      <c r="X163" s="1906"/>
      <c r="Y163" s="3746" t="s">
        <v>283</v>
      </c>
    </row>
    <row r="164" spans="1:26" s="301" customFormat="1" ht="15" customHeight="1">
      <c r="A164" s="3936"/>
      <c r="B164" s="38" t="s">
        <v>21</v>
      </c>
      <c r="C164" s="26"/>
      <c r="D164" s="258">
        <f>D165+D167</f>
        <v>329300</v>
      </c>
      <c r="E164" s="258">
        <f t="shared" ref="E164:M164" si="108">E165+E167</f>
        <v>0</v>
      </c>
      <c r="F164" s="258">
        <f t="shared" si="108"/>
        <v>0</v>
      </c>
      <c r="G164" s="258">
        <f t="shared" si="108"/>
        <v>0</v>
      </c>
      <c r="H164" s="258">
        <f t="shared" si="108"/>
        <v>0</v>
      </c>
      <c r="I164" s="258">
        <f t="shared" si="108"/>
        <v>0</v>
      </c>
      <c r="J164" s="258">
        <f t="shared" si="108"/>
        <v>0</v>
      </c>
      <c r="K164" s="258">
        <f t="shared" si="108"/>
        <v>0</v>
      </c>
      <c r="L164" s="258">
        <f t="shared" si="108"/>
        <v>0</v>
      </c>
      <c r="M164" s="258">
        <f t="shared" si="108"/>
        <v>0</v>
      </c>
      <c r="N164" s="258">
        <f t="shared" ref="N164:O164" si="109">+N167</f>
        <v>0</v>
      </c>
      <c r="O164" s="258">
        <f t="shared" si="109"/>
        <v>0</v>
      </c>
      <c r="P164" s="258">
        <f>P165+P167</f>
        <v>0</v>
      </c>
      <c r="Q164" s="258">
        <f>Q165+Q167</f>
        <v>55400</v>
      </c>
      <c r="R164" s="258">
        <f>R165+R167</f>
        <v>246900</v>
      </c>
      <c r="S164" s="258">
        <f>S165+S167</f>
        <v>27000</v>
      </c>
      <c r="T164" s="258">
        <f>+T167</f>
        <v>0</v>
      </c>
      <c r="U164" s="258">
        <f>+U167</f>
        <v>0</v>
      </c>
      <c r="V164" s="258">
        <f>+V167</f>
        <v>0</v>
      </c>
      <c r="W164" s="258">
        <f>+W167</f>
        <v>0</v>
      </c>
      <c r="X164" s="80">
        <f>X165+X167</f>
        <v>329300</v>
      </c>
      <c r="Y164" s="3747"/>
    </row>
    <row r="165" spans="1:26" s="301" customFormat="1" ht="15" customHeight="1">
      <c r="A165" s="3936"/>
      <c r="B165" s="1918" t="s">
        <v>35</v>
      </c>
      <c r="C165" s="3611" t="s">
        <v>215</v>
      </c>
      <c r="D165" s="441">
        <f>D166</f>
        <v>49395</v>
      </c>
      <c r="E165" s="442"/>
      <c r="F165" s="442"/>
      <c r="G165" s="442"/>
      <c r="H165" s="442"/>
      <c r="I165" s="445"/>
      <c r="J165" s="445"/>
      <c r="K165" s="445">
        <f t="shared" ref="K165:W165" si="110">K166</f>
        <v>0</v>
      </c>
      <c r="L165" s="445">
        <f t="shared" si="110"/>
        <v>0</v>
      </c>
      <c r="M165" s="445">
        <f t="shared" si="110"/>
        <v>0</v>
      </c>
      <c r="N165" s="446">
        <f t="shared" si="110"/>
        <v>0</v>
      </c>
      <c r="O165" s="446">
        <f t="shared" si="110"/>
        <v>0</v>
      </c>
      <c r="P165" s="446">
        <f t="shared" si="110"/>
        <v>0</v>
      </c>
      <c r="Q165" s="446">
        <f t="shared" si="110"/>
        <v>8310</v>
      </c>
      <c r="R165" s="446">
        <f t="shared" si="110"/>
        <v>37035</v>
      </c>
      <c r="S165" s="446">
        <f t="shared" si="110"/>
        <v>4050</v>
      </c>
      <c r="T165" s="446">
        <f t="shared" si="110"/>
        <v>0</v>
      </c>
      <c r="U165" s="446">
        <f t="shared" si="110"/>
        <v>0</v>
      </c>
      <c r="V165" s="446">
        <f t="shared" si="110"/>
        <v>0</v>
      </c>
      <c r="W165" s="446">
        <f t="shared" si="110"/>
        <v>0</v>
      </c>
      <c r="X165" s="429">
        <f>X166</f>
        <v>49395</v>
      </c>
      <c r="Y165" s="3747"/>
    </row>
    <row r="166" spans="1:26" s="301" customFormat="1" ht="15" customHeight="1">
      <c r="A166" s="3936"/>
      <c r="B166" s="1919" t="s">
        <v>23</v>
      </c>
      <c r="C166" s="3612"/>
      <c r="D166" s="325">
        <f>M166+P166+Q166+R166+S166+T166+U166+V166+W166</f>
        <v>49395</v>
      </c>
      <c r="E166" s="433"/>
      <c r="F166" s="440"/>
      <c r="G166" s="440"/>
      <c r="H166" s="433"/>
      <c r="I166" s="433"/>
      <c r="J166" s="433"/>
      <c r="K166" s="433"/>
      <c r="L166" s="433"/>
      <c r="M166" s="2200">
        <f>+E166+I166+J166+K166+L166+N166+O166</f>
        <v>0</v>
      </c>
      <c r="N166" s="440"/>
      <c r="O166" s="440">
        <v>0</v>
      </c>
      <c r="P166" s="440"/>
      <c r="Q166" s="440">
        <v>8310</v>
      </c>
      <c r="R166" s="440">
        <v>37035</v>
      </c>
      <c r="S166" s="440">
        <v>4050</v>
      </c>
      <c r="T166" s="440">
        <v>0</v>
      </c>
      <c r="U166" s="440">
        <v>0</v>
      </c>
      <c r="V166" s="440">
        <v>0</v>
      </c>
      <c r="W166" s="440">
        <v>0</v>
      </c>
      <c r="X166" s="1899">
        <f>SUM(Q166:W166)</f>
        <v>49395</v>
      </c>
      <c r="Y166" s="3747"/>
    </row>
    <row r="167" spans="1:26" s="301" customFormat="1" ht="15" customHeight="1">
      <c r="A167" s="3936"/>
      <c r="B167" s="1269" t="s">
        <v>29</v>
      </c>
      <c r="C167" s="3612"/>
      <c r="D167" s="61">
        <f>D168</f>
        <v>279905</v>
      </c>
      <c r="E167" s="62">
        <f t="shared" ref="E167:X167" si="111">+E168</f>
        <v>0</v>
      </c>
      <c r="F167" s="62">
        <f t="shared" si="111"/>
        <v>0</v>
      </c>
      <c r="G167" s="62">
        <f t="shared" si="111"/>
        <v>0</v>
      </c>
      <c r="H167" s="62">
        <f t="shared" si="111"/>
        <v>0</v>
      </c>
      <c r="I167" s="131">
        <f t="shared" si="111"/>
        <v>0</v>
      </c>
      <c r="J167" s="131">
        <f t="shared" si="111"/>
        <v>0</v>
      </c>
      <c r="K167" s="131">
        <f t="shared" si="111"/>
        <v>0</v>
      </c>
      <c r="L167" s="131">
        <f t="shared" si="111"/>
        <v>0</v>
      </c>
      <c r="M167" s="131">
        <f t="shared" si="111"/>
        <v>0</v>
      </c>
      <c r="N167" s="133">
        <f t="shared" ref="N167:S167" si="112">N168</f>
        <v>0</v>
      </c>
      <c r="O167" s="133">
        <f t="shared" si="112"/>
        <v>0</v>
      </c>
      <c r="P167" s="133">
        <f t="shared" si="112"/>
        <v>0</v>
      </c>
      <c r="Q167" s="133">
        <f t="shared" si="112"/>
        <v>47090</v>
      </c>
      <c r="R167" s="133">
        <f t="shared" si="112"/>
        <v>209865</v>
      </c>
      <c r="S167" s="133">
        <f t="shared" si="112"/>
        <v>22950</v>
      </c>
      <c r="T167" s="133">
        <f t="shared" ref="T167:W167" si="113">T168</f>
        <v>0</v>
      </c>
      <c r="U167" s="133">
        <f t="shared" si="113"/>
        <v>0</v>
      </c>
      <c r="V167" s="133">
        <f t="shared" si="113"/>
        <v>0</v>
      </c>
      <c r="W167" s="133">
        <f t="shared" si="113"/>
        <v>0</v>
      </c>
      <c r="X167" s="99">
        <f t="shared" si="111"/>
        <v>279905</v>
      </c>
      <c r="Y167" s="3747"/>
    </row>
    <row r="168" spans="1:26" s="301" customFormat="1" ht="15" customHeight="1">
      <c r="A168" s="3936"/>
      <c r="B168" s="379" t="s">
        <v>32</v>
      </c>
      <c r="C168" s="3670"/>
      <c r="D168" s="325">
        <f>M168+P168+Q168+R168+S168+T168+U168+V168+W168</f>
        <v>279905</v>
      </c>
      <c r="E168" s="57"/>
      <c r="F168" s="64">
        <v>0</v>
      </c>
      <c r="G168" s="64"/>
      <c r="H168" s="57"/>
      <c r="I168" s="57"/>
      <c r="J168" s="57"/>
      <c r="K168" s="57"/>
      <c r="L168" s="57"/>
      <c r="M168" s="2200">
        <f>+E168+I168+J168+K168+L168+N168+O168</f>
        <v>0</v>
      </c>
      <c r="N168" s="64">
        <v>0</v>
      </c>
      <c r="O168" s="64">
        <v>0</v>
      </c>
      <c r="P168" s="64"/>
      <c r="Q168" s="64">
        <v>47090</v>
      </c>
      <c r="R168" s="64">
        <v>209865</v>
      </c>
      <c r="S168" s="64">
        <v>22950</v>
      </c>
      <c r="T168" s="64">
        <v>0</v>
      </c>
      <c r="U168" s="64">
        <v>0</v>
      </c>
      <c r="V168" s="64">
        <v>0</v>
      </c>
      <c r="W168" s="64">
        <v>0</v>
      </c>
      <c r="X168" s="1899">
        <f>SUM(Q168:W168)</f>
        <v>279905</v>
      </c>
      <c r="Y168" s="3747"/>
    </row>
    <row r="169" spans="1:26" s="301" customFormat="1" ht="15" customHeight="1">
      <c r="A169" s="3936"/>
      <c r="B169" s="25" t="s">
        <v>33</v>
      </c>
      <c r="C169" s="26"/>
      <c r="D169" s="258">
        <f>I169+J169+K169+L169+N169+O169+P169+Q169+R169+S169+T169+U169+V169+W169</f>
        <v>279905</v>
      </c>
      <c r="E169" s="258">
        <f t="shared" ref="E169:N170" si="114">+E170</f>
        <v>0</v>
      </c>
      <c r="F169" s="258">
        <f t="shared" si="114"/>
        <v>0</v>
      </c>
      <c r="G169" s="258">
        <f t="shared" si="114"/>
        <v>0</v>
      </c>
      <c r="H169" s="258">
        <f t="shared" si="114"/>
        <v>0</v>
      </c>
      <c r="I169" s="258">
        <f t="shared" si="114"/>
        <v>0</v>
      </c>
      <c r="J169" s="258">
        <f t="shared" si="114"/>
        <v>0</v>
      </c>
      <c r="K169" s="258">
        <f t="shared" si="114"/>
        <v>0</v>
      </c>
      <c r="L169" s="258">
        <f t="shared" si="114"/>
        <v>0</v>
      </c>
      <c r="M169" s="258">
        <f t="shared" si="114"/>
        <v>0</v>
      </c>
      <c r="N169" s="258">
        <f t="shared" si="114"/>
        <v>0</v>
      </c>
      <c r="O169" s="258">
        <f t="shared" ref="O169:W170" si="115">O170</f>
        <v>0</v>
      </c>
      <c r="P169" s="258">
        <f t="shared" si="115"/>
        <v>0</v>
      </c>
      <c r="Q169" s="258">
        <f t="shared" si="115"/>
        <v>0</v>
      </c>
      <c r="R169" s="258">
        <f t="shared" si="115"/>
        <v>73100</v>
      </c>
      <c r="S169" s="258">
        <f t="shared" si="115"/>
        <v>183855</v>
      </c>
      <c r="T169" s="258">
        <f t="shared" si="115"/>
        <v>22950</v>
      </c>
      <c r="U169" s="258">
        <f t="shared" si="115"/>
        <v>0</v>
      </c>
      <c r="V169" s="258">
        <f t="shared" si="115"/>
        <v>0</v>
      </c>
      <c r="W169" s="258">
        <f t="shared" si="115"/>
        <v>0</v>
      </c>
      <c r="X169" s="3667" t="s">
        <v>75</v>
      </c>
      <c r="Y169" s="3747"/>
    </row>
    <row r="170" spans="1:26" s="301" customFormat="1" ht="15" customHeight="1">
      <c r="A170" s="3936"/>
      <c r="B170" s="217" t="s">
        <v>29</v>
      </c>
      <c r="C170" s="3724" t="s">
        <v>215</v>
      </c>
      <c r="D170" s="1284">
        <f>I170+J170+K170+L170+N170+O170+P170+Q170+R170+S170+T170+U170+V170+W170</f>
        <v>279905</v>
      </c>
      <c r="E170" s="2268">
        <f t="shared" si="114"/>
        <v>0</v>
      </c>
      <c r="F170" s="2268">
        <f t="shared" si="114"/>
        <v>0</v>
      </c>
      <c r="G170" s="2268">
        <f t="shared" si="114"/>
        <v>0</v>
      </c>
      <c r="H170" s="2268">
        <f t="shared" si="114"/>
        <v>0</v>
      </c>
      <c r="I170" s="2268">
        <f t="shared" si="114"/>
        <v>0</v>
      </c>
      <c r="J170" s="2268">
        <f t="shared" si="114"/>
        <v>0</v>
      </c>
      <c r="K170" s="2268">
        <f t="shared" si="114"/>
        <v>0</v>
      </c>
      <c r="L170" s="2268">
        <f t="shared" si="114"/>
        <v>0</v>
      </c>
      <c r="M170" s="2268">
        <f t="shared" si="114"/>
        <v>0</v>
      </c>
      <c r="N170" s="62">
        <f t="shared" si="114"/>
        <v>0</v>
      </c>
      <c r="O170" s="62">
        <f t="shared" si="115"/>
        <v>0</v>
      </c>
      <c r="P170" s="62">
        <f t="shared" si="115"/>
        <v>0</v>
      </c>
      <c r="Q170" s="62">
        <f t="shared" si="115"/>
        <v>0</v>
      </c>
      <c r="R170" s="62">
        <f t="shared" si="115"/>
        <v>73100</v>
      </c>
      <c r="S170" s="62">
        <f t="shared" si="115"/>
        <v>183855</v>
      </c>
      <c r="T170" s="62">
        <f t="shared" si="115"/>
        <v>22950</v>
      </c>
      <c r="U170" s="62">
        <f t="shared" si="115"/>
        <v>0</v>
      </c>
      <c r="V170" s="62">
        <f t="shared" si="115"/>
        <v>0</v>
      </c>
      <c r="W170" s="62">
        <f t="shared" si="115"/>
        <v>0</v>
      </c>
      <c r="X170" s="3635"/>
      <c r="Y170" s="3747"/>
    </row>
    <row r="171" spans="1:26" s="301" customFormat="1" ht="15" customHeight="1" thickBot="1">
      <c r="A171" s="3937"/>
      <c r="B171" s="3229" t="s">
        <v>32</v>
      </c>
      <c r="C171" s="3626"/>
      <c r="D171" s="2215">
        <f>M171+P171+Q171+R171+S171+T171+U171+V171+W171</f>
        <v>279905</v>
      </c>
      <c r="E171" s="963"/>
      <c r="F171" s="1088"/>
      <c r="G171" s="963"/>
      <c r="H171" s="963"/>
      <c r="I171" s="963">
        <v>0</v>
      </c>
      <c r="J171" s="963">
        <v>0</v>
      </c>
      <c r="K171" s="963">
        <v>0</v>
      </c>
      <c r="L171" s="963">
        <v>0</v>
      </c>
      <c r="M171" s="2219">
        <f>+E171+I171+J171+K171+L171+N171+O171</f>
        <v>0</v>
      </c>
      <c r="N171" s="90">
        <v>0</v>
      </c>
      <c r="O171" s="89">
        <v>0</v>
      </c>
      <c r="P171" s="89"/>
      <c r="Q171" s="89"/>
      <c r="R171" s="89">
        <v>73100</v>
      </c>
      <c r="S171" s="89">
        <v>183855</v>
      </c>
      <c r="T171" s="89">
        <v>22950</v>
      </c>
      <c r="U171" s="89">
        <v>0</v>
      </c>
      <c r="V171" s="89">
        <v>0</v>
      </c>
      <c r="W171" s="89">
        <v>0</v>
      </c>
      <c r="X171" s="3636"/>
      <c r="Y171" s="3748"/>
    </row>
    <row r="172" spans="1:26" s="301" customFormat="1" ht="42" customHeight="1">
      <c r="A172" s="3940" t="s">
        <v>104</v>
      </c>
      <c r="B172" s="233" t="s">
        <v>572</v>
      </c>
      <c r="C172" s="3210" t="s">
        <v>217</v>
      </c>
      <c r="D172" s="1902"/>
      <c r="E172" s="1903"/>
      <c r="F172" s="1903"/>
      <c r="G172" s="1903"/>
      <c r="H172" s="1903"/>
      <c r="I172" s="1903"/>
      <c r="J172" s="1903"/>
      <c r="K172" s="1903"/>
      <c r="L172" s="1904"/>
      <c r="M172" s="1904"/>
      <c r="N172" s="1904"/>
      <c r="O172" s="1904"/>
      <c r="P172" s="1905"/>
      <c r="Q172" s="1905"/>
      <c r="R172" s="1905"/>
      <c r="S172" s="1905"/>
      <c r="T172" s="1904"/>
      <c r="U172" s="1904"/>
      <c r="V172" s="1904"/>
      <c r="W172" s="1904"/>
      <c r="X172" s="1906"/>
      <c r="Y172" s="3746" t="s">
        <v>551</v>
      </c>
      <c r="Z172" s="301" t="s">
        <v>552</v>
      </c>
    </row>
    <row r="173" spans="1:26" s="301" customFormat="1" ht="15" customHeight="1">
      <c r="A173" s="3936"/>
      <c r="B173" s="38" t="s">
        <v>21</v>
      </c>
      <c r="C173" s="26"/>
      <c r="D173" s="258">
        <f>D174+D178</f>
        <v>693012</v>
      </c>
      <c r="E173" s="258">
        <f t="shared" ref="E173:M173" si="116">E174+E178</f>
        <v>0</v>
      </c>
      <c r="F173" s="258">
        <f t="shared" si="116"/>
        <v>0</v>
      </c>
      <c r="G173" s="258">
        <f t="shared" si="116"/>
        <v>0</v>
      </c>
      <c r="H173" s="258">
        <f t="shared" si="116"/>
        <v>0</v>
      </c>
      <c r="I173" s="258">
        <f t="shared" si="116"/>
        <v>0</v>
      </c>
      <c r="J173" s="258">
        <f t="shared" si="116"/>
        <v>0</v>
      </c>
      <c r="K173" s="258">
        <f t="shared" si="116"/>
        <v>0</v>
      </c>
      <c r="L173" s="258">
        <f t="shared" si="116"/>
        <v>0</v>
      </c>
      <c r="M173" s="258">
        <f t="shared" si="116"/>
        <v>0</v>
      </c>
      <c r="N173" s="258">
        <f t="shared" ref="N173:O173" si="117">+N178</f>
        <v>0</v>
      </c>
      <c r="O173" s="258">
        <f t="shared" si="117"/>
        <v>0</v>
      </c>
      <c r="P173" s="258">
        <f>P174+P178</f>
        <v>0</v>
      </c>
      <c r="Q173" s="258">
        <f>Q174+Q178</f>
        <v>172756</v>
      </c>
      <c r="R173" s="258">
        <f>R174+R178</f>
        <v>244256</v>
      </c>
      <c r="S173" s="258">
        <f>S174+S178</f>
        <v>276000</v>
      </c>
      <c r="T173" s="258">
        <f>+T178</f>
        <v>0</v>
      </c>
      <c r="U173" s="258">
        <f>+U178</f>
        <v>0</v>
      </c>
      <c r="V173" s="258">
        <f>+V178</f>
        <v>0</v>
      </c>
      <c r="W173" s="258">
        <f>+W178</f>
        <v>0</v>
      </c>
      <c r="X173" s="80">
        <f>X174+X178</f>
        <v>693012</v>
      </c>
      <c r="Y173" s="3747"/>
    </row>
    <row r="174" spans="1:26" s="301" customFormat="1" ht="15" customHeight="1">
      <c r="A174" s="3936"/>
      <c r="B174" s="1918" t="s">
        <v>35</v>
      </c>
      <c r="C174" s="3611" t="s">
        <v>542</v>
      </c>
      <c r="D174" s="441">
        <f>D175</f>
        <v>119262</v>
      </c>
      <c r="E174" s="442"/>
      <c r="F174" s="442"/>
      <c r="G174" s="442"/>
      <c r="H174" s="442"/>
      <c r="I174" s="445"/>
      <c r="J174" s="445"/>
      <c r="K174" s="445">
        <f t="shared" ref="K174:S174" si="118">K175</f>
        <v>0</v>
      </c>
      <c r="L174" s="445">
        <f t="shared" si="118"/>
        <v>0</v>
      </c>
      <c r="M174" s="445">
        <f t="shared" si="118"/>
        <v>0</v>
      </c>
      <c r="N174" s="446">
        <f t="shared" si="118"/>
        <v>0</v>
      </c>
      <c r="O174" s="446">
        <f t="shared" si="118"/>
        <v>0</v>
      </c>
      <c r="P174" s="446">
        <f t="shared" si="118"/>
        <v>0</v>
      </c>
      <c r="Q174" s="446">
        <f t="shared" si="118"/>
        <v>33569</v>
      </c>
      <c r="R174" s="446">
        <f t="shared" si="118"/>
        <v>44293</v>
      </c>
      <c r="S174" s="446">
        <f t="shared" si="118"/>
        <v>41400</v>
      </c>
      <c r="T174" s="446">
        <v>0</v>
      </c>
      <c r="U174" s="446">
        <v>0</v>
      </c>
      <c r="V174" s="446">
        <v>0</v>
      </c>
      <c r="W174" s="446">
        <v>0</v>
      </c>
      <c r="X174" s="429">
        <f>X175</f>
        <v>119262</v>
      </c>
      <c r="Y174" s="3747"/>
    </row>
    <row r="175" spans="1:26" s="301" customFormat="1" ht="15" customHeight="1">
      <c r="A175" s="3936"/>
      <c r="B175" s="1919" t="s">
        <v>23</v>
      </c>
      <c r="C175" s="3612"/>
      <c r="D175" s="325">
        <f>M175+P175+Q175+R175+S175+T175+U175+V175+W175</f>
        <v>119262</v>
      </c>
      <c r="E175" s="433"/>
      <c r="F175" s="440"/>
      <c r="G175" s="440"/>
      <c r="H175" s="433"/>
      <c r="I175" s="433"/>
      <c r="J175" s="433"/>
      <c r="K175" s="433"/>
      <c r="L175" s="433"/>
      <c r="M175" s="2200">
        <f>+E175+I175+J175+K175+L175+N175+O175</f>
        <v>0</v>
      </c>
      <c r="N175" s="440"/>
      <c r="O175" s="440">
        <v>0</v>
      </c>
      <c r="P175" s="440"/>
      <c r="Q175" s="440">
        <v>33569</v>
      </c>
      <c r="R175" s="440">
        <v>44293</v>
      </c>
      <c r="S175" s="440">
        <v>41400</v>
      </c>
      <c r="T175" s="440">
        <v>0</v>
      </c>
      <c r="U175" s="440">
        <v>0</v>
      </c>
      <c r="V175" s="440">
        <v>0</v>
      </c>
      <c r="W175" s="440">
        <v>0</v>
      </c>
      <c r="X175" s="1899">
        <f>SUM(Q175:W175)</f>
        <v>119262</v>
      </c>
      <c r="Y175" s="3747"/>
    </row>
    <row r="176" spans="1:26" s="301" customFormat="1" ht="15" hidden="1" customHeight="1">
      <c r="A176" s="3936"/>
      <c r="B176" s="3431" t="s">
        <v>563</v>
      </c>
      <c r="C176" s="3612"/>
      <c r="D176" s="2234"/>
      <c r="E176" s="2300"/>
      <c r="F176" s="2314"/>
      <c r="G176" s="2314"/>
      <c r="H176" s="2300"/>
      <c r="I176" s="2300"/>
      <c r="J176" s="2300"/>
      <c r="K176" s="2300"/>
      <c r="L176" s="2300"/>
      <c r="M176" s="2264"/>
      <c r="N176" s="2314"/>
      <c r="O176" s="2314"/>
      <c r="P176" s="2314"/>
      <c r="Q176" s="3432">
        <f>31772+2</f>
        <v>31774</v>
      </c>
      <c r="R176" s="3432">
        <f>42499-1</f>
        <v>42498</v>
      </c>
      <c r="S176" s="3432">
        <f>39606-1</f>
        <v>39605</v>
      </c>
      <c r="T176" s="2314"/>
      <c r="U176" s="2314"/>
      <c r="V176" s="2314"/>
      <c r="W176" s="2314"/>
      <c r="X176" s="3433"/>
      <c r="Y176" s="3747"/>
    </row>
    <row r="177" spans="1:26" s="301" customFormat="1" ht="15" hidden="1" customHeight="1">
      <c r="A177" s="3936"/>
      <c r="B177" s="3431" t="s">
        <v>562</v>
      </c>
      <c r="C177" s="3612"/>
      <c r="D177" s="2234"/>
      <c r="E177" s="2300"/>
      <c r="F177" s="2314"/>
      <c r="G177" s="2314"/>
      <c r="H177" s="2300"/>
      <c r="I177" s="2300"/>
      <c r="J177" s="2300"/>
      <c r="K177" s="2300"/>
      <c r="L177" s="2300"/>
      <c r="M177" s="2264"/>
      <c r="N177" s="2314"/>
      <c r="O177" s="2314"/>
      <c r="P177" s="2314"/>
      <c r="Q177" s="3432">
        <v>1795</v>
      </c>
      <c r="R177" s="3432">
        <v>1795</v>
      </c>
      <c r="S177" s="3432">
        <v>1795</v>
      </c>
      <c r="T177" s="2314"/>
      <c r="U177" s="2314"/>
      <c r="V177" s="2314"/>
      <c r="W177" s="2314"/>
      <c r="X177" s="3433"/>
      <c r="Y177" s="3747"/>
    </row>
    <row r="178" spans="1:26" s="301" customFormat="1" ht="15" customHeight="1">
      <c r="A178" s="3936"/>
      <c r="B178" s="1269" t="s">
        <v>29</v>
      </c>
      <c r="C178" s="3612"/>
      <c r="D178" s="61">
        <f>D179</f>
        <v>573750</v>
      </c>
      <c r="E178" s="62">
        <f t="shared" ref="E178:X178" si="119">+E179</f>
        <v>0</v>
      </c>
      <c r="F178" s="62">
        <f t="shared" si="119"/>
        <v>0</v>
      </c>
      <c r="G178" s="62">
        <f t="shared" si="119"/>
        <v>0</v>
      </c>
      <c r="H178" s="62">
        <f t="shared" si="119"/>
        <v>0</v>
      </c>
      <c r="I178" s="131">
        <f t="shared" si="119"/>
        <v>0</v>
      </c>
      <c r="J178" s="131">
        <f t="shared" si="119"/>
        <v>0</v>
      </c>
      <c r="K178" s="131">
        <f t="shared" si="119"/>
        <v>0</v>
      </c>
      <c r="L178" s="131">
        <f t="shared" si="119"/>
        <v>0</v>
      </c>
      <c r="M178" s="131">
        <f t="shared" si="119"/>
        <v>0</v>
      </c>
      <c r="N178" s="133">
        <f t="shared" ref="N178:S178" si="120">N179</f>
        <v>0</v>
      </c>
      <c r="O178" s="133">
        <f t="shared" si="120"/>
        <v>0</v>
      </c>
      <c r="P178" s="133">
        <f t="shared" si="120"/>
        <v>0</v>
      </c>
      <c r="Q178" s="133">
        <f t="shared" si="120"/>
        <v>139187</v>
      </c>
      <c r="R178" s="133">
        <f t="shared" si="120"/>
        <v>199963</v>
      </c>
      <c r="S178" s="133">
        <f t="shared" si="120"/>
        <v>234600</v>
      </c>
      <c r="T178" s="133">
        <v>0</v>
      </c>
      <c r="U178" s="133">
        <v>0</v>
      </c>
      <c r="V178" s="133">
        <v>0</v>
      </c>
      <c r="W178" s="133">
        <v>0</v>
      </c>
      <c r="X178" s="99">
        <f t="shared" si="119"/>
        <v>573750</v>
      </c>
      <c r="Y178" s="3747"/>
    </row>
    <row r="179" spans="1:26" s="301" customFormat="1" ht="15" customHeight="1">
      <c r="A179" s="3936"/>
      <c r="B179" s="379" t="s">
        <v>32</v>
      </c>
      <c r="C179" s="3670"/>
      <c r="D179" s="325">
        <f>M179+P179+Q179+R179+S179+T179+U179+V179+W179</f>
        <v>573750</v>
      </c>
      <c r="E179" s="57"/>
      <c r="F179" s="64">
        <v>0</v>
      </c>
      <c r="G179" s="64"/>
      <c r="H179" s="57"/>
      <c r="I179" s="57"/>
      <c r="J179" s="57"/>
      <c r="K179" s="57"/>
      <c r="L179" s="57"/>
      <c r="M179" s="2200">
        <f>+E179+I179+J179+K179+L179+N179+O179</f>
        <v>0</v>
      </c>
      <c r="N179" s="64">
        <v>0</v>
      </c>
      <c r="O179" s="64">
        <v>0</v>
      </c>
      <c r="P179" s="64"/>
      <c r="Q179" s="64">
        <v>139187</v>
      </c>
      <c r="R179" s="64">
        <v>199963</v>
      </c>
      <c r="S179" s="64">
        <v>234600</v>
      </c>
      <c r="T179" s="64">
        <v>0</v>
      </c>
      <c r="U179" s="64">
        <v>0</v>
      </c>
      <c r="V179" s="64">
        <v>0</v>
      </c>
      <c r="W179" s="64">
        <v>0</v>
      </c>
      <c r="X179" s="1899">
        <f>SUM(Q179:W179)</f>
        <v>573750</v>
      </c>
      <c r="Y179" s="3747"/>
    </row>
    <row r="180" spans="1:26" s="301" customFormat="1" ht="15" hidden="1" customHeight="1">
      <c r="A180" s="3936"/>
      <c r="B180" s="3431" t="s">
        <v>564</v>
      </c>
      <c r="C180" s="3196"/>
      <c r="D180" s="2234"/>
      <c r="E180" s="2314"/>
      <c r="F180" s="2314"/>
      <c r="G180" s="2314"/>
      <c r="H180" s="2314"/>
      <c r="I180" s="2314"/>
      <c r="J180" s="2314"/>
      <c r="K180" s="2314"/>
      <c r="L180" s="2314"/>
      <c r="M180" s="2254"/>
      <c r="N180" s="2314"/>
      <c r="O180" s="2314"/>
      <c r="P180" s="2314"/>
      <c r="Q180" s="3434">
        <v>10161</v>
      </c>
      <c r="R180" s="3434">
        <v>10164</v>
      </c>
      <c r="S180" s="3434">
        <v>10164</v>
      </c>
      <c r="T180" s="2314"/>
      <c r="U180" s="2314"/>
      <c r="V180" s="2314"/>
      <c r="W180" s="2314"/>
      <c r="X180" s="3435"/>
      <c r="Y180" s="3747"/>
    </row>
    <row r="181" spans="1:26" s="301" customFormat="1" ht="15" hidden="1" customHeight="1">
      <c r="A181" s="3936"/>
      <c r="B181" s="3431" t="s">
        <v>565</v>
      </c>
      <c r="C181" s="3196"/>
      <c r="D181" s="2234"/>
      <c r="E181" s="2314"/>
      <c r="F181" s="2314"/>
      <c r="G181" s="2314"/>
      <c r="H181" s="2314"/>
      <c r="I181" s="2314"/>
      <c r="J181" s="2314"/>
      <c r="K181" s="2314"/>
      <c r="L181" s="2314"/>
      <c r="M181" s="2254"/>
      <c r="N181" s="2314"/>
      <c r="O181" s="2314"/>
      <c r="P181" s="2314"/>
      <c r="Q181" s="3434">
        <v>129026</v>
      </c>
      <c r="R181" s="3434">
        <v>189799</v>
      </c>
      <c r="S181" s="3434">
        <v>224436</v>
      </c>
      <c r="T181" s="2314"/>
      <c r="U181" s="2314"/>
      <c r="V181" s="2314"/>
      <c r="W181" s="2314"/>
      <c r="X181" s="3435"/>
      <c r="Y181" s="3747"/>
    </row>
    <row r="182" spans="1:26" s="301" customFormat="1" ht="15" customHeight="1">
      <c r="A182" s="3936"/>
      <c r="B182" s="25" t="s">
        <v>33</v>
      </c>
      <c r="C182" s="26"/>
      <c r="D182" s="258">
        <f>I182+J182+K182+L182+N182+O182+P182+Q182+R182+S182+T182+U182+V182+W182</f>
        <v>573750</v>
      </c>
      <c r="E182" s="258">
        <f t="shared" ref="E182:N183" si="121">+E183</f>
        <v>0</v>
      </c>
      <c r="F182" s="258">
        <f t="shared" si="121"/>
        <v>0</v>
      </c>
      <c r="G182" s="258">
        <f t="shared" si="121"/>
        <v>0</v>
      </c>
      <c r="H182" s="258">
        <f t="shared" si="121"/>
        <v>0</v>
      </c>
      <c r="I182" s="258">
        <f t="shared" si="121"/>
        <v>0</v>
      </c>
      <c r="J182" s="258">
        <f t="shared" si="121"/>
        <v>0</v>
      </c>
      <c r="K182" s="258">
        <f t="shared" si="121"/>
        <v>0</v>
      </c>
      <c r="L182" s="258">
        <f t="shared" si="121"/>
        <v>0</v>
      </c>
      <c r="M182" s="258">
        <f t="shared" si="121"/>
        <v>0</v>
      </c>
      <c r="N182" s="258">
        <f t="shared" si="121"/>
        <v>0</v>
      </c>
      <c r="O182" s="258">
        <f t="shared" ref="O182:W183" si="122">O183</f>
        <v>0</v>
      </c>
      <c r="P182" s="258">
        <f t="shared" si="122"/>
        <v>0</v>
      </c>
      <c r="Q182" s="258">
        <f t="shared" si="122"/>
        <v>48432</v>
      </c>
      <c r="R182" s="258">
        <f t="shared" si="122"/>
        <v>130050</v>
      </c>
      <c r="S182" s="258">
        <f t="shared" si="122"/>
        <v>308586</v>
      </c>
      <c r="T182" s="258">
        <f t="shared" si="122"/>
        <v>86682</v>
      </c>
      <c r="U182" s="258">
        <f t="shared" si="122"/>
        <v>0</v>
      </c>
      <c r="V182" s="258">
        <f t="shared" si="122"/>
        <v>0</v>
      </c>
      <c r="W182" s="258">
        <f t="shared" si="122"/>
        <v>0</v>
      </c>
      <c r="X182" s="3667" t="s">
        <v>75</v>
      </c>
      <c r="Y182" s="3747"/>
    </row>
    <row r="183" spans="1:26" s="301" customFormat="1" ht="15" customHeight="1">
      <c r="A183" s="3936"/>
      <c r="B183" s="217" t="s">
        <v>29</v>
      </c>
      <c r="C183" s="3728" t="s">
        <v>215</v>
      </c>
      <c r="D183" s="61">
        <f>I183+J183+K183+L183+N183+O183+P183+Q183+R183+S183+T183+U183+V183+W183</f>
        <v>573750</v>
      </c>
      <c r="E183" s="62">
        <f t="shared" si="121"/>
        <v>0</v>
      </c>
      <c r="F183" s="62">
        <f t="shared" si="121"/>
        <v>0</v>
      </c>
      <c r="G183" s="62">
        <f t="shared" si="121"/>
        <v>0</v>
      </c>
      <c r="H183" s="62">
        <f t="shared" si="121"/>
        <v>0</v>
      </c>
      <c r="I183" s="62">
        <f t="shared" si="121"/>
        <v>0</v>
      </c>
      <c r="J183" s="62">
        <f t="shared" si="121"/>
        <v>0</v>
      </c>
      <c r="K183" s="62">
        <f t="shared" si="121"/>
        <v>0</v>
      </c>
      <c r="L183" s="62">
        <f t="shared" si="121"/>
        <v>0</v>
      </c>
      <c r="M183" s="62">
        <f t="shared" si="121"/>
        <v>0</v>
      </c>
      <c r="N183" s="62">
        <f t="shared" si="121"/>
        <v>0</v>
      </c>
      <c r="O183" s="62">
        <f t="shared" si="122"/>
        <v>0</v>
      </c>
      <c r="P183" s="62">
        <f t="shared" si="122"/>
        <v>0</v>
      </c>
      <c r="Q183" s="62">
        <f t="shared" si="122"/>
        <v>48432</v>
      </c>
      <c r="R183" s="62">
        <f t="shared" si="122"/>
        <v>130050</v>
      </c>
      <c r="S183" s="62">
        <f t="shared" si="122"/>
        <v>308586</v>
      </c>
      <c r="T183" s="62">
        <f t="shared" si="122"/>
        <v>86682</v>
      </c>
      <c r="U183" s="62">
        <f t="shared" si="122"/>
        <v>0</v>
      </c>
      <c r="V183" s="62">
        <f t="shared" si="122"/>
        <v>0</v>
      </c>
      <c r="W183" s="62">
        <f t="shared" si="122"/>
        <v>0</v>
      </c>
      <c r="X183" s="3635"/>
      <c r="Y183" s="3747"/>
    </row>
    <row r="184" spans="1:26" s="301" customFormat="1" ht="15" customHeight="1" thickBot="1">
      <c r="A184" s="3937"/>
      <c r="B184" s="3229" t="s">
        <v>32</v>
      </c>
      <c r="C184" s="3626"/>
      <c r="D184" s="2214">
        <f>M184+P184+Q184+R184+S184+T184+U184+V184+W184</f>
        <v>573750</v>
      </c>
      <c r="E184" s="963"/>
      <c r="F184" s="1088"/>
      <c r="G184" s="963"/>
      <c r="H184" s="963"/>
      <c r="I184" s="963">
        <v>0</v>
      </c>
      <c r="J184" s="963">
        <v>0</v>
      </c>
      <c r="K184" s="963">
        <v>0</v>
      </c>
      <c r="L184" s="963">
        <v>0</v>
      </c>
      <c r="M184" s="2219">
        <f>+E184+I184+J184+K184+L184+N184+O184</f>
        <v>0</v>
      </c>
      <c r="N184" s="90">
        <v>0</v>
      </c>
      <c r="O184" s="89">
        <v>0</v>
      </c>
      <c r="P184" s="89"/>
      <c r="Q184" s="89">
        <v>48432</v>
      </c>
      <c r="R184" s="89">
        <v>130050</v>
      </c>
      <c r="S184" s="89">
        <v>308586</v>
      </c>
      <c r="T184" s="89">
        <v>86682</v>
      </c>
      <c r="U184" s="89">
        <v>0</v>
      </c>
      <c r="V184" s="89">
        <v>0</v>
      </c>
      <c r="W184" s="89">
        <v>0</v>
      </c>
      <c r="X184" s="3636"/>
      <c r="Y184" s="3748"/>
    </row>
    <row r="185" spans="1:26" s="301" customFormat="1" ht="50.25" customHeight="1">
      <c r="A185" s="3940" t="s">
        <v>105</v>
      </c>
      <c r="B185" s="233" t="s">
        <v>582</v>
      </c>
      <c r="C185" s="3210" t="s">
        <v>217</v>
      </c>
      <c r="D185" s="1902"/>
      <c r="E185" s="1903"/>
      <c r="F185" s="1903"/>
      <c r="G185" s="1903"/>
      <c r="H185" s="1903"/>
      <c r="I185" s="1903"/>
      <c r="J185" s="1903"/>
      <c r="K185" s="1903"/>
      <c r="L185" s="1904"/>
      <c r="M185" s="1904"/>
      <c r="N185" s="1904"/>
      <c r="O185" s="1904"/>
      <c r="P185" s="1905"/>
      <c r="Q185" s="1905"/>
      <c r="R185" s="1905"/>
      <c r="S185" s="1905"/>
      <c r="T185" s="1904"/>
      <c r="U185" s="1904"/>
      <c r="V185" s="1904"/>
      <c r="W185" s="1904"/>
      <c r="X185" s="1906"/>
      <c r="Y185" s="3746" t="s">
        <v>527</v>
      </c>
      <c r="Z185" s="301" t="s">
        <v>561</v>
      </c>
    </row>
    <row r="186" spans="1:26" s="301" customFormat="1" ht="15" customHeight="1">
      <c r="A186" s="3936"/>
      <c r="B186" s="38" t="s">
        <v>21</v>
      </c>
      <c r="C186" s="26"/>
      <c r="D186" s="258">
        <f>+D187+D189</f>
        <v>9980</v>
      </c>
      <c r="E186" s="258"/>
      <c r="F186" s="258"/>
      <c r="G186" s="258"/>
      <c r="H186" s="258"/>
      <c r="I186" s="258"/>
      <c r="J186" s="258"/>
      <c r="K186" s="258"/>
      <c r="L186" s="258"/>
      <c r="M186" s="258">
        <v>0</v>
      </c>
      <c r="N186" s="258"/>
      <c r="O186" s="258"/>
      <c r="P186" s="258">
        <v>0</v>
      </c>
      <c r="Q186" s="258">
        <f>+Q187+Q189</f>
        <v>3380</v>
      </c>
      <c r="R186" s="258">
        <f t="shared" ref="R186:S186" si="123">+R187+R189</f>
        <v>3300</v>
      </c>
      <c r="S186" s="258">
        <f t="shared" si="123"/>
        <v>3300</v>
      </c>
      <c r="T186" s="258">
        <v>0</v>
      </c>
      <c r="U186" s="258">
        <v>0</v>
      </c>
      <c r="V186" s="258">
        <v>0</v>
      </c>
      <c r="W186" s="258">
        <v>0</v>
      </c>
      <c r="X186" s="80">
        <f>+X187+X189</f>
        <v>9980</v>
      </c>
      <c r="Y186" s="3747"/>
    </row>
    <row r="187" spans="1:26" s="301" customFormat="1" ht="15" customHeight="1">
      <c r="A187" s="3936"/>
      <c r="B187" s="1918" t="s">
        <v>35</v>
      </c>
      <c r="C187" s="3611" t="s">
        <v>273</v>
      </c>
      <c r="D187" s="441">
        <f>+D188</f>
        <v>1497</v>
      </c>
      <c r="E187" s="442"/>
      <c r="F187" s="442"/>
      <c r="G187" s="442"/>
      <c r="H187" s="442"/>
      <c r="I187" s="445"/>
      <c r="J187" s="445"/>
      <c r="K187" s="445"/>
      <c r="L187" s="445"/>
      <c r="M187" s="445">
        <v>0</v>
      </c>
      <c r="N187" s="446"/>
      <c r="O187" s="446"/>
      <c r="P187" s="446">
        <v>0</v>
      </c>
      <c r="Q187" s="446">
        <f>+Q188</f>
        <v>507</v>
      </c>
      <c r="R187" s="446">
        <f t="shared" ref="R187:S187" si="124">+R188</f>
        <v>495</v>
      </c>
      <c r="S187" s="446">
        <f t="shared" si="124"/>
        <v>495</v>
      </c>
      <c r="T187" s="62">
        <v>0</v>
      </c>
      <c r="U187" s="62">
        <v>0</v>
      </c>
      <c r="V187" s="62">
        <v>0</v>
      </c>
      <c r="W187" s="62">
        <v>0</v>
      </c>
      <c r="X187" s="429">
        <f>+X188</f>
        <v>1497</v>
      </c>
      <c r="Y187" s="3747"/>
    </row>
    <row r="188" spans="1:26" s="301" customFormat="1" ht="15" customHeight="1">
      <c r="A188" s="3936"/>
      <c r="B188" s="1919" t="s">
        <v>23</v>
      </c>
      <c r="C188" s="3612"/>
      <c r="D188" s="325">
        <f>+Q188+R188+S188</f>
        <v>1497</v>
      </c>
      <c r="E188" s="433"/>
      <c r="F188" s="440"/>
      <c r="G188" s="440"/>
      <c r="H188" s="433"/>
      <c r="I188" s="433"/>
      <c r="J188" s="433"/>
      <c r="K188" s="433"/>
      <c r="L188" s="433"/>
      <c r="M188" s="2200">
        <v>0</v>
      </c>
      <c r="N188" s="440"/>
      <c r="O188" s="440"/>
      <c r="P188" s="440">
        <v>0</v>
      </c>
      <c r="Q188" s="440">
        <v>507</v>
      </c>
      <c r="R188" s="440">
        <v>495</v>
      </c>
      <c r="S188" s="440">
        <v>495</v>
      </c>
      <c r="T188" s="62">
        <v>0</v>
      </c>
      <c r="U188" s="62">
        <v>0</v>
      </c>
      <c r="V188" s="62">
        <v>0</v>
      </c>
      <c r="W188" s="62">
        <v>0</v>
      </c>
      <c r="X188" s="1899">
        <f>SUM(Q188:W188)</f>
        <v>1497</v>
      </c>
      <c r="Y188" s="3747"/>
    </row>
    <row r="189" spans="1:26" s="301" customFormat="1" ht="15" customHeight="1">
      <c r="A189" s="3936"/>
      <c r="B189" s="1269" t="s">
        <v>29</v>
      </c>
      <c r="C189" s="3612"/>
      <c r="D189" s="61">
        <f>+D190</f>
        <v>8483</v>
      </c>
      <c r="E189" s="62"/>
      <c r="F189" s="62"/>
      <c r="G189" s="62"/>
      <c r="H189" s="62"/>
      <c r="I189" s="131"/>
      <c r="J189" s="131"/>
      <c r="K189" s="131"/>
      <c r="L189" s="131"/>
      <c r="M189" s="131">
        <v>0</v>
      </c>
      <c r="N189" s="133"/>
      <c r="O189" s="133"/>
      <c r="P189" s="133">
        <v>0</v>
      </c>
      <c r="Q189" s="133">
        <f>+Q190</f>
        <v>2873</v>
      </c>
      <c r="R189" s="133">
        <f t="shared" ref="R189:S189" si="125">+R190</f>
        <v>2805</v>
      </c>
      <c r="S189" s="133">
        <f t="shared" si="125"/>
        <v>2805</v>
      </c>
      <c r="T189" s="62">
        <v>0</v>
      </c>
      <c r="U189" s="62">
        <v>0</v>
      </c>
      <c r="V189" s="62">
        <v>0</v>
      </c>
      <c r="W189" s="62">
        <v>0</v>
      </c>
      <c r="X189" s="99">
        <f>+X190</f>
        <v>8483</v>
      </c>
      <c r="Y189" s="3747"/>
    </row>
    <row r="190" spans="1:26" s="301" customFormat="1" ht="15" customHeight="1">
      <c r="A190" s="3936"/>
      <c r="B190" s="379" t="s">
        <v>32</v>
      </c>
      <c r="C190" s="3670"/>
      <c r="D190" s="325">
        <f>+Q190+R190+S190</f>
        <v>8483</v>
      </c>
      <c r="E190" s="57"/>
      <c r="F190" s="64"/>
      <c r="G190" s="64"/>
      <c r="H190" s="57"/>
      <c r="I190" s="57"/>
      <c r="J190" s="57"/>
      <c r="K190" s="57"/>
      <c r="L190" s="57"/>
      <c r="M190" s="2200">
        <v>0</v>
      </c>
      <c r="N190" s="64"/>
      <c r="O190" s="64"/>
      <c r="P190" s="64">
        <v>0</v>
      </c>
      <c r="Q190" s="64">
        <v>2873</v>
      </c>
      <c r="R190" s="64">
        <v>2805</v>
      </c>
      <c r="S190" s="64">
        <v>2805</v>
      </c>
      <c r="T190" s="62">
        <v>0</v>
      </c>
      <c r="U190" s="62">
        <v>0</v>
      </c>
      <c r="V190" s="62">
        <v>0</v>
      </c>
      <c r="W190" s="62">
        <v>0</v>
      </c>
      <c r="X190" s="1899">
        <f>SUM(Q190:W190)</f>
        <v>8483</v>
      </c>
      <c r="Y190" s="4127"/>
    </row>
    <row r="191" spans="1:26" s="301" customFormat="1" ht="15" customHeight="1">
      <c r="A191" s="3936"/>
      <c r="B191" s="25" t="s">
        <v>33</v>
      </c>
      <c r="C191" s="26"/>
      <c r="D191" s="258">
        <f>+D192</f>
        <v>8483</v>
      </c>
      <c r="E191" s="258"/>
      <c r="F191" s="258"/>
      <c r="G191" s="258"/>
      <c r="H191" s="258"/>
      <c r="I191" s="258"/>
      <c r="J191" s="258"/>
      <c r="K191" s="258"/>
      <c r="L191" s="258"/>
      <c r="M191" s="258">
        <v>0</v>
      </c>
      <c r="N191" s="258"/>
      <c r="O191" s="258"/>
      <c r="P191" s="258">
        <v>0</v>
      </c>
      <c r="Q191" s="258">
        <f>+Q192</f>
        <v>2873</v>
      </c>
      <c r="R191" s="258">
        <f t="shared" ref="R191:S191" si="126">+R192</f>
        <v>2805</v>
      </c>
      <c r="S191" s="258">
        <f t="shared" si="126"/>
        <v>2805</v>
      </c>
      <c r="T191" s="258">
        <v>0</v>
      </c>
      <c r="U191" s="258">
        <v>0</v>
      </c>
      <c r="V191" s="258">
        <v>0</v>
      </c>
      <c r="W191" s="258">
        <v>0</v>
      </c>
      <c r="X191" s="3667"/>
      <c r="Y191" s="3747" t="s">
        <v>283</v>
      </c>
    </row>
    <row r="192" spans="1:26" s="301" customFormat="1" ht="15" customHeight="1">
      <c r="A192" s="3936"/>
      <c r="B192" s="217" t="s">
        <v>29</v>
      </c>
      <c r="C192" s="4126" t="s">
        <v>276</v>
      </c>
      <c r="D192" s="61">
        <f>+D193</f>
        <v>8483</v>
      </c>
      <c r="E192" s="62"/>
      <c r="F192" s="62"/>
      <c r="G192" s="62"/>
      <c r="H192" s="62"/>
      <c r="I192" s="62"/>
      <c r="J192" s="62"/>
      <c r="K192" s="62"/>
      <c r="L192" s="62"/>
      <c r="M192" s="62">
        <v>0</v>
      </c>
      <c r="N192" s="62"/>
      <c r="O192" s="62"/>
      <c r="P192" s="62">
        <v>0</v>
      </c>
      <c r="Q192" s="62">
        <f>+Q193</f>
        <v>2873</v>
      </c>
      <c r="R192" s="62">
        <f t="shared" ref="R192:S192" si="127">+R193</f>
        <v>2805</v>
      </c>
      <c r="S192" s="62">
        <f t="shared" si="127"/>
        <v>2805</v>
      </c>
      <c r="T192" s="62">
        <v>0</v>
      </c>
      <c r="U192" s="62">
        <v>0</v>
      </c>
      <c r="V192" s="62">
        <v>0</v>
      </c>
      <c r="W192" s="62">
        <v>0</v>
      </c>
      <c r="X192" s="3635"/>
      <c r="Y192" s="3747"/>
    </row>
    <row r="193" spans="1:26" s="301" customFormat="1" ht="15" customHeight="1" thickBot="1">
      <c r="A193" s="3937"/>
      <c r="B193" s="3229" t="s">
        <v>32</v>
      </c>
      <c r="C193" s="3626"/>
      <c r="D193" s="2214">
        <f>+Q193+R193+S193+T193</f>
        <v>8483</v>
      </c>
      <c r="E193" s="963"/>
      <c r="F193" s="1088"/>
      <c r="G193" s="963"/>
      <c r="H193" s="963"/>
      <c r="I193" s="963"/>
      <c r="J193" s="963"/>
      <c r="K193" s="963"/>
      <c r="L193" s="963"/>
      <c r="M193" s="2219">
        <v>0</v>
      </c>
      <c r="N193" s="90"/>
      <c r="O193" s="89"/>
      <c r="P193" s="89">
        <v>0</v>
      </c>
      <c r="Q193" s="89">
        <v>2873</v>
      </c>
      <c r="R193" s="89">
        <v>2805</v>
      </c>
      <c r="S193" s="89">
        <v>2805</v>
      </c>
      <c r="T193" s="89">
        <v>0</v>
      </c>
      <c r="U193" s="89">
        <v>0</v>
      </c>
      <c r="V193" s="89">
        <v>0</v>
      </c>
      <c r="W193" s="89">
        <v>0</v>
      </c>
      <c r="X193" s="3636"/>
      <c r="Y193" s="3748"/>
    </row>
    <row r="194" spans="1:26" s="301" customFormat="1" ht="49.5" customHeight="1">
      <c r="A194" s="3940" t="s">
        <v>106</v>
      </c>
      <c r="B194" s="233" t="s">
        <v>583</v>
      </c>
      <c r="C194" s="3210" t="s">
        <v>95</v>
      </c>
      <c r="D194" s="1902"/>
      <c r="E194" s="1903"/>
      <c r="F194" s="1903"/>
      <c r="G194" s="1903"/>
      <c r="H194" s="1903"/>
      <c r="I194" s="1903"/>
      <c r="J194" s="1903"/>
      <c r="K194" s="1903"/>
      <c r="L194" s="1904"/>
      <c r="M194" s="1904"/>
      <c r="N194" s="1904"/>
      <c r="O194" s="1904"/>
      <c r="P194" s="1905"/>
      <c r="Q194" s="1905"/>
      <c r="R194" s="1905"/>
      <c r="S194" s="1905"/>
      <c r="T194" s="1904"/>
      <c r="U194" s="1904"/>
      <c r="V194" s="1904"/>
      <c r="W194" s="1904"/>
      <c r="X194" s="1906"/>
      <c r="Y194" s="3746" t="s">
        <v>527</v>
      </c>
      <c r="Z194" s="301" t="s">
        <v>561</v>
      </c>
    </row>
    <row r="195" spans="1:26" s="301" customFormat="1" ht="15" customHeight="1">
      <c r="A195" s="3936"/>
      <c r="B195" s="38" t="s">
        <v>21</v>
      </c>
      <c r="C195" s="26"/>
      <c r="D195" s="258">
        <f>+D196+D198</f>
        <v>990020</v>
      </c>
      <c r="E195" s="258"/>
      <c r="F195" s="258"/>
      <c r="G195" s="258"/>
      <c r="H195" s="258"/>
      <c r="I195" s="258"/>
      <c r="J195" s="258"/>
      <c r="K195" s="258"/>
      <c r="L195" s="258"/>
      <c r="M195" s="258">
        <v>0</v>
      </c>
      <c r="N195" s="258"/>
      <c r="O195" s="258"/>
      <c r="P195" s="258">
        <v>0</v>
      </c>
      <c r="Q195" s="258">
        <f>+Q196+Q198</f>
        <v>108190</v>
      </c>
      <c r="R195" s="258">
        <f t="shared" ref="R195:T195" si="128">+R196+R198</f>
        <v>358640</v>
      </c>
      <c r="S195" s="258">
        <f t="shared" si="128"/>
        <v>344790</v>
      </c>
      <c r="T195" s="258">
        <f t="shared" si="128"/>
        <v>178400</v>
      </c>
      <c r="U195" s="258">
        <v>0</v>
      </c>
      <c r="V195" s="258">
        <v>0</v>
      </c>
      <c r="W195" s="258">
        <v>0</v>
      </c>
      <c r="X195" s="80">
        <f>+X196+X198</f>
        <v>990020</v>
      </c>
      <c r="Y195" s="3747"/>
    </row>
    <row r="196" spans="1:26" s="301" customFormat="1" ht="15" customHeight="1">
      <c r="A196" s="3936"/>
      <c r="B196" s="1918" t="s">
        <v>35</v>
      </c>
      <c r="C196" s="3611" t="s">
        <v>273</v>
      </c>
      <c r="D196" s="441">
        <f>+D197</f>
        <v>148504</v>
      </c>
      <c r="E196" s="442"/>
      <c r="F196" s="442"/>
      <c r="G196" s="442"/>
      <c r="H196" s="442"/>
      <c r="I196" s="445"/>
      <c r="J196" s="445"/>
      <c r="K196" s="445"/>
      <c r="L196" s="445"/>
      <c r="M196" s="445">
        <v>0</v>
      </c>
      <c r="N196" s="446"/>
      <c r="O196" s="446"/>
      <c r="P196" s="446">
        <v>0</v>
      </c>
      <c r="Q196" s="446">
        <f>+Q197</f>
        <v>16229</v>
      </c>
      <c r="R196" s="446">
        <f>+R197</f>
        <v>53796</v>
      </c>
      <c r="S196" s="446">
        <f t="shared" ref="S196:T196" si="129">+S197</f>
        <v>51719</v>
      </c>
      <c r="T196" s="446">
        <f t="shared" si="129"/>
        <v>26760</v>
      </c>
      <c r="U196" s="62">
        <v>0</v>
      </c>
      <c r="V196" s="62">
        <v>0</v>
      </c>
      <c r="W196" s="62">
        <v>0</v>
      </c>
      <c r="X196" s="429">
        <f>+X197</f>
        <v>148504</v>
      </c>
      <c r="Y196" s="3747"/>
    </row>
    <row r="197" spans="1:26" s="301" customFormat="1" ht="15" customHeight="1">
      <c r="A197" s="3936"/>
      <c r="B197" s="1919" t="s">
        <v>23</v>
      </c>
      <c r="C197" s="3612"/>
      <c r="D197" s="325">
        <f>+Q197+R197+S197+T197</f>
        <v>148504</v>
      </c>
      <c r="E197" s="433"/>
      <c r="F197" s="440"/>
      <c r="G197" s="440"/>
      <c r="H197" s="433"/>
      <c r="I197" s="433"/>
      <c r="J197" s="433"/>
      <c r="K197" s="433"/>
      <c r="L197" s="433"/>
      <c r="M197" s="2200">
        <v>0</v>
      </c>
      <c r="N197" s="440"/>
      <c r="O197" s="440"/>
      <c r="P197" s="440">
        <v>0</v>
      </c>
      <c r="Q197" s="440">
        <v>16229</v>
      </c>
      <c r="R197" s="440">
        <v>53796</v>
      </c>
      <c r="S197" s="440">
        <v>51719</v>
      </c>
      <c r="T197" s="440">
        <v>26760</v>
      </c>
      <c r="U197" s="62">
        <v>0</v>
      </c>
      <c r="V197" s="62">
        <v>0</v>
      </c>
      <c r="W197" s="62">
        <v>0</v>
      </c>
      <c r="X197" s="1899">
        <f>+T197+S197+R197+Q197</f>
        <v>148504</v>
      </c>
      <c r="Y197" s="3747"/>
    </row>
    <row r="198" spans="1:26" s="301" customFormat="1" ht="15" customHeight="1">
      <c r="A198" s="3936"/>
      <c r="B198" s="1269" t="s">
        <v>29</v>
      </c>
      <c r="C198" s="3612"/>
      <c r="D198" s="61">
        <f>+D199</f>
        <v>841516</v>
      </c>
      <c r="E198" s="62"/>
      <c r="F198" s="62"/>
      <c r="G198" s="62"/>
      <c r="H198" s="62"/>
      <c r="I198" s="131"/>
      <c r="J198" s="131"/>
      <c r="K198" s="131"/>
      <c r="L198" s="131"/>
      <c r="M198" s="131">
        <v>0</v>
      </c>
      <c r="N198" s="133"/>
      <c r="O198" s="133"/>
      <c r="P198" s="133">
        <v>0</v>
      </c>
      <c r="Q198" s="133">
        <f>+Q199</f>
        <v>91961</v>
      </c>
      <c r="R198" s="133">
        <f t="shared" ref="R198:T198" si="130">+R199</f>
        <v>304844</v>
      </c>
      <c r="S198" s="133">
        <f t="shared" si="130"/>
        <v>293071</v>
      </c>
      <c r="T198" s="133">
        <f t="shared" si="130"/>
        <v>151640</v>
      </c>
      <c r="U198" s="62">
        <v>0</v>
      </c>
      <c r="V198" s="62">
        <v>0</v>
      </c>
      <c r="W198" s="62">
        <v>0</v>
      </c>
      <c r="X198" s="99">
        <f>+X199</f>
        <v>841516</v>
      </c>
      <c r="Y198" s="3747"/>
    </row>
    <row r="199" spans="1:26" s="301" customFormat="1" ht="15" customHeight="1">
      <c r="A199" s="3936"/>
      <c r="B199" s="379" t="s">
        <v>32</v>
      </c>
      <c r="C199" s="3670"/>
      <c r="D199" s="325">
        <f>+Q199+R199+S199+T199+U199+V199+W199</f>
        <v>841516</v>
      </c>
      <c r="E199" s="57"/>
      <c r="F199" s="64"/>
      <c r="G199" s="64"/>
      <c r="H199" s="57"/>
      <c r="I199" s="57"/>
      <c r="J199" s="57"/>
      <c r="K199" s="57"/>
      <c r="L199" s="57"/>
      <c r="M199" s="2200">
        <v>0</v>
      </c>
      <c r="N199" s="64"/>
      <c r="O199" s="64"/>
      <c r="P199" s="64">
        <v>0</v>
      </c>
      <c r="Q199" s="1710">
        <v>91961</v>
      </c>
      <c r="R199" s="1710">
        <v>304844</v>
      </c>
      <c r="S199" s="1710">
        <v>293071</v>
      </c>
      <c r="T199" s="1710">
        <v>151640</v>
      </c>
      <c r="U199" s="62">
        <v>0</v>
      </c>
      <c r="V199" s="62">
        <v>0</v>
      </c>
      <c r="W199" s="62">
        <v>0</v>
      </c>
      <c r="X199" s="1899">
        <f>+T199+S199+R199+Q199</f>
        <v>841516</v>
      </c>
      <c r="Y199" s="4127"/>
    </row>
    <row r="200" spans="1:26" s="301" customFormat="1" ht="15" customHeight="1">
      <c r="A200" s="3936"/>
      <c r="B200" s="25" t="s">
        <v>33</v>
      </c>
      <c r="C200" s="26"/>
      <c r="D200" s="258">
        <f>+D201</f>
        <v>841516</v>
      </c>
      <c r="E200" s="258"/>
      <c r="F200" s="258"/>
      <c r="G200" s="258"/>
      <c r="H200" s="258"/>
      <c r="I200" s="258"/>
      <c r="J200" s="258"/>
      <c r="K200" s="258"/>
      <c r="L200" s="258"/>
      <c r="M200" s="258">
        <v>0</v>
      </c>
      <c r="N200" s="258"/>
      <c r="O200" s="258"/>
      <c r="P200" s="258">
        <v>0</v>
      </c>
      <c r="Q200" s="134">
        <f>+Q201</f>
        <v>91961</v>
      </c>
      <c r="R200" s="134">
        <f t="shared" ref="R200:T200" si="131">+R201</f>
        <v>304844</v>
      </c>
      <c r="S200" s="134">
        <f t="shared" si="131"/>
        <v>293071</v>
      </c>
      <c r="T200" s="134">
        <f t="shared" si="131"/>
        <v>151640</v>
      </c>
      <c r="U200" s="258">
        <v>0</v>
      </c>
      <c r="V200" s="258">
        <v>0</v>
      </c>
      <c r="W200" s="258">
        <v>0</v>
      </c>
      <c r="X200" s="3667"/>
      <c r="Y200" s="3747" t="s">
        <v>283</v>
      </c>
    </row>
    <row r="201" spans="1:26" s="301" customFormat="1" ht="15" customHeight="1">
      <c r="A201" s="3936"/>
      <c r="B201" s="217" t="s">
        <v>29</v>
      </c>
      <c r="C201" s="4126" t="s">
        <v>276</v>
      </c>
      <c r="D201" s="61">
        <f>+D202</f>
        <v>841516</v>
      </c>
      <c r="E201" s="62"/>
      <c r="F201" s="62"/>
      <c r="G201" s="62"/>
      <c r="H201" s="62"/>
      <c r="I201" s="62"/>
      <c r="J201" s="62"/>
      <c r="K201" s="62"/>
      <c r="L201" s="62"/>
      <c r="M201" s="62">
        <v>0</v>
      </c>
      <c r="N201" s="62"/>
      <c r="O201" s="62"/>
      <c r="P201" s="62">
        <v>0</v>
      </c>
      <c r="Q201" s="62">
        <f>+Q202</f>
        <v>91961</v>
      </c>
      <c r="R201" s="62">
        <f t="shared" ref="R201:T201" si="132">+R202</f>
        <v>304844</v>
      </c>
      <c r="S201" s="62">
        <f t="shared" si="132"/>
        <v>293071</v>
      </c>
      <c r="T201" s="62">
        <f t="shared" si="132"/>
        <v>151640</v>
      </c>
      <c r="U201" s="62">
        <v>0</v>
      </c>
      <c r="V201" s="62">
        <v>0</v>
      </c>
      <c r="W201" s="62">
        <v>0</v>
      </c>
      <c r="X201" s="3635"/>
      <c r="Y201" s="3747"/>
    </row>
    <row r="202" spans="1:26" s="301" customFormat="1" ht="15" customHeight="1" thickBot="1">
      <c r="A202" s="3937"/>
      <c r="B202" s="3229" t="s">
        <v>32</v>
      </c>
      <c r="C202" s="3626"/>
      <c r="D202" s="2214">
        <f>+Q202+R202+S202+T202+U202+V202+W202</f>
        <v>841516</v>
      </c>
      <c r="E202" s="963"/>
      <c r="F202" s="1088"/>
      <c r="G202" s="963"/>
      <c r="H202" s="963"/>
      <c r="I202" s="963"/>
      <c r="J202" s="963"/>
      <c r="K202" s="963"/>
      <c r="L202" s="963"/>
      <c r="M202" s="2219">
        <v>0</v>
      </c>
      <c r="N202" s="90"/>
      <c r="O202" s="89"/>
      <c r="P202" s="89">
        <v>0</v>
      </c>
      <c r="Q202" s="89">
        <v>91961</v>
      </c>
      <c r="R202" s="89">
        <v>304844</v>
      </c>
      <c r="S202" s="89">
        <v>293071</v>
      </c>
      <c r="T202" s="89">
        <v>151640</v>
      </c>
      <c r="U202" s="89">
        <v>0</v>
      </c>
      <c r="V202" s="89">
        <v>0</v>
      </c>
      <c r="W202" s="89">
        <v>0</v>
      </c>
      <c r="X202" s="3636"/>
      <c r="Y202" s="3748"/>
    </row>
    <row r="203" spans="1:26" ht="23.25" customHeight="1" thickBot="1">
      <c r="A203" s="248" t="s">
        <v>218</v>
      </c>
      <c r="B203" s="1928"/>
      <c r="C203" s="1928"/>
      <c r="D203" s="1928"/>
      <c r="E203" s="1929"/>
      <c r="F203" s="1928"/>
      <c r="G203" s="1928"/>
      <c r="H203" s="1928"/>
      <c r="I203" s="1928"/>
      <c r="J203" s="1928"/>
      <c r="K203" s="1928"/>
      <c r="L203" s="1928"/>
      <c r="M203" s="1928"/>
      <c r="N203" s="1928"/>
      <c r="O203" s="1928"/>
      <c r="P203" s="1928"/>
      <c r="Q203" s="1928"/>
      <c r="R203" s="1928"/>
      <c r="S203" s="1928"/>
      <c r="T203" s="1928"/>
      <c r="U203" s="1928"/>
      <c r="V203" s="1928"/>
      <c r="W203" s="1928"/>
      <c r="X203" s="1930"/>
      <c r="Y203" s="1931"/>
    </row>
    <row r="204" spans="1:26" ht="18.75" customHeight="1">
      <c r="A204" s="1932"/>
      <c r="B204" s="276" t="s">
        <v>90</v>
      </c>
      <c r="C204" s="976"/>
      <c r="D204" s="278">
        <f>+D205+D206</f>
        <v>16198501</v>
      </c>
      <c r="E204" s="278">
        <f t="shared" ref="E204:Q204" si="133">+E205+E206</f>
        <v>0</v>
      </c>
      <c r="F204" s="278">
        <f t="shared" si="133"/>
        <v>0</v>
      </c>
      <c r="G204" s="278">
        <f t="shared" si="133"/>
        <v>0</v>
      </c>
      <c r="H204" s="278">
        <f t="shared" si="133"/>
        <v>0</v>
      </c>
      <c r="I204" s="278">
        <f t="shared" si="133"/>
        <v>0</v>
      </c>
      <c r="J204" s="278">
        <f t="shared" si="133"/>
        <v>0</v>
      </c>
      <c r="K204" s="278">
        <f t="shared" si="133"/>
        <v>0</v>
      </c>
      <c r="L204" s="278">
        <f t="shared" si="133"/>
        <v>0</v>
      </c>
      <c r="M204" s="278">
        <f t="shared" si="133"/>
        <v>5176300</v>
      </c>
      <c r="N204" s="278">
        <f t="shared" si="133"/>
        <v>2798000</v>
      </c>
      <c r="O204" s="278">
        <f t="shared" si="133"/>
        <v>2378300</v>
      </c>
      <c r="P204" s="278">
        <f t="shared" si="133"/>
        <v>2566500</v>
      </c>
      <c r="Q204" s="278">
        <f t="shared" si="133"/>
        <v>2600000</v>
      </c>
      <c r="R204" s="278">
        <f t="shared" ref="R204:X204" si="134">+R205+R206</f>
        <v>2647000</v>
      </c>
      <c r="S204" s="278">
        <f t="shared" si="134"/>
        <v>2788899</v>
      </c>
      <c r="T204" s="278">
        <f t="shared" si="134"/>
        <v>83899</v>
      </c>
      <c r="U204" s="278">
        <f t="shared" si="134"/>
        <v>97429</v>
      </c>
      <c r="V204" s="278">
        <f t="shared" si="134"/>
        <v>113579</v>
      </c>
      <c r="W204" s="278">
        <f t="shared" si="134"/>
        <v>124895</v>
      </c>
      <c r="X204" s="20">
        <f t="shared" si="134"/>
        <v>8455701</v>
      </c>
      <c r="Y204" s="3976"/>
    </row>
    <row r="205" spans="1:26" ht="14.25" customHeight="1">
      <c r="A205" s="1319"/>
      <c r="B205" s="279" t="s">
        <v>91</v>
      </c>
      <c r="C205" s="281"/>
      <c r="D205" s="281">
        <f>D216+D220</f>
        <v>16198501</v>
      </c>
      <c r="E205" s="281">
        <f t="shared" ref="E205:W205" si="135">E216+E220</f>
        <v>0</v>
      </c>
      <c r="F205" s="281">
        <f t="shared" si="135"/>
        <v>0</v>
      </c>
      <c r="G205" s="281">
        <f t="shared" si="135"/>
        <v>0</v>
      </c>
      <c r="H205" s="281">
        <f t="shared" si="135"/>
        <v>0</v>
      </c>
      <c r="I205" s="281">
        <f t="shared" si="135"/>
        <v>0</v>
      </c>
      <c r="J205" s="281">
        <f t="shared" si="135"/>
        <v>0</v>
      </c>
      <c r="K205" s="281">
        <f t="shared" si="135"/>
        <v>0</v>
      </c>
      <c r="L205" s="281">
        <f t="shared" si="135"/>
        <v>0</v>
      </c>
      <c r="M205" s="281">
        <f t="shared" si="135"/>
        <v>5176300</v>
      </c>
      <c r="N205" s="281">
        <f t="shared" si="135"/>
        <v>2798000</v>
      </c>
      <c r="O205" s="281">
        <f t="shared" si="135"/>
        <v>2378300</v>
      </c>
      <c r="P205" s="281">
        <f t="shared" si="135"/>
        <v>2566500</v>
      </c>
      <c r="Q205" s="281">
        <f t="shared" si="135"/>
        <v>2600000</v>
      </c>
      <c r="R205" s="281">
        <f t="shared" si="135"/>
        <v>2647000</v>
      </c>
      <c r="S205" s="281">
        <f t="shared" si="135"/>
        <v>2788899</v>
      </c>
      <c r="T205" s="281">
        <f t="shared" si="135"/>
        <v>83899</v>
      </c>
      <c r="U205" s="281">
        <f t="shared" si="135"/>
        <v>97429</v>
      </c>
      <c r="V205" s="281">
        <f t="shared" si="135"/>
        <v>113579</v>
      </c>
      <c r="W205" s="281">
        <f t="shared" si="135"/>
        <v>124895</v>
      </c>
      <c r="X205" s="22">
        <f>SUM(Q205:W205)</f>
        <v>8455701</v>
      </c>
      <c r="Y205" s="3977"/>
    </row>
    <row r="206" spans="1:26" ht="14.25" customHeight="1" thickBot="1">
      <c r="A206" s="1319"/>
      <c r="B206" s="1933" t="s">
        <v>20</v>
      </c>
      <c r="C206" s="1895"/>
      <c r="D206" s="1895">
        <v>0</v>
      </c>
      <c r="E206" s="1895">
        <f>+E216</f>
        <v>0</v>
      </c>
      <c r="F206" s="1895">
        <v>0</v>
      </c>
      <c r="G206" s="1895">
        <v>0</v>
      </c>
      <c r="H206" s="1895">
        <v>0</v>
      </c>
      <c r="I206" s="1895">
        <f>+I216</f>
        <v>0</v>
      </c>
      <c r="J206" s="1895">
        <f>+J216</f>
        <v>0</v>
      </c>
      <c r="K206" s="1895">
        <f>+K216</f>
        <v>0</v>
      </c>
      <c r="L206" s="1895">
        <f>+L216</f>
        <v>0</v>
      </c>
      <c r="M206" s="1895">
        <v>0</v>
      </c>
      <c r="N206" s="1895">
        <v>0</v>
      </c>
      <c r="O206" s="1895">
        <v>0</v>
      </c>
      <c r="P206" s="1895">
        <v>0</v>
      </c>
      <c r="Q206" s="1895">
        <v>0</v>
      </c>
      <c r="R206" s="1895">
        <v>0</v>
      </c>
      <c r="S206" s="1895">
        <v>0</v>
      </c>
      <c r="T206" s="1895">
        <f>+T216</f>
        <v>0</v>
      </c>
      <c r="U206" s="1895">
        <f>+U216</f>
        <v>0</v>
      </c>
      <c r="V206" s="1895">
        <f>+V216</f>
        <v>0</v>
      </c>
      <c r="W206" s="1895">
        <f>+W216</f>
        <v>0</v>
      </c>
      <c r="X206" s="197">
        <f>SUM(Q206:W206)</f>
        <v>0</v>
      </c>
      <c r="Y206" s="3977"/>
    </row>
    <row r="207" spans="1:26" ht="16.5" customHeight="1">
      <c r="A207" s="572"/>
      <c r="B207" s="103" t="s">
        <v>21</v>
      </c>
      <c r="C207" s="239"/>
      <c r="D207" s="251">
        <f t="shared" ref="D207:W207" si="136">+D208</f>
        <v>16198501</v>
      </c>
      <c r="E207" s="251">
        <f t="shared" si="136"/>
        <v>0</v>
      </c>
      <c r="F207" s="251">
        <f t="shared" si="136"/>
        <v>0</v>
      </c>
      <c r="G207" s="251">
        <f t="shared" si="136"/>
        <v>0</v>
      </c>
      <c r="H207" s="251">
        <f t="shared" si="136"/>
        <v>0</v>
      </c>
      <c r="I207" s="251">
        <f t="shared" si="136"/>
        <v>0</v>
      </c>
      <c r="J207" s="251">
        <f t="shared" si="136"/>
        <v>0</v>
      </c>
      <c r="K207" s="251">
        <f t="shared" si="136"/>
        <v>0</v>
      </c>
      <c r="L207" s="251">
        <f t="shared" si="136"/>
        <v>0</v>
      </c>
      <c r="M207" s="251">
        <f t="shared" si="136"/>
        <v>5176300</v>
      </c>
      <c r="N207" s="251">
        <f t="shared" si="136"/>
        <v>2798000</v>
      </c>
      <c r="O207" s="251">
        <f t="shared" si="136"/>
        <v>2378300</v>
      </c>
      <c r="P207" s="251">
        <f t="shared" si="136"/>
        <v>2566500</v>
      </c>
      <c r="Q207" s="251">
        <f t="shared" si="136"/>
        <v>2600000</v>
      </c>
      <c r="R207" s="251">
        <f t="shared" si="136"/>
        <v>2647000</v>
      </c>
      <c r="S207" s="251">
        <f t="shared" si="136"/>
        <v>2788899</v>
      </c>
      <c r="T207" s="251">
        <f t="shared" si="136"/>
        <v>83899</v>
      </c>
      <c r="U207" s="251">
        <f t="shared" si="136"/>
        <v>97429</v>
      </c>
      <c r="V207" s="251">
        <f t="shared" si="136"/>
        <v>113579</v>
      </c>
      <c r="W207" s="251">
        <f t="shared" si="136"/>
        <v>124895</v>
      </c>
      <c r="X207" s="573">
        <f>+X208</f>
        <v>7952000</v>
      </c>
      <c r="Y207" s="3977"/>
    </row>
    <row r="208" spans="1:26" ht="15" customHeight="1">
      <c r="A208" s="252"/>
      <c r="B208" s="202" t="s">
        <v>22</v>
      </c>
      <c r="C208" s="3979" t="s">
        <v>75</v>
      </c>
      <c r="D208" s="2473">
        <f>+D211+D209</f>
        <v>16198501</v>
      </c>
      <c r="E208" s="2473">
        <f t="shared" ref="E208:W208" si="137">+E211+E209</f>
        <v>0</v>
      </c>
      <c r="F208" s="2473">
        <f t="shared" si="137"/>
        <v>0</v>
      </c>
      <c r="G208" s="2473">
        <f t="shared" si="137"/>
        <v>0</v>
      </c>
      <c r="H208" s="2473">
        <f t="shared" si="137"/>
        <v>0</v>
      </c>
      <c r="I208" s="2473">
        <f t="shared" si="137"/>
        <v>0</v>
      </c>
      <c r="J208" s="2473">
        <f t="shared" si="137"/>
        <v>0</v>
      </c>
      <c r="K208" s="2473">
        <f t="shared" si="137"/>
        <v>0</v>
      </c>
      <c r="L208" s="2473">
        <f t="shared" si="137"/>
        <v>0</v>
      </c>
      <c r="M208" s="2473">
        <f t="shared" si="137"/>
        <v>5176300</v>
      </c>
      <c r="N208" s="2473">
        <f t="shared" si="137"/>
        <v>2798000</v>
      </c>
      <c r="O208" s="2473">
        <f t="shared" si="137"/>
        <v>2378300</v>
      </c>
      <c r="P208" s="2473">
        <f t="shared" si="137"/>
        <v>2566500</v>
      </c>
      <c r="Q208" s="2473">
        <f t="shared" si="137"/>
        <v>2600000</v>
      </c>
      <c r="R208" s="2473">
        <f t="shared" si="137"/>
        <v>2647000</v>
      </c>
      <c r="S208" s="2473">
        <f t="shared" si="137"/>
        <v>2788899</v>
      </c>
      <c r="T208" s="2473">
        <f t="shared" si="137"/>
        <v>83899</v>
      </c>
      <c r="U208" s="2473">
        <f t="shared" si="137"/>
        <v>97429</v>
      </c>
      <c r="V208" s="2473">
        <f t="shared" si="137"/>
        <v>113579</v>
      </c>
      <c r="W208" s="2473">
        <f t="shared" si="137"/>
        <v>124895</v>
      </c>
      <c r="X208" s="1280">
        <f>+X210+X211</f>
        <v>7952000</v>
      </c>
      <c r="Y208" s="3977"/>
    </row>
    <row r="209" spans="1:25" s="3175" customFormat="1" ht="15" customHeight="1">
      <c r="A209" s="252"/>
      <c r="B209" s="3174" t="s">
        <v>23</v>
      </c>
      <c r="C209" s="3980"/>
      <c r="D209" s="1556">
        <f>D222</f>
        <v>503701</v>
      </c>
      <c r="E209" s="1556">
        <f t="shared" ref="E209:W209" si="138">E222</f>
        <v>0</v>
      </c>
      <c r="F209" s="1556">
        <f t="shared" si="138"/>
        <v>0</v>
      </c>
      <c r="G209" s="1556">
        <f t="shared" si="138"/>
        <v>0</v>
      </c>
      <c r="H209" s="1556">
        <f t="shared" si="138"/>
        <v>0</v>
      </c>
      <c r="I209" s="1556">
        <f t="shared" si="138"/>
        <v>0</v>
      </c>
      <c r="J209" s="1556">
        <f t="shared" si="138"/>
        <v>0</v>
      </c>
      <c r="K209" s="1556">
        <f t="shared" si="138"/>
        <v>0</v>
      </c>
      <c r="L209" s="1556">
        <f t="shared" si="138"/>
        <v>0</v>
      </c>
      <c r="M209" s="1556">
        <f t="shared" si="138"/>
        <v>0</v>
      </c>
      <c r="N209" s="1556">
        <f t="shared" si="138"/>
        <v>0</v>
      </c>
      <c r="O209" s="1556">
        <f t="shared" si="138"/>
        <v>0</v>
      </c>
      <c r="P209" s="1556">
        <f t="shared" si="138"/>
        <v>0</v>
      </c>
      <c r="Q209" s="1556">
        <f t="shared" si="138"/>
        <v>0</v>
      </c>
      <c r="R209" s="1556">
        <f t="shared" si="138"/>
        <v>0</v>
      </c>
      <c r="S209" s="1556">
        <f t="shared" si="138"/>
        <v>83899</v>
      </c>
      <c r="T209" s="1556">
        <f t="shared" si="138"/>
        <v>83899</v>
      </c>
      <c r="U209" s="1556">
        <f t="shared" si="138"/>
        <v>97429</v>
      </c>
      <c r="V209" s="1556">
        <f t="shared" si="138"/>
        <v>113579</v>
      </c>
      <c r="W209" s="1556">
        <f t="shared" si="138"/>
        <v>124895</v>
      </c>
      <c r="X209" s="1280"/>
      <c r="Y209" s="3977"/>
    </row>
    <row r="210" spans="1:25" ht="13.5" hidden="1" customHeight="1">
      <c r="A210" s="252"/>
      <c r="B210" s="205" t="s">
        <v>76</v>
      </c>
      <c r="C210" s="3980"/>
      <c r="D210" s="3436">
        <f>+M210+N210+O210+P210+Q210+R210+S210+T210</f>
        <v>0</v>
      </c>
      <c r="E210" s="2473"/>
      <c r="F210" s="2473"/>
      <c r="G210" s="2473"/>
      <c r="H210" s="2473"/>
      <c r="I210" s="2473"/>
      <c r="J210" s="2473"/>
      <c r="K210" s="2473"/>
      <c r="L210" s="2473"/>
      <c r="M210" s="3436">
        <f t="shared" ref="M210:X210" si="139">M226</f>
        <v>0</v>
      </c>
      <c r="N210" s="3436">
        <f t="shared" si="139"/>
        <v>0</v>
      </c>
      <c r="O210" s="3436">
        <f t="shared" si="139"/>
        <v>0</v>
      </c>
      <c r="P210" s="3436">
        <f t="shared" si="139"/>
        <v>0</v>
      </c>
      <c r="Q210" s="3436">
        <f t="shared" si="139"/>
        <v>0</v>
      </c>
      <c r="R210" s="3436">
        <f t="shared" si="139"/>
        <v>0</v>
      </c>
      <c r="S210" s="3436">
        <f t="shared" si="139"/>
        <v>0</v>
      </c>
      <c r="T210" s="3436">
        <f t="shared" si="139"/>
        <v>0</v>
      </c>
      <c r="U210" s="3436">
        <f t="shared" si="139"/>
        <v>0</v>
      </c>
      <c r="V210" s="3436">
        <f t="shared" si="139"/>
        <v>0</v>
      </c>
      <c r="W210" s="3436">
        <f t="shared" si="139"/>
        <v>0</v>
      </c>
      <c r="X210" s="3437">
        <f t="shared" si="139"/>
        <v>0</v>
      </c>
      <c r="Y210" s="3977"/>
    </row>
    <row r="211" spans="1:25" ht="15.75" customHeight="1" thickBot="1">
      <c r="A211" s="1934"/>
      <c r="B211" s="205" t="s">
        <v>221</v>
      </c>
      <c r="C211" s="3980"/>
      <c r="D211" s="2477">
        <f t="shared" ref="D211:M211" si="140">+D218+D226</f>
        <v>15694800</v>
      </c>
      <c r="E211" s="2477">
        <f t="shared" si="140"/>
        <v>0</v>
      </c>
      <c r="F211" s="2477">
        <f t="shared" si="140"/>
        <v>0</v>
      </c>
      <c r="G211" s="2477">
        <f t="shared" si="140"/>
        <v>0</v>
      </c>
      <c r="H211" s="2477">
        <f t="shared" si="140"/>
        <v>0</v>
      </c>
      <c r="I211" s="2477">
        <f t="shared" si="140"/>
        <v>0</v>
      </c>
      <c r="J211" s="2477">
        <f t="shared" si="140"/>
        <v>0</v>
      </c>
      <c r="K211" s="2477">
        <f t="shared" si="140"/>
        <v>0</v>
      </c>
      <c r="L211" s="2477">
        <f t="shared" si="140"/>
        <v>0</v>
      </c>
      <c r="M211" s="2477">
        <f t="shared" si="140"/>
        <v>5176300</v>
      </c>
      <c r="N211" s="2477">
        <f t="shared" ref="N211:T211" si="141">+N218</f>
        <v>2798000</v>
      </c>
      <c r="O211" s="2477">
        <f t="shared" si="141"/>
        <v>2378300</v>
      </c>
      <c r="P211" s="2477">
        <f t="shared" si="141"/>
        <v>2566500</v>
      </c>
      <c r="Q211" s="2477">
        <f t="shared" si="141"/>
        <v>2600000</v>
      </c>
      <c r="R211" s="2477">
        <f t="shared" si="141"/>
        <v>2647000</v>
      </c>
      <c r="S211" s="2477">
        <f t="shared" si="141"/>
        <v>2705000</v>
      </c>
      <c r="T211" s="2477">
        <f t="shared" si="141"/>
        <v>0</v>
      </c>
      <c r="U211" s="2477">
        <f>+U218</f>
        <v>0</v>
      </c>
      <c r="V211" s="2477">
        <f>+V218</f>
        <v>0</v>
      </c>
      <c r="W211" s="2477">
        <f>+W218</f>
        <v>0</v>
      </c>
      <c r="X211" s="3437">
        <f>X218</f>
        <v>7952000</v>
      </c>
      <c r="Y211" s="3977"/>
    </row>
    <row r="212" spans="1:25" ht="18.75" hidden="1" customHeight="1">
      <c r="A212" s="1209"/>
      <c r="B212" s="257" t="s">
        <v>33</v>
      </c>
      <c r="C212" s="1881"/>
      <c r="D212" s="1690">
        <f>+M212+N212+O212+P212+Q212+R212+S212+T212</f>
        <v>0</v>
      </c>
      <c r="E212" s="1691">
        <f t="shared" ref="E212:T213" si="142">E213</f>
        <v>0</v>
      </c>
      <c r="F212" s="1691">
        <f t="shared" si="142"/>
        <v>0</v>
      </c>
      <c r="G212" s="1691">
        <f t="shared" si="142"/>
        <v>0</v>
      </c>
      <c r="H212" s="1691">
        <f t="shared" si="142"/>
        <v>0</v>
      </c>
      <c r="I212" s="1691">
        <f t="shared" si="142"/>
        <v>0</v>
      </c>
      <c r="J212" s="1691">
        <f t="shared" si="142"/>
        <v>0</v>
      </c>
      <c r="K212" s="1691">
        <f t="shared" si="142"/>
        <v>0</v>
      </c>
      <c r="L212" s="1691">
        <f t="shared" si="142"/>
        <v>0</v>
      </c>
      <c r="M212" s="1691">
        <f t="shared" si="142"/>
        <v>0</v>
      </c>
      <c r="N212" s="1691">
        <f t="shared" si="142"/>
        <v>0</v>
      </c>
      <c r="O212" s="1691">
        <f>O227</f>
        <v>0</v>
      </c>
      <c r="P212" s="1691">
        <f t="shared" si="142"/>
        <v>0</v>
      </c>
      <c r="Q212" s="1691">
        <f t="shared" si="142"/>
        <v>0</v>
      </c>
      <c r="R212" s="1691">
        <f t="shared" si="142"/>
        <v>0</v>
      </c>
      <c r="S212" s="1691">
        <f t="shared" si="142"/>
        <v>0</v>
      </c>
      <c r="T212" s="1691">
        <f t="shared" si="142"/>
        <v>0</v>
      </c>
      <c r="U212" s="1691">
        <f t="shared" ref="U212:W213" si="143">U213</f>
        <v>0</v>
      </c>
      <c r="V212" s="1691">
        <f t="shared" si="143"/>
        <v>0</v>
      </c>
      <c r="W212" s="1691">
        <f t="shared" si="143"/>
        <v>0</v>
      </c>
      <c r="X212" s="3634" t="s">
        <v>75</v>
      </c>
      <c r="Y212" s="3977"/>
    </row>
    <row r="213" spans="1:25" ht="13.5" hidden="1" customHeight="1">
      <c r="A213" s="1209"/>
      <c r="B213" s="3438" t="s">
        <v>22</v>
      </c>
      <c r="C213" s="3439"/>
      <c r="D213" s="3440">
        <f>+M213+N213+O213+P213+Q213+R213+S213+T213</f>
        <v>0</v>
      </c>
      <c r="E213" s="3440">
        <f t="shared" si="142"/>
        <v>0</v>
      </c>
      <c r="F213" s="3440">
        <f t="shared" si="142"/>
        <v>0</v>
      </c>
      <c r="G213" s="3440">
        <f t="shared" si="142"/>
        <v>0</v>
      </c>
      <c r="H213" s="3440">
        <f t="shared" si="142"/>
        <v>0</v>
      </c>
      <c r="I213" s="3440">
        <f t="shared" si="142"/>
        <v>0</v>
      </c>
      <c r="J213" s="3440">
        <f t="shared" si="142"/>
        <v>0</v>
      </c>
      <c r="K213" s="3440">
        <f t="shared" si="142"/>
        <v>0</v>
      </c>
      <c r="L213" s="3440">
        <f t="shared" si="142"/>
        <v>0</v>
      </c>
      <c r="M213" s="3440">
        <f t="shared" si="142"/>
        <v>0</v>
      </c>
      <c r="N213" s="3440">
        <f t="shared" si="142"/>
        <v>0</v>
      </c>
      <c r="O213" s="3440">
        <f>O228</f>
        <v>0</v>
      </c>
      <c r="P213" s="3440">
        <f>P214</f>
        <v>0</v>
      </c>
      <c r="Q213" s="3440">
        <f t="shared" si="142"/>
        <v>0</v>
      </c>
      <c r="R213" s="3440">
        <f t="shared" si="142"/>
        <v>0</v>
      </c>
      <c r="S213" s="3440">
        <f t="shared" si="142"/>
        <v>0</v>
      </c>
      <c r="T213" s="3440">
        <f t="shared" si="142"/>
        <v>0</v>
      </c>
      <c r="U213" s="3440">
        <f t="shared" si="143"/>
        <v>0</v>
      </c>
      <c r="V213" s="3440">
        <f t="shared" si="143"/>
        <v>0</v>
      </c>
      <c r="W213" s="3440">
        <f t="shared" si="143"/>
        <v>0</v>
      </c>
      <c r="X213" s="3635"/>
      <c r="Y213" s="3977"/>
    </row>
    <row r="214" spans="1:25" ht="13.5" hidden="1" customHeight="1" thickBot="1">
      <c r="A214" s="1900"/>
      <c r="B214" s="3441" t="s">
        <v>76</v>
      </c>
      <c r="C214" s="977"/>
      <c r="D214" s="3442">
        <f>+M214+N214+O214+P214+Q214+R214+S214+T214</f>
        <v>0</v>
      </c>
      <c r="E214" s="3442">
        <f t="shared" ref="E214:R214" si="144">E228+E246+E253+E260+E267+E237+E274+E281+E288+E295</f>
        <v>0</v>
      </c>
      <c r="F214" s="3442">
        <f t="shared" si="144"/>
        <v>0</v>
      </c>
      <c r="G214" s="3442">
        <f t="shared" si="144"/>
        <v>0</v>
      </c>
      <c r="H214" s="3442">
        <f t="shared" si="144"/>
        <v>0</v>
      </c>
      <c r="I214" s="3442">
        <f t="shared" si="144"/>
        <v>0</v>
      </c>
      <c r="J214" s="3442">
        <f t="shared" si="144"/>
        <v>0</v>
      </c>
      <c r="K214" s="3442">
        <f t="shared" si="144"/>
        <v>0</v>
      </c>
      <c r="L214" s="3442">
        <f t="shared" si="144"/>
        <v>0</v>
      </c>
      <c r="M214" s="3442">
        <f t="shared" si="144"/>
        <v>0</v>
      </c>
      <c r="N214" s="3442">
        <f t="shared" si="144"/>
        <v>0</v>
      </c>
      <c r="O214" s="3442">
        <f>O229</f>
        <v>0</v>
      </c>
      <c r="P214" s="3442">
        <f>P229</f>
        <v>0</v>
      </c>
      <c r="Q214" s="3442">
        <f t="shared" si="144"/>
        <v>0</v>
      </c>
      <c r="R214" s="3442">
        <f t="shared" si="144"/>
        <v>0</v>
      </c>
      <c r="S214" s="3442">
        <f>S229</f>
        <v>0</v>
      </c>
      <c r="T214" s="3442">
        <f>T229</f>
        <v>0</v>
      </c>
      <c r="U214" s="3442">
        <f>U229</f>
        <v>0</v>
      </c>
      <c r="V214" s="3442">
        <f>V229</f>
        <v>0</v>
      </c>
      <c r="W214" s="3442">
        <f>W229</f>
        <v>0</v>
      </c>
      <c r="X214" s="3636"/>
      <c r="Y214" s="3978"/>
    </row>
    <row r="215" spans="1:25" ht="39.75" customHeight="1">
      <c r="A215" s="4138" t="s">
        <v>77</v>
      </c>
      <c r="B215" s="233" t="s">
        <v>436</v>
      </c>
      <c r="C215" s="3210" t="s">
        <v>217</v>
      </c>
      <c r="D215" s="1902"/>
      <c r="E215" s="1903"/>
      <c r="F215" s="1903"/>
      <c r="G215" s="1903"/>
      <c r="H215" s="1903"/>
      <c r="I215" s="1903"/>
      <c r="J215" s="1903"/>
      <c r="K215" s="1903"/>
      <c r="L215" s="1904"/>
      <c r="M215" s="1904"/>
      <c r="N215" s="1904"/>
      <c r="O215" s="1904"/>
      <c r="P215" s="1905"/>
      <c r="Q215" s="1905"/>
      <c r="R215" s="1905"/>
      <c r="S215" s="1905"/>
      <c r="T215" s="1904"/>
      <c r="U215" s="1904"/>
      <c r="V215" s="1904"/>
      <c r="W215" s="1904"/>
      <c r="X215" s="1906"/>
      <c r="Y215" s="3746" t="s">
        <v>219</v>
      </c>
    </row>
    <row r="216" spans="1:25" ht="15.75" customHeight="1">
      <c r="A216" s="4139"/>
      <c r="B216" s="1320" t="s">
        <v>21</v>
      </c>
      <c r="C216" s="1881"/>
      <c r="D216" s="1690">
        <f t="shared" ref="D216:X217" si="145">+D217</f>
        <v>15694800</v>
      </c>
      <c r="E216" s="1690">
        <f t="shared" si="145"/>
        <v>0</v>
      </c>
      <c r="F216" s="1690">
        <f t="shared" si="145"/>
        <v>0</v>
      </c>
      <c r="G216" s="1690">
        <f t="shared" si="145"/>
        <v>0</v>
      </c>
      <c r="H216" s="1690">
        <f t="shared" si="145"/>
        <v>0</v>
      </c>
      <c r="I216" s="1690">
        <f t="shared" si="145"/>
        <v>0</v>
      </c>
      <c r="J216" s="1690">
        <f t="shared" si="145"/>
        <v>0</v>
      </c>
      <c r="K216" s="1690">
        <f t="shared" si="145"/>
        <v>0</v>
      </c>
      <c r="L216" s="1690">
        <f t="shared" si="145"/>
        <v>0</v>
      </c>
      <c r="M216" s="1690">
        <f t="shared" si="145"/>
        <v>5176300</v>
      </c>
      <c r="N216" s="1690">
        <f t="shared" si="145"/>
        <v>2798000</v>
      </c>
      <c r="O216" s="1690">
        <f t="shared" si="145"/>
        <v>2378300</v>
      </c>
      <c r="P216" s="1690">
        <f t="shared" si="145"/>
        <v>2566500</v>
      </c>
      <c r="Q216" s="1690">
        <f t="shared" si="145"/>
        <v>2600000</v>
      </c>
      <c r="R216" s="1690">
        <f t="shared" si="145"/>
        <v>2647000</v>
      </c>
      <c r="S216" s="1690">
        <f t="shared" si="145"/>
        <v>2705000</v>
      </c>
      <c r="T216" s="1690">
        <f t="shared" si="145"/>
        <v>0</v>
      </c>
      <c r="U216" s="1690">
        <f t="shared" si="145"/>
        <v>0</v>
      </c>
      <c r="V216" s="1690">
        <f t="shared" si="145"/>
        <v>0</v>
      </c>
      <c r="W216" s="1690">
        <f t="shared" si="145"/>
        <v>0</v>
      </c>
      <c r="X216" s="1279">
        <f t="shared" si="145"/>
        <v>7952000</v>
      </c>
      <c r="Y216" s="3747"/>
    </row>
    <row r="217" spans="1:25" ht="15" customHeight="1">
      <c r="A217" s="4139"/>
      <c r="B217" s="2332" t="s">
        <v>35</v>
      </c>
      <c r="C217" s="3611" t="s">
        <v>220</v>
      </c>
      <c r="D217" s="3170">
        <f t="shared" si="145"/>
        <v>15694800</v>
      </c>
      <c r="E217" s="2268">
        <f t="shared" si="145"/>
        <v>0</v>
      </c>
      <c r="F217" s="2268">
        <f t="shared" si="145"/>
        <v>0</v>
      </c>
      <c r="G217" s="2268">
        <f t="shared" si="145"/>
        <v>0</v>
      </c>
      <c r="H217" s="2268">
        <f t="shared" si="145"/>
        <v>0</v>
      </c>
      <c r="I217" s="3170">
        <f t="shared" si="145"/>
        <v>0</v>
      </c>
      <c r="J217" s="3170">
        <f t="shared" si="145"/>
        <v>0</v>
      </c>
      <c r="K217" s="3170">
        <f t="shared" si="145"/>
        <v>0</v>
      </c>
      <c r="L217" s="3170">
        <f t="shared" si="145"/>
        <v>0</v>
      </c>
      <c r="M217" s="3170">
        <f t="shared" si="145"/>
        <v>5176300</v>
      </c>
      <c r="N217" s="3171">
        <f t="shared" ref="N217:S217" si="146">N218</f>
        <v>2798000</v>
      </c>
      <c r="O217" s="3171">
        <f t="shared" si="146"/>
        <v>2378300</v>
      </c>
      <c r="P217" s="3171">
        <f t="shared" si="146"/>
        <v>2566500</v>
      </c>
      <c r="Q217" s="3171">
        <f t="shared" si="146"/>
        <v>2600000</v>
      </c>
      <c r="R217" s="3171">
        <f t="shared" si="146"/>
        <v>2647000</v>
      </c>
      <c r="S217" s="3171">
        <f t="shared" si="146"/>
        <v>2705000</v>
      </c>
      <c r="T217" s="3171">
        <v>0</v>
      </c>
      <c r="U217" s="3171">
        <v>0</v>
      </c>
      <c r="V217" s="3171">
        <v>0</v>
      </c>
      <c r="W217" s="3171">
        <v>0</v>
      </c>
      <c r="X217" s="1280">
        <f t="shared" si="145"/>
        <v>7952000</v>
      </c>
      <c r="Y217" s="3747"/>
    </row>
    <row r="218" spans="1:25" ht="15" customHeight="1" thickBot="1">
      <c r="A218" s="4140"/>
      <c r="B218" s="298" t="s">
        <v>221</v>
      </c>
      <c r="C218" s="3613"/>
      <c r="D218" s="2214">
        <f>M218+P218+Q218+R218+S218+T218+U218+V218+W218</f>
        <v>15694800</v>
      </c>
      <c r="E218" s="963">
        <v>0</v>
      </c>
      <c r="F218" s="1088">
        <v>0</v>
      </c>
      <c r="G218" s="1088"/>
      <c r="H218" s="963"/>
      <c r="I218" s="963">
        <v>0</v>
      </c>
      <c r="J218" s="963">
        <v>0</v>
      </c>
      <c r="K218" s="963">
        <v>0</v>
      </c>
      <c r="L218" s="963">
        <v>0</v>
      </c>
      <c r="M218" s="2218">
        <f>+E218+I218+J218+K218+L218+N218+O218</f>
        <v>5176300</v>
      </c>
      <c r="N218" s="1088">
        <f>2758000+40000</f>
        <v>2798000</v>
      </c>
      <c r="O218" s="1088">
        <f>1650000+728300</f>
        <v>2378300</v>
      </c>
      <c r="P218" s="1088">
        <f>2828000-258000-3500</f>
        <v>2566500</v>
      </c>
      <c r="Q218" s="1088">
        <v>2600000</v>
      </c>
      <c r="R218" s="1088">
        <v>2647000</v>
      </c>
      <c r="S218" s="1088">
        <v>2705000</v>
      </c>
      <c r="T218" s="1088">
        <v>0</v>
      </c>
      <c r="U218" s="1088">
        <v>0</v>
      </c>
      <c r="V218" s="1088">
        <v>0</v>
      </c>
      <c r="W218" s="1088">
        <v>0</v>
      </c>
      <c r="X218" s="3173">
        <f>SUM(Q218:W218)</f>
        <v>7952000</v>
      </c>
      <c r="Y218" s="3748"/>
    </row>
    <row r="219" spans="1:25" ht="36" customHeight="1">
      <c r="A219" s="3659" t="s">
        <v>78</v>
      </c>
      <c r="B219" s="1719" t="s">
        <v>525</v>
      </c>
      <c r="C219" s="1774" t="s">
        <v>125</v>
      </c>
      <c r="D219" s="1774"/>
      <c r="E219" s="105"/>
      <c r="F219" s="105"/>
      <c r="G219" s="105"/>
      <c r="H219" s="105"/>
      <c r="I219" s="106"/>
      <c r="J219" s="106"/>
      <c r="K219" s="106"/>
      <c r="L219" s="106"/>
      <c r="M219" s="106"/>
      <c r="N219" s="106"/>
      <c r="O219" s="1787"/>
      <c r="P219" s="1787"/>
      <c r="Q219" s="1787"/>
      <c r="R219" s="1787"/>
      <c r="S219" s="1787"/>
      <c r="T219" s="1787"/>
      <c r="U219" s="1787"/>
      <c r="V219" s="1787"/>
      <c r="W219" s="1787"/>
      <c r="X219" s="1721"/>
      <c r="Y219" s="4159" t="s">
        <v>528</v>
      </c>
    </row>
    <row r="220" spans="1:25" ht="15" customHeight="1">
      <c r="A220" s="3659"/>
      <c r="B220" s="1320" t="s">
        <v>21</v>
      </c>
      <c r="C220" s="1781"/>
      <c r="D220" s="1690">
        <f>D221</f>
        <v>503701</v>
      </c>
      <c r="E220" s="1690">
        <f t="shared" ref="E220:W221" si="147">E221</f>
        <v>0</v>
      </c>
      <c r="F220" s="1690">
        <f t="shared" si="147"/>
        <v>0</v>
      </c>
      <c r="G220" s="1690">
        <f t="shared" si="147"/>
        <v>0</v>
      </c>
      <c r="H220" s="1690">
        <f t="shared" si="147"/>
        <v>0</v>
      </c>
      <c r="I220" s="1690">
        <f t="shared" si="147"/>
        <v>0</v>
      </c>
      <c r="J220" s="1690">
        <f t="shared" si="147"/>
        <v>0</v>
      </c>
      <c r="K220" s="1690">
        <f t="shared" si="147"/>
        <v>0</v>
      </c>
      <c r="L220" s="1690">
        <f t="shared" si="147"/>
        <v>0</v>
      </c>
      <c r="M220" s="1882">
        <f t="shared" si="147"/>
        <v>0</v>
      </c>
      <c r="N220" s="1882">
        <f t="shared" si="147"/>
        <v>0</v>
      </c>
      <c r="O220" s="1882">
        <f t="shared" si="147"/>
        <v>0</v>
      </c>
      <c r="P220" s="1882">
        <f t="shared" si="147"/>
        <v>0</v>
      </c>
      <c r="Q220" s="1882">
        <f t="shared" si="147"/>
        <v>0</v>
      </c>
      <c r="R220" s="1882">
        <f t="shared" si="147"/>
        <v>0</v>
      </c>
      <c r="S220" s="1690">
        <f t="shared" si="147"/>
        <v>83899</v>
      </c>
      <c r="T220" s="1690">
        <f t="shared" si="147"/>
        <v>83899</v>
      </c>
      <c r="U220" s="1690">
        <f t="shared" si="147"/>
        <v>97429</v>
      </c>
      <c r="V220" s="1690">
        <f t="shared" si="147"/>
        <v>113579</v>
      </c>
      <c r="W220" s="1691">
        <f t="shared" si="147"/>
        <v>124895</v>
      </c>
      <c r="X220" s="1748">
        <f>X221</f>
        <v>503701</v>
      </c>
      <c r="Y220" s="4159"/>
    </row>
    <row r="221" spans="1:25" ht="15" customHeight="1">
      <c r="A221" s="3659"/>
      <c r="B221" s="1694" t="s">
        <v>22</v>
      </c>
      <c r="C221" s="4100" t="s">
        <v>215</v>
      </c>
      <c r="D221" s="1697">
        <f>D222</f>
        <v>503701</v>
      </c>
      <c r="E221" s="1697">
        <f t="shared" si="147"/>
        <v>0</v>
      </c>
      <c r="F221" s="1697">
        <f t="shared" si="147"/>
        <v>0</v>
      </c>
      <c r="G221" s="1697">
        <f t="shared" si="147"/>
        <v>0</v>
      </c>
      <c r="H221" s="1697">
        <f t="shared" si="147"/>
        <v>0</v>
      </c>
      <c r="I221" s="1697">
        <f t="shared" si="147"/>
        <v>0</v>
      </c>
      <c r="J221" s="1697">
        <f t="shared" si="147"/>
        <v>0</v>
      </c>
      <c r="K221" s="1697">
        <f t="shared" si="147"/>
        <v>0</v>
      </c>
      <c r="L221" s="1697">
        <f t="shared" si="147"/>
        <v>0</v>
      </c>
      <c r="M221" s="1730">
        <f t="shared" si="147"/>
        <v>0</v>
      </c>
      <c r="N221" s="1730">
        <f t="shared" si="147"/>
        <v>0</v>
      </c>
      <c r="O221" s="1730">
        <f t="shared" si="147"/>
        <v>0</v>
      </c>
      <c r="P221" s="1730">
        <f t="shared" si="147"/>
        <v>0</v>
      </c>
      <c r="Q221" s="1730">
        <f t="shared" si="147"/>
        <v>0</v>
      </c>
      <c r="R221" s="1730">
        <f t="shared" si="147"/>
        <v>0</v>
      </c>
      <c r="S221" s="1697">
        <f t="shared" si="147"/>
        <v>83899</v>
      </c>
      <c r="T221" s="1697">
        <f t="shared" si="147"/>
        <v>83899</v>
      </c>
      <c r="U221" s="1697">
        <f t="shared" si="147"/>
        <v>97429</v>
      </c>
      <c r="V221" s="1697">
        <f t="shared" si="147"/>
        <v>113579</v>
      </c>
      <c r="W221" s="1697">
        <f t="shared" si="147"/>
        <v>124895</v>
      </c>
      <c r="X221" s="1751">
        <f>X222</f>
        <v>503701</v>
      </c>
      <c r="Y221" s="4159"/>
    </row>
    <row r="222" spans="1:25" ht="15" customHeight="1" thickBot="1">
      <c r="A222" s="3662"/>
      <c r="B222" s="102" t="s">
        <v>23</v>
      </c>
      <c r="C222" s="4118"/>
      <c r="D222" s="1715">
        <f>M222+P222+Q222+R222+S222+T222+U222+V222+W222</f>
        <v>503701</v>
      </c>
      <c r="E222" s="3106"/>
      <c r="F222" s="3106"/>
      <c r="G222" s="3106"/>
      <c r="H222" s="3106"/>
      <c r="I222" s="3105"/>
      <c r="J222" s="3105"/>
      <c r="K222" s="1718"/>
      <c r="L222" s="1718"/>
      <c r="M222" s="3105">
        <v>0</v>
      </c>
      <c r="N222" s="3105"/>
      <c r="O222" s="3166"/>
      <c r="P222" s="3105">
        <v>0</v>
      </c>
      <c r="Q222" s="3166">
        <v>0</v>
      </c>
      <c r="R222" s="3166">
        <v>0</v>
      </c>
      <c r="S222" s="3167">
        <v>83899</v>
      </c>
      <c r="T222" s="3167">
        <v>83899</v>
      </c>
      <c r="U222" s="3167">
        <v>97429</v>
      </c>
      <c r="V222" s="3167">
        <v>113579</v>
      </c>
      <c r="W222" s="3167">
        <v>124895</v>
      </c>
      <c r="X222" s="3168">
        <f>SUM(Q222:W222)</f>
        <v>503701</v>
      </c>
      <c r="Y222" s="4160"/>
    </row>
    <row r="223" spans="1:25" ht="40.5" hidden="1" customHeight="1">
      <c r="A223" s="4131" t="s">
        <v>79</v>
      </c>
      <c r="B223" s="361"/>
      <c r="C223" s="348" t="s">
        <v>217</v>
      </c>
      <c r="D223" s="1935"/>
      <c r="E223" s="1936"/>
      <c r="F223" s="1936"/>
      <c r="G223" s="1936"/>
      <c r="H223" s="1936"/>
      <c r="I223" s="1936"/>
      <c r="J223" s="1936"/>
      <c r="K223" s="1936"/>
      <c r="L223" s="1937"/>
      <c r="M223" s="1937"/>
      <c r="N223" s="1937"/>
      <c r="O223" s="1937"/>
      <c r="P223" s="1938"/>
      <c r="Q223" s="1938"/>
      <c r="R223" s="1938"/>
      <c r="S223" s="1938"/>
      <c r="T223" s="1937"/>
      <c r="U223" s="1937"/>
      <c r="V223" s="1937"/>
      <c r="W223" s="1937"/>
      <c r="X223" s="1939"/>
      <c r="Y223" s="4132" t="s">
        <v>274</v>
      </c>
    </row>
    <row r="224" spans="1:25" ht="17.25" hidden="1" customHeight="1">
      <c r="A224" s="4131"/>
      <c r="B224" s="177" t="s">
        <v>21</v>
      </c>
      <c r="C224" s="177"/>
      <c r="D224" s="303">
        <f>M224+N224+O224+P224+Q224+R224</f>
        <v>0</v>
      </c>
      <c r="E224" s="363">
        <f t="shared" ref="E224:X225" si="148">+E225</f>
        <v>0</v>
      </c>
      <c r="F224" s="364">
        <f t="shared" si="148"/>
        <v>0</v>
      </c>
      <c r="G224" s="364">
        <f t="shared" si="148"/>
        <v>0</v>
      </c>
      <c r="H224" s="364">
        <f t="shared" si="148"/>
        <v>0</v>
      </c>
      <c r="I224" s="364">
        <f t="shared" si="148"/>
        <v>0</v>
      </c>
      <c r="J224" s="364">
        <f t="shared" si="148"/>
        <v>0</v>
      </c>
      <c r="K224" s="364">
        <f t="shared" si="148"/>
        <v>0</v>
      </c>
      <c r="L224" s="365">
        <f t="shared" si="148"/>
        <v>0</v>
      </c>
      <c r="M224" s="303">
        <f>+M225</f>
        <v>0</v>
      </c>
      <c r="N224" s="422">
        <f t="shared" si="148"/>
        <v>0</v>
      </c>
      <c r="O224" s="366">
        <f t="shared" si="148"/>
        <v>0</v>
      </c>
      <c r="P224" s="303">
        <f>+P225</f>
        <v>0</v>
      </c>
      <c r="Q224" s="367">
        <f t="shared" si="148"/>
        <v>0</v>
      </c>
      <c r="R224" s="366">
        <f t="shared" si="148"/>
        <v>0</v>
      </c>
      <c r="S224" s="366">
        <f t="shared" si="148"/>
        <v>0</v>
      </c>
      <c r="T224" s="367">
        <f t="shared" si="148"/>
        <v>0</v>
      </c>
      <c r="U224" s="367"/>
      <c r="V224" s="367"/>
      <c r="W224" s="367"/>
      <c r="X224" s="80">
        <f t="shared" si="148"/>
        <v>0</v>
      </c>
      <c r="Y224" s="4132"/>
    </row>
    <row r="225" spans="1:25" ht="16.5" hidden="1" customHeight="1">
      <c r="A225" s="4131"/>
      <c r="B225" s="221" t="s">
        <v>275</v>
      </c>
      <c r="C225" s="4133" t="s">
        <v>273</v>
      </c>
      <c r="D225" s="368">
        <f>M225+N225+O225+P225+Q225+R225</f>
        <v>0</v>
      </c>
      <c r="E225" s="369">
        <f t="shared" si="148"/>
        <v>0</v>
      </c>
      <c r="F225" s="369">
        <f t="shared" si="148"/>
        <v>0</v>
      </c>
      <c r="G225" s="369">
        <f t="shared" si="148"/>
        <v>0</v>
      </c>
      <c r="H225" s="369">
        <f t="shared" si="148"/>
        <v>0</v>
      </c>
      <c r="I225" s="370">
        <f t="shared" si="148"/>
        <v>0</v>
      </c>
      <c r="J225" s="370">
        <f t="shared" si="148"/>
        <v>0</v>
      </c>
      <c r="K225" s="370">
        <f t="shared" si="148"/>
        <v>0</v>
      </c>
      <c r="L225" s="370">
        <f t="shared" si="148"/>
        <v>0</v>
      </c>
      <c r="M225" s="370">
        <f t="shared" si="148"/>
        <v>0</v>
      </c>
      <c r="N225" s="370">
        <f>N226</f>
        <v>0</v>
      </c>
      <c r="O225" s="370">
        <f>O226</f>
        <v>0</v>
      </c>
      <c r="P225" s="370">
        <f>+P226</f>
        <v>0</v>
      </c>
      <c r="Q225" s="370">
        <f>Q226</f>
        <v>0</v>
      </c>
      <c r="R225" s="370">
        <f>R226</f>
        <v>0</v>
      </c>
      <c r="S225" s="370">
        <f>S226</f>
        <v>0</v>
      </c>
      <c r="T225" s="371">
        <f>T226</f>
        <v>0</v>
      </c>
      <c r="U225" s="371"/>
      <c r="V225" s="371"/>
      <c r="W225" s="371"/>
      <c r="X225" s="99">
        <f>+X226</f>
        <v>0</v>
      </c>
      <c r="Y225" s="4132"/>
    </row>
    <row r="226" spans="1:25" ht="13.5" hidden="1" customHeight="1">
      <c r="A226" s="4131"/>
      <c r="B226" s="372" t="s">
        <v>76</v>
      </c>
      <c r="C226" s="4134"/>
      <c r="D226" s="373">
        <f>+M226+N226+O226+P226+Q226+R226+S226+T226</f>
        <v>0</v>
      </c>
      <c r="E226" s="374"/>
      <c r="F226" s="374">
        <v>0</v>
      </c>
      <c r="G226" s="374"/>
      <c r="H226" s="374"/>
      <c r="I226" s="374"/>
      <c r="J226" s="374"/>
      <c r="K226" s="374"/>
      <c r="L226" s="374"/>
      <c r="M226" s="374">
        <v>0</v>
      </c>
      <c r="N226" s="374">
        <v>0</v>
      </c>
      <c r="O226" s="374">
        <v>0</v>
      </c>
      <c r="P226" s="374">
        <v>0</v>
      </c>
      <c r="Q226" s="374">
        <v>0</v>
      </c>
      <c r="R226" s="374">
        <v>0</v>
      </c>
      <c r="S226" s="374">
        <v>0</v>
      </c>
      <c r="T226" s="374">
        <v>0</v>
      </c>
      <c r="U226" s="374"/>
      <c r="V226" s="374"/>
      <c r="W226" s="374"/>
      <c r="X226" s="375">
        <f>+P226+Q226+R226+S226</f>
        <v>0</v>
      </c>
      <c r="Y226" s="4132"/>
    </row>
    <row r="227" spans="1:25" ht="15.75" hidden="1" customHeight="1">
      <c r="A227" s="4131"/>
      <c r="B227" s="376" t="s">
        <v>33</v>
      </c>
      <c r="C227" s="26"/>
      <c r="D227" s="39">
        <f>MO227+N227+O227+P227+Q227+R227</f>
        <v>0</v>
      </c>
      <c r="E227" s="258">
        <f t="shared" ref="E227:N228" si="149">+E228</f>
        <v>0</v>
      </c>
      <c r="F227" s="258">
        <f t="shared" si="149"/>
        <v>0</v>
      </c>
      <c r="G227" s="258">
        <f t="shared" si="149"/>
        <v>0</v>
      </c>
      <c r="H227" s="258">
        <f t="shared" si="149"/>
        <v>0</v>
      </c>
      <c r="I227" s="258">
        <f t="shared" si="149"/>
        <v>0</v>
      </c>
      <c r="J227" s="258">
        <f t="shared" si="149"/>
        <v>0</v>
      </c>
      <c r="K227" s="258">
        <f t="shared" si="149"/>
        <v>0</v>
      </c>
      <c r="L227" s="258">
        <f t="shared" si="149"/>
        <v>0</v>
      </c>
      <c r="M227" s="258">
        <f t="shared" si="149"/>
        <v>0</v>
      </c>
      <c r="N227" s="258">
        <f t="shared" si="149"/>
        <v>0</v>
      </c>
      <c r="O227" s="258">
        <f t="shared" ref="O227:T228" si="150">O228</f>
        <v>0</v>
      </c>
      <c r="P227" s="258">
        <f t="shared" si="150"/>
        <v>0</v>
      </c>
      <c r="Q227" s="258">
        <f t="shared" si="150"/>
        <v>0</v>
      </c>
      <c r="R227" s="258"/>
      <c r="S227" s="258">
        <f t="shared" si="150"/>
        <v>0</v>
      </c>
      <c r="T227" s="258">
        <f t="shared" si="150"/>
        <v>0</v>
      </c>
      <c r="U227" s="1940"/>
      <c r="V227" s="1940"/>
      <c r="W227" s="1940"/>
      <c r="X227" s="3635" t="s">
        <v>75</v>
      </c>
      <c r="Y227" s="4132"/>
    </row>
    <row r="228" spans="1:25" ht="16.5" hidden="1" customHeight="1">
      <c r="A228" s="4131"/>
      <c r="B228" s="221" t="s">
        <v>22</v>
      </c>
      <c r="C228" s="3728" t="s">
        <v>273</v>
      </c>
      <c r="D228" s="166">
        <f>M228+N228+O228+P228+Q228+R228</f>
        <v>0</v>
      </c>
      <c r="E228" s="62">
        <f t="shared" si="149"/>
        <v>0</v>
      </c>
      <c r="F228" s="62">
        <f t="shared" si="149"/>
        <v>0</v>
      </c>
      <c r="G228" s="62">
        <f t="shared" si="149"/>
        <v>0</v>
      </c>
      <c r="H228" s="62">
        <f t="shared" si="149"/>
        <v>0</v>
      </c>
      <c r="I228" s="62">
        <f t="shared" si="149"/>
        <v>0</v>
      </c>
      <c r="J228" s="62">
        <f t="shared" si="149"/>
        <v>0</v>
      </c>
      <c r="K228" s="62">
        <f t="shared" si="149"/>
        <v>0</v>
      </c>
      <c r="L228" s="62">
        <f t="shared" si="149"/>
        <v>0</v>
      </c>
      <c r="M228" s="62">
        <f t="shared" si="149"/>
        <v>0</v>
      </c>
      <c r="N228" s="62">
        <f t="shared" si="149"/>
        <v>0</v>
      </c>
      <c r="O228" s="62">
        <f t="shared" si="150"/>
        <v>0</v>
      </c>
      <c r="P228" s="62">
        <f t="shared" si="150"/>
        <v>0</v>
      </c>
      <c r="Q228" s="62">
        <f t="shared" si="150"/>
        <v>0</v>
      </c>
      <c r="R228" s="62">
        <f t="shared" si="150"/>
        <v>0</v>
      </c>
      <c r="S228" s="62">
        <f t="shared" si="150"/>
        <v>0</v>
      </c>
      <c r="T228" s="62">
        <f t="shared" si="150"/>
        <v>0</v>
      </c>
      <c r="U228" s="408"/>
      <c r="V228" s="408"/>
      <c r="W228" s="408"/>
      <c r="X228" s="3635"/>
      <c r="Y228" s="4132"/>
    </row>
    <row r="229" spans="1:25" ht="13.5" hidden="1" customHeight="1" thickBot="1">
      <c r="A229" s="4131"/>
      <c r="B229" s="3229" t="s">
        <v>76</v>
      </c>
      <c r="C229" s="3626"/>
      <c r="D229" s="377">
        <f>+M229+N229+O229+P229+Q229+R229+S229+T229</f>
        <v>0</v>
      </c>
      <c r="E229" s="89"/>
      <c r="F229" s="90"/>
      <c r="G229" s="89"/>
      <c r="H229" s="89"/>
      <c r="I229" s="89">
        <v>0</v>
      </c>
      <c r="J229" s="89">
        <v>0</v>
      </c>
      <c r="K229" s="89">
        <v>0</v>
      </c>
      <c r="L229" s="89">
        <v>0</v>
      </c>
      <c r="M229" s="90">
        <f>+L229+K229+J229+I229</f>
        <v>0</v>
      </c>
      <c r="N229" s="90"/>
      <c r="O229" s="89">
        <v>0</v>
      </c>
      <c r="P229" s="89">
        <v>0</v>
      </c>
      <c r="Q229" s="89">
        <v>0</v>
      </c>
      <c r="R229" s="89">
        <v>0</v>
      </c>
      <c r="S229" s="89">
        <v>0</v>
      </c>
      <c r="T229" s="89">
        <v>0</v>
      </c>
      <c r="U229" s="70"/>
      <c r="V229" s="70"/>
      <c r="W229" s="70"/>
      <c r="X229" s="3636"/>
      <c r="Y229" s="4132"/>
    </row>
    <row r="230" spans="1:25">
      <c r="E230" s="1487"/>
      <c r="F230" s="1487"/>
      <c r="G230" s="1487"/>
      <c r="H230" s="1487"/>
      <c r="I230" s="1487"/>
      <c r="J230" s="1487"/>
      <c r="K230" s="1487"/>
      <c r="L230" s="1487"/>
      <c r="M230" s="1487"/>
      <c r="N230" s="1487"/>
      <c r="O230" s="1487"/>
      <c r="P230" s="1487"/>
      <c r="Y230" s="1941"/>
    </row>
    <row r="231" spans="1:25" ht="11.25" customHeight="1">
      <c r="A231" s="4128"/>
      <c r="B231" s="4128"/>
      <c r="C231" s="4128"/>
      <c r="D231" s="4128"/>
      <c r="E231" s="4128"/>
      <c r="F231" s="4128"/>
      <c r="G231" s="4128"/>
      <c r="H231" s="4128"/>
      <c r="I231" s="4128"/>
      <c r="J231" s="4128"/>
      <c r="K231" s="4128"/>
      <c r="L231" s="4128"/>
      <c r="M231" s="4128"/>
      <c r="N231" s="4128"/>
      <c r="O231" s="4128"/>
      <c r="P231" s="4128"/>
      <c r="Q231" s="4128"/>
      <c r="R231" s="4128"/>
      <c r="S231" s="4128"/>
      <c r="T231" s="4128"/>
      <c r="U231" s="4128"/>
      <c r="V231" s="4128"/>
      <c r="W231" s="4128"/>
      <c r="X231" s="4128"/>
      <c r="Y231" s="4128"/>
    </row>
    <row r="232" spans="1:25">
      <c r="A232" s="4128"/>
      <c r="B232" s="4128"/>
      <c r="C232" s="4128"/>
      <c r="D232" s="4128"/>
      <c r="E232" s="4128"/>
      <c r="F232" s="4128"/>
      <c r="G232" s="4128"/>
      <c r="H232" s="4128"/>
      <c r="I232" s="4128"/>
      <c r="J232" s="4128"/>
      <c r="K232" s="4128"/>
      <c r="L232" s="4128"/>
      <c r="M232" s="4128"/>
      <c r="N232" s="4128"/>
      <c r="O232" s="4128"/>
      <c r="P232" s="4128"/>
      <c r="Q232" s="4128"/>
      <c r="R232" s="4128"/>
      <c r="S232" s="4128"/>
      <c r="T232" s="4128"/>
      <c r="U232" s="4128"/>
      <c r="V232" s="4128"/>
      <c r="W232" s="4128"/>
      <c r="X232" s="4128"/>
      <c r="Y232" s="4128"/>
    </row>
    <row r="233" spans="1:25">
      <c r="E233" s="1487"/>
      <c r="F233" s="1487"/>
      <c r="G233" s="1487"/>
      <c r="H233" s="1487"/>
      <c r="I233" s="1487"/>
      <c r="J233" s="1487"/>
      <c r="K233" s="1487"/>
      <c r="L233" s="1487"/>
      <c r="M233" s="1487"/>
      <c r="N233" s="1487"/>
      <c r="O233" s="1487"/>
      <c r="P233" s="1487"/>
      <c r="Y233" s="1941"/>
    </row>
    <row r="234" spans="1:25">
      <c r="E234" s="1487"/>
      <c r="F234" s="1487"/>
      <c r="G234" s="1487"/>
      <c r="H234" s="1487"/>
      <c r="I234" s="1487"/>
      <c r="J234" s="1487"/>
      <c r="K234" s="1487"/>
      <c r="L234" s="1487"/>
      <c r="M234" s="1487"/>
      <c r="N234" s="1487"/>
      <c r="O234" s="1487"/>
      <c r="P234" s="1487"/>
      <c r="Y234" s="1941"/>
    </row>
    <row r="235" spans="1:25">
      <c r="E235" s="1487"/>
      <c r="F235" s="1487"/>
      <c r="G235" s="1487"/>
      <c r="H235" s="1487"/>
      <c r="I235" s="1487"/>
      <c r="J235" s="1487"/>
      <c r="K235" s="1487"/>
      <c r="L235" s="1487"/>
      <c r="M235" s="1487"/>
      <c r="N235" s="1487"/>
      <c r="O235" s="1487"/>
      <c r="P235" s="1487"/>
      <c r="Y235" s="1941"/>
    </row>
    <row r="236" spans="1:25">
      <c r="E236" s="1487"/>
      <c r="F236" s="1487"/>
      <c r="G236" s="1487"/>
      <c r="H236" s="1487"/>
      <c r="I236" s="1487"/>
      <c r="J236" s="1487"/>
      <c r="K236" s="1487"/>
      <c r="L236" s="1487"/>
      <c r="M236" s="1487"/>
      <c r="N236" s="1487"/>
      <c r="O236" s="1487"/>
      <c r="P236" s="1487"/>
      <c r="Y236" s="1941"/>
    </row>
    <row r="237" spans="1:25">
      <c r="E237" s="1487"/>
      <c r="F237" s="1487"/>
      <c r="G237" s="1487"/>
      <c r="H237" s="1487"/>
      <c r="I237" s="1487"/>
      <c r="J237" s="1487"/>
      <c r="K237" s="1487"/>
      <c r="L237" s="1487"/>
      <c r="M237" s="1487"/>
      <c r="N237" s="1487"/>
      <c r="O237" s="1487"/>
      <c r="P237" s="1487"/>
      <c r="Y237" s="1941"/>
    </row>
    <row r="238" spans="1:25">
      <c r="E238" s="1487"/>
      <c r="F238" s="1487"/>
      <c r="G238" s="1487"/>
      <c r="H238" s="1487"/>
      <c r="I238" s="1487"/>
      <c r="J238" s="1487"/>
      <c r="K238" s="1487"/>
      <c r="L238" s="1487"/>
      <c r="M238" s="1487"/>
      <c r="N238" s="1487"/>
      <c r="O238" s="1487"/>
      <c r="P238" s="1487"/>
      <c r="Y238" s="1941"/>
    </row>
    <row r="239" spans="1:25">
      <c r="E239" s="1487"/>
      <c r="F239" s="1487"/>
      <c r="G239" s="1487"/>
      <c r="H239" s="1487"/>
      <c r="I239" s="1487"/>
      <c r="J239" s="1487"/>
      <c r="K239" s="1487"/>
      <c r="L239" s="1487"/>
      <c r="M239" s="1487"/>
      <c r="N239" s="1487"/>
      <c r="O239" s="1487"/>
      <c r="P239" s="1487"/>
      <c r="Y239" s="1941"/>
    </row>
    <row r="240" spans="1:25">
      <c r="E240" s="1487"/>
      <c r="F240" s="1487"/>
      <c r="G240" s="1487"/>
      <c r="H240" s="1487"/>
      <c r="I240" s="1487"/>
      <c r="J240" s="1487"/>
      <c r="K240" s="1487"/>
      <c r="L240" s="1487"/>
      <c r="M240" s="1487"/>
      <c r="N240" s="1487"/>
      <c r="O240" s="1487"/>
      <c r="P240" s="1487"/>
      <c r="Y240" s="1941"/>
    </row>
    <row r="241" spans="5:25">
      <c r="E241" s="1487"/>
      <c r="F241" s="1487"/>
      <c r="G241" s="1487"/>
      <c r="H241" s="1487"/>
      <c r="I241" s="1487"/>
      <c r="J241" s="1487"/>
      <c r="K241" s="1487"/>
      <c r="L241" s="1487"/>
      <c r="M241" s="1487"/>
      <c r="N241" s="1487"/>
      <c r="O241" s="1487"/>
      <c r="P241" s="1487"/>
      <c r="Y241" s="1941"/>
    </row>
    <row r="242" spans="5:25">
      <c r="E242" s="1487"/>
      <c r="F242" s="1487"/>
      <c r="G242" s="1487"/>
      <c r="H242" s="1487"/>
      <c r="I242" s="1487"/>
      <c r="J242" s="1487"/>
      <c r="K242" s="1487"/>
      <c r="L242" s="1487"/>
      <c r="M242" s="1487"/>
      <c r="N242" s="1487"/>
      <c r="O242" s="1487"/>
      <c r="P242" s="1487"/>
      <c r="Y242" s="1941"/>
    </row>
    <row r="243" spans="5:25">
      <c r="E243" s="1487"/>
      <c r="F243" s="1487"/>
      <c r="G243" s="1487"/>
      <c r="H243" s="1487"/>
      <c r="I243" s="1487"/>
      <c r="J243" s="1487"/>
      <c r="K243" s="1487"/>
      <c r="L243" s="1487"/>
      <c r="M243" s="1487"/>
      <c r="N243" s="1487"/>
      <c r="O243" s="1487"/>
      <c r="P243" s="1487"/>
      <c r="Y243" s="1941"/>
    </row>
    <row r="244" spans="5:25">
      <c r="E244" s="1487"/>
      <c r="F244" s="1487"/>
      <c r="G244" s="1487"/>
      <c r="H244" s="1487"/>
      <c r="I244" s="1487"/>
      <c r="J244" s="1487"/>
      <c r="K244" s="1487"/>
      <c r="L244" s="1487"/>
      <c r="M244" s="1487"/>
      <c r="N244" s="1487"/>
      <c r="O244" s="1487"/>
      <c r="P244" s="1487"/>
      <c r="Y244" s="1941"/>
    </row>
    <row r="245" spans="5:25">
      <c r="E245" s="1487"/>
      <c r="F245" s="1487"/>
      <c r="G245" s="1487"/>
      <c r="H245" s="1487"/>
      <c r="I245" s="1487"/>
      <c r="J245" s="1487"/>
      <c r="K245" s="1487"/>
      <c r="L245" s="1487"/>
      <c r="M245" s="1487"/>
      <c r="N245" s="1487"/>
      <c r="O245" s="1487"/>
      <c r="P245" s="1487"/>
      <c r="Y245" s="1941"/>
    </row>
    <row r="246" spans="5:25">
      <c r="E246" s="1487"/>
      <c r="F246" s="1487"/>
      <c r="G246" s="1487"/>
      <c r="H246" s="1487"/>
      <c r="I246" s="1487"/>
      <c r="J246" s="1487"/>
      <c r="K246" s="1487"/>
      <c r="L246" s="1487"/>
      <c r="M246" s="1487"/>
      <c r="N246" s="1487"/>
      <c r="O246" s="1487"/>
      <c r="P246" s="1487"/>
      <c r="Y246" s="1941"/>
    </row>
    <row r="247" spans="5:25">
      <c r="E247" s="1487"/>
      <c r="F247" s="1487"/>
      <c r="G247" s="1487"/>
      <c r="H247" s="1487"/>
      <c r="I247" s="1487"/>
      <c r="J247" s="1487"/>
      <c r="K247" s="1487"/>
      <c r="L247" s="1487"/>
      <c r="M247" s="1487"/>
      <c r="N247" s="1487"/>
      <c r="O247" s="1487"/>
      <c r="P247" s="1487"/>
      <c r="Y247" s="1941"/>
    </row>
    <row r="248" spans="5:25">
      <c r="E248" s="1487"/>
      <c r="F248" s="1487"/>
      <c r="G248" s="1487"/>
      <c r="H248" s="1487"/>
      <c r="I248" s="1487"/>
      <c r="J248" s="1487"/>
      <c r="K248" s="1487"/>
      <c r="L248" s="1487"/>
      <c r="M248" s="1487"/>
      <c r="N248" s="1487"/>
      <c r="O248" s="1487"/>
      <c r="P248" s="1487"/>
      <c r="Y248" s="1941"/>
    </row>
    <row r="249" spans="5:25">
      <c r="E249" s="1487"/>
      <c r="F249" s="1487"/>
      <c r="G249" s="1487"/>
      <c r="H249" s="1487"/>
      <c r="I249" s="1487"/>
      <c r="J249" s="1487"/>
      <c r="K249" s="1487"/>
      <c r="L249" s="1487"/>
      <c r="M249" s="1487"/>
      <c r="N249" s="1487"/>
      <c r="O249" s="1487"/>
      <c r="P249" s="1487"/>
      <c r="Y249" s="1941"/>
    </row>
    <row r="250" spans="5:25">
      <c r="E250" s="1487"/>
      <c r="F250" s="1487"/>
      <c r="G250" s="1487"/>
      <c r="H250" s="1487"/>
      <c r="I250" s="1487"/>
      <c r="J250" s="1487"/>
      <c r="K250" s="1487"/>
      <c r="L250" s="1487"/>
      <c r="M250" s="1487"/>
      <c r="N250" s="1487"/>
      <c r="O250" s="1487"/>
      <c r="P250" s="1487"/>
      <c r="Y250" s="1941"/>
    </row>
    <row r="251" spans="5:25">
      <c r="E251" s="1487"/>
      <c r="F251" s="1487"/>
      <c r="G251" s="1487"/>
      <c r="H251" s="1487"/>
      <c r="I251" s="1487"/>
      <c r="J251" s="1487"/>
      <c r="K251" s="1487"/>
      <c r="L251" s="1487"/>
      <c r="M251" s="1487"/>
      <c r="N251" s="1487"/>
      <c r="O251" s="1487"/>
      <c r="P251" s="1487"/>
      <c r="Y251" s="1941"/>
    </row>
    <row r="252" spans="5:25">
      <c r="E252" s="1487"/>
      <c r="F252" s="1487"/>
      <c r="G252" s="1487"/>
      <c r="H252" s="1487"/>
      <c r="I252" s="1487"/>
      <c r="J252" s="1487"/>
      <c r="K252" s="1487"/>
      <c r="L252" s="1487"/>
      <c r="M252" s="1487"/>
      <c r="N252" s="1487"/>
      <c r="O252" s="1487"/>
      <c r="P252" s="1487"/>
      <c r="Y252" s="1941"/>
    </row>
    <row r="253" spans="5:25">
      <c r="E253" s="1487"/>
      <c r="F253" s="1487"/>
      <c r="G253" s="1487"/>
      <c r="H253" s="1487"/>
      <c r="I253" s="1487"/>
      <c r="J253" s="1487"/>
      <c r="K253" s="1487"/>
      <c r="L253" s="1487"/>
      <c r="M253" s="1487"/>
      <c r="N253" s="1487"/>
      <c r="O253" s="1487"/>
      <c r="P253" s="1487"/>
      <c r="Y253" s="1941"/>
    </row>
    <row r="254" spans="5:25">
      <c r="E254" s="1487"/>
      <c r="F254" s="1487"/>
      <c r="G254" s="1487"/>
      <c r="H254" s="1487"/>
      <c r="I254" s="1487"/>
      <c r="J254" s="1487"/>
      <c r="K254" s="1487"/>
      <c r="L254" s="1487"/>
      <c r="M254" s="1487"/>
      <c r="N254" s="1487"/>
      <c r="O254" s="1487"/>
      <c r="P254" s="1487"/>
      <c r="Y254" s="1941"/>
    </row>
    <row r="255" spans="5:25">
      <c r="E255" s="1487"/>
      <c r="F255" s="1487"/>
      <c r="G255" s="1487"/>
      <c r="H255" s="1487"/>
      <c r="I255" s="1487"/>
      <c r="J255" s="1487"/>
      <c r="K255" s="1487"/>
      <c r="L255" s="1487"/>
      <c r="M255" s="1487"/>
      <c r="N255" s="1487"/>
      <c r="O255" s="1487"/>
      <c r="P255" s="1487"/>
      <c r="Y255" s="1941"/>
    </row>
    <row r="256" spans="5:25">
      <c r="E256" s="1487"/>
      <c r="F256" s="1487"/>
      <c r="G256" s="1487"/>
      <c r="H256" s="1487"/>
      <c r="I256" s="1487"/>
      <c r="J256" s="1487"/>
      <c r="K256" s="1487"/>
      <c r="L256" s="1487"/>
      <c r="M256" s="1487"/>
      <c r="N256" s="1487"/>
      <c r="O256" s="1487"/>
      <c r="P256" s="1487"/>
      <c r="Y256" s="1941"/>
    </row>
    <row r="257" spans="5:25">
      <c r="E257" s="1487"/>
      <c r="F257" s="1487"/>
      <c r="G257" s="1487"/>
      <c r="H257" s="1487"/>
      <c r="I257" s="1487"/>
      <c r="J257" s="1487"/>
      <c r="K257" s="1487"/>
      <c r="L257" s="1487"/>
      <c r="M257" s="1487"/>
      <c r="N257" s="1487"/>
      <c r="O257" s="1487"/>
      <c r="P257" s="1487"/>
      <c r="Y257" s="1941"/>
    </row>
    <row r="258" spans="5:25">
      <c r="E258" s="1487"/>
      <c r="F258" s="1487"/>
      <c r="G258" s="1487"/>
      <c r="H258" s="1487"/>
      <c r="I258" s="1487"/>
      <c r="J258" s="1487"/>
      <c r="K258" s="1487"/>
      <c r="L258" s="1487"/>
      <c r="M258" s="1487"/>
      <c r="N258" s="1487"/>
      <c r="O258" s="1487"/>
      <c r="P258" s="1487"/>
      <c r="Y258" s="1941"/>
    </row>
    <row r="259" spans="5:25">
      <c r="E259" s="1487"/>
      <c r="F259" s="1487"/>
      <c r="G259" s="1487"/>
      <c r="H259" s="1487"/>
      <c r="I259" s="1487"/>
      <c r="J259" s="1487"/>
      <c r="K259" s="1487"/>
      <c r="L259" s="1487"/>
      <c r="M259" s="1487"/>
      <c r="N259" s="1487"/>
      <c r="O259" s="1487"/>
      <c r="P259" s="1487"/>
      <c r="Y259" s="1941"/>
    </row>
    <row r="260" spans="5:25">
      <c r="E260" s="1487"/>
      <c r="F260" s="1487"/>
      <c r="G260" s="1487"/>
      <c r="H260" s="1487"/>
      <c r="I260" s="1487"/>
      <c r="J260" s="1487"/>
      <c r="K260" s="1487"/>
      <c r="L260" s="1487"/>
      <c r="M260" s="1487"/>
      <c r="N260" s="1487"/>
      <c r="O260" s="1487"/>
      <c r="P260" s="1487"/>
      <c r="Y260" s="1941"/>
    </row>
    <row r="261" spans="5:25">
      <c r="E261" s="1487"/>
      <c r="F261" s="1487"/>
      <c r="G261" s="1487"/>
      <c r="H261" s="1487"/>
      <c r="I261" s="1487"/>
      <c r="J261" s="1487"/>
      <c r="K261" s="1487"/>
      <c r="L261" s="1487"/>
      <c r="M261" s="1487"/>
      <c r="N261" s="1487"/>
      <c r="O261" s="1487"/>
      <c r="P261" s="1487"/>
      <c r="Y261" s="1941"/>
    </row>
    <row r="262" spans="5:25">
      <c r="E262" s="1487"/>
      <c r="F262" s="1487"/>
      <c r="G262" s="1487"/>
      <c r="H262" s="1487"/>
      <c r="I262" s="1487"/>
      <c r="J262" s="1487"/>
      <c r="K262" s="1487"/>
      <c r="L262" s="1487"/>
      <c r="M262" s="1487"/>
      <c r="N262" s="1487"/>
      <c r="O262" s="1487"/>
      <c r="P262" s="1487"/>
      <c r="Y262" s="1941"/>
    </row>
    <row r="263" spans="5:25">
      <c r="E263" s="1487"/>
      <c r="F263" s="1487"/>
      <c r="G263" s="1487"/>
      <c r="H263" s="1487"/>
      <c r="I263" s="1487"/>
      <c r="J263" s="1487"/>
      <c r="K263" s="1487"/>
      <c r="L263" s="1487"/>
      <c r="M263" s="1487"/>
      <c r="N263" s="1487"/>
      <c r="O263" s="1487"/>
      <c r="P263" s="1487"/>
      <c r="Y263" s="1941"/>
    </row>
    <row r="264" spans="5:25">
      <c r="E264" s="1487"/>
      <c r="F264" s="1487"/>
      <c r="G264" s="1487"/>
      <c r="H264" s="1487"/>
      <c r="I264" s="1487"/>
      <c r="J264" s="1487"/>
      <c r="K264" s="1487"/>
      <c r="L264" s="1487"/>
      <c r="M264" s="1487"/>
      <c r="N264" s="1487"/>
      <c r="O264" s="1487"/>
      <c r="P264" s="1487"/>
      <c r="Y264" s="1941"/>
    </row>
    <row r="265" spans="5:25">
      <c r="E265" s="1487"/>
      <c r="F265" s="1487"/>
      <c r="G265" s="1487"/>
      <c r="H265" s="1487"/>
      <c r="I265" s="1487"/>
      <c r="J265" s="1487"/>
      <c r="K265" s="1487"/>
      <c r="L265" s="1487"/>
      <c r="M265" s="1487"/>
      <c r="N265" s="1487"/>
      <c r="O265" s="1487"/>
      <c r="P265" s="1487"/>
      <c r="Y265" s="1941"/>
    </row>
    <row r="266" spans="5:25">
      <c r="E266" s="1487"/>
      <c r="F266" s="1487"/>
      <c r="G266" s="1487"/>
      <c r="H266" s="1487"/>
      <c r="I266" s="1487"/>
      <c r="J266" s="1487"/>
      <c r="K266" s="1487"/>
      <c r="L266" s="1487"/>
      <c r="M266" s="1487"/>
      <c r="N266" s="1487"/>
      <c r="O266" s="1487"/>
      <c r="P266" s="1487"/>
      <c r="Y266" s="1941"/>
    </row>
    <row r="267" spans="5:25">
      <c r="E267" s="1487"/>
      <c r="F267" s="1487"/>
      <c r="G267" s="1487"/>
      <c r="H267" s="1487"/>
      <c r="I267" s="1487"/>
      <c r="J267" s="1487"/>
      <c r="K267" s="1487"/>
      <c r="L267" s="1487"/>
      <c r="M267" s="1487"/>
      <c r="N267" s="1487"/>
      <c r="O267" s="1487"/>
      <c r="P267" s="1487"/>
      <c r="Y267" s="1941"/>
    </row>
    <row r="268" spans="5:25">
      <c r="E268" s="1487"/>
      <c r="F268" s="1487"/>
      <c r="G268" s="1487"/>
      <c r="H268" s="1487"/>
      <c r="I268" s="1487"/>
      <c r="J268" s="1487"/>
      <c r="K268" s="1487"/>
      <c r="L268" s="1487"/>
      <c r="M268" s="1487"/>
      <c r="N268" s="1487"/>
      <c r="O268" s="1487"/>
      <c r="P268" s="1487"/>
      <c r="Y268" s="1941"/>
    </row>
    <row r="269" spans="5:25">
      <c r="E269" s="1487"/>
      <c r="F269" s="1487"/>
      <c r="G269" s="1487"/>
      <c r="H269" s="1487"/>
      <c r="I269" s="1487"/>
      <c r="J269" s="1487"/>
      <c r="K269" s="1487"/>
      <c r="L269" s="1487"/>
      <c r="M269" s="1487"/>
      <c r="N269" s="1487"/>
      <c r="O269" s="1487"/>
      <c r="P269" s="1487"/>
      <c r="Y269" s="1941"/>
    </row>
    <row r="270" spans="5:25">
      <c r="E270" s="1487"/>
      <c r="F270" s="1487"/>
      <c r="G270" s="1487"/>
      <c r="H270" s="1487"/>
      <c r="I270" s="1487"/>
      <c r="J270" s="1487"/>
      <c r="K270" s="1487"/>
      <c r="L270" s="1487"/>
      <c r="M270" s="1487"/>
      <c r="N270" s="1487"/>
      <c r="O270" s="1487"/>
      <c r="P270" s="1487"/>
      <c r="Y270" s="1941"/>
    </row>
    <row r="271" spans="5:25">
      <c r="E271" s="1487"/>
      <c r="F271" s="1487"/>
      <c r="G271" s="1487"/>
      <c r="H271" s="1487"/>
      <c r="I271" s="1487"/>
      <c r="J271" s="1487"/>
      <c r="K271" s="1487"/>
      <c r="L271" s="1487"/>
      <c r="M271" s="1487"/>
      <c r="N271" s="1487"/>
      <c r="O271" s="1487"/>
      <c r="P271" s="1487"/>
      <c r="Y271" s="1941"/>
    </row>
    <row r="272" spans="5:25">
      <c r="E272" s="1487"/>
      <c r="F272" s="1487"/>
      <c r="G272" s="1487"/>
      <c r="H272" s="1487"/>
      <c r="I272" s="1487"/>
      <c r="J272" s="1487"/>
      <c r="K272" s="1487"/>
      <c r="L272" s="1487"/>
      <c r="M272" s="1487"/>
      <c r="N272" s="1487"/>
      <c r="O272" s="1487"/>
      <c r="P272" s="1487"/>
      <c r="Y272" s="1941"/>
    </row>
    <row r="273" spans="5:25">
      <c r="E273" s="1487"/>
      <c r="F273" s="1487"/>
      <c r="G273" s="1487"/>
      <c r="H273" s="1487"/>
      <c r="I273" s="1487"/>
      <c r="J273" s="1487"/>
      <c r="K273" s="1487"/>
      <c r="L273" s="1487"/>
      <c r="M273" s="1487"/>
      <c r="N273" s="1487"/>
      <c r="O273" s="1487"/>
      <c r="P273" s="1487"/>
      <c r="Y273" s="1941"/>
    </row>
    <row r="274" spans="5:25">
      <c r="E274" s="1487"/>
      <c r="F274" s="1487"/>
      <c r="G274" s="1487"/>
      <c r="H274" s="1487"/>
      <c r="I274" s="1487"/>
      <c r="J274" s="1487"/>
      <c r="K274" s="1487"/>
      <c r="L274" s="1487"/>
      <c r="M274" s="1487"/>
      <c r="N274" s="1487"/>
      <c r="O274" s="1487"/>
      <c r="P274" s="1487"/>
      <c r="Y274" s="1941"/>
    </row>
    <row r="275" spans="5:25">
      <c r="E275" s="1487"/>
      <c r="F275" s="1487"/>
      <c r="G275" s="1487"/>
      <c r="H275" s="1487"/>
      <c r="I275" s="1487"/>
      <c r="J275" s="1487"/>
      <c r="K275" s="1487"/>
      <c r="L275" s="1487"/>
      <c r="M275" s="1487"/>
      <c r="N275" s="1487"/>
      <c r="O275" s="1487"/>
      <c r="P275" s="1487"/>
      <c r="Y275" s="1941"/>
    </row>
    <row r="276" spans="5:25">
      <c r="E276" s="1487"/>
      <c r="F276" s="1487"/>
      <c r="G276" s="1487"/>
      <c r="H276" s="1487"/>
      <c r="I276" s="1487"/>
      <c r="J276" s="1487"/>
      <c r="K276" s="1487"/>
      <c r="L276" s="1487"/>
      <c r="M276" s="1487"/>
      <c r="N276" s="1487"/>
      <c r="O276" s="1487"/>
      <c r="P276" s="1487"/>
      <c r="Y276" s="1941"/>
    </row>
    <row r="277" spans="5:25">
      <c r="E277" s="1487"/>
      <c r="F277" s="1487"/>
      <c r="G277" s="1487"/>
      <c r="H277" s="1487"/>
      <c r="I277" s="1487"/>
      <c r="J277" s="1487"/>
      <c r="K277" s="1487"/>
      <c r="L277" s="1487"/>
      <c r="M277" s="1487"/>
      <c r="N277" s="1487"/>
      <c r="O277" s="1487"/>
      <c r="P277" s="1487"/>
      <c r="Y277" s="1941"/>
    </row>
    <row r="278" spans="5:25">
      <c r="E278" s="1487"/>
      <c r="F278" s="1487"/>
      <c r="G278" s="1487"/>
      <c r="H278" s="1487"/>
      <c r="I278" s="1487"/>
      <c r="J278" s="1487"/>
      <c r="K278" s="1487"/>
      <c r="L278" s="1487"/>
      <c r="M278" s="1487"/>
      <c r="N278" s="1487"/>
      <c r="O278" s="1487"/>
      <c r="P278" s="1487"/>
      <c r="Y278" s="1941"/>
    </row>
    <row r="279" spans="5:25">
      <c r="E279" s="1487"/>
      <c r="F279" s="1487"/>
      <c r="G279" s="1487"/>
      <c r="H279" s="1487"/>
      <c r="I279" s="1487"/>
      <c r="J279" s="1487"/>
      <c r="K279" s="1487"/>
      <c r="L279" s="1487"/>
      <c r="M279" s="1487"/>
      <c r="N279" s="1487"/>
      <c r="O279" s="1487"/>
      <c r="P279" s="1487"/>
      <c r="Y279" s="1941"/>
    </row>
    <row r="280" spans="5:25">
      <c r="E280" s="1487"/>
      <c r="F280" s="1487"/>
      <c r="G280" s="1487"/>
      <c r="H280" s="1487"/>
      <c r="I280" s="1487"/>
      <c r="J280" s="1487"/>
      <c r="K280" s="1487"/>
      <c r="L280" s="1487"/>
      <c r="M280" s="1487"/>
      <c r="N280" s="1487"/>
      <c r="O280" s="1487"/>
      <c r="P280" s="1487"/>
      <c r="Y280" s="1941"/>
    </row>
    <row r="281" spans="5:25">
      <c r="E281" s="1487"/>
      <c r="F281" s="1487"/>
      <c r="G281" s="1487"/>
      <c r="H281" s="1487"/>
      <c r="I281" s="1487"/>
      <c r="J281" s="1487"/>
      <c r="K281" s="1487"/>
      <c r="L281" s="1487"/>
      <c r="M281" s="1487"/>
      <c r="N281" s="1487"/>
      <c r="O281" s="1487"/>
      <c r="P281" s="1487"/>
      <c r="Y281" s="1941"/>
    </row>
    <row r="282" spans="5:25">
      <c r="E282" s="1487"/>
      <c r="F282" s="1487"/>
      <c r="G282" s="1487"/>
      <c r="H282" s="1487"/>
      <c r="I282" s="1487"/>
      <c r="J282" s="1487"/>
      <c r="K282" s="1487"/>
      <c r="L282" s="1487"/>
      <c r="M282" s="1487"/>
      <c r="N282" s="1487"/>
      <c r="O282" s="1487"/>
      <c r="P282" s="1487"/>
      <c r="Y282" s="1941"/>
    </row>
    <row r="283" spans="5:25">
      <c r="E283" s="1487"/>
      <c r="F283" s="1487"/>
      <c r="G283" s="1487"/>
      <c r="H283" s="1487"/>
      <c r="I283" s="1487"/>
      <c r="J283" s="1487"/>
      <c r="K283" s="1487"/>
      <c r="L283" s="1487"/>
      <c r="M283" s="1487"/>
      <c r="N283" s="1487"/>
      <c r="O283" s="1487"/>
      <c r="P283" s="1487"/>
      <c r="Y283" s="1941"/>
    </row>
    <row r="284" spans="5:25">
      <c r="E284" s="1487"/>
      <c r="F284" s="1487"/>
      <c r="G284" s="1487"/>
      <c r="H284" s="1487"/>
      <c r="I284" s="1487"/>
      <c r="J284" s="1487"/>
      <c r="K284" s="1487"/>
      <c r="L284" s="1487"/>
      <c r="M284" s="1487"/>
      <c r="N284" s="1487"/>
      <c r="O284" s="1487"/>
      <c r="P284" s="1487"/>
      <c r="Y284" s="1941"/>
    </row>
    <row r="285" spans="5:25">
      <c r="E285" s="1487"/>
      <c r="F285" s="1487"/>
      <c r="G285" s="1487"/>
      <c r="H285" s="1487"/>
      <c r="I285" s="1487"/>
      <c r="J285" s="1487"/>
      <c r="K285" s="1487"/>
      <c r="L285" s="1487"/>
      <c r="M285" s="1487"/>
      <c r="N285" s="1487"/>
      <c r="O285" s="1487"/>
      <c r="P285" s="1487"/>
      <c r="Y285" s="1941"/>
    </row>
    <row r="286" spans="5:25">
      <c r="E286" s="1487"/>
      <c r="F286" s="1487"/>
      <c r="G286" s="1487"/>
      <c r="H286" s="1487"/>
      <c r="I286" s="1487"/>
      <c r="J286" s="1487"/>
      <c r="K286" s="1487"/>
      <c r="L286" s="1487"/>
      <c r="M286" s="1487"/>
      <c r="N286" s="1487"/>
      <c r="O286" s="1487"/>
      <c r="P286" s="1487"/>
      <c r="Y286" s="1941"/>
    </row>
    <row r="287" spans="5:25">
      <c r="E287" s="1487"/>
      <c r="F287" s="1487"/>
      <c r="G287" s="1487"/>
      <c r="H287" s="1487"/>
      <c r="I287" s="1487"/>
      <c r="J287" s="1487"/>
      <c r="K287" s="1487"/>
      <c r="L287" s="1487"/>
      <c r="M287" s="1487"/>
      <c r="N287" s="1487"/>
      <c r="O287" s="1487"/>
      <c r="P287" s="1487"/>
      <c r="Y287" s="1941"/>
    </row>
    <row r="288" spans="5:25">
      <c r="E288" s="1487"/>
      <c r="F288" s="1487"/>
      <c r="G288" s="1487"/>
      <c r="H288" s="1487"/>
      <c r="I288" s="1487"/>
      <c r="J288" s="1487"/>
      <c r="K288" s="1487"/>
      <c r="L288" s="1487"/>
      <c r="M288" s="1487"/>
      <c r="N288" s="1487"/>
      <c r="O288" s="1487"/>
      <c r="P288" s="1487"/>
      <c r="Y288" s="1941"/>
    </row>
    <row r="289" spans="5:25">
      <c r="E289" s="1487"/>
      <c r="F289" s="1487"/>
      <c r="G289" s="1487"/>
      <c r="H289" s="1487"/>
      <c r="I289" s="1487"/>
      <c r="J289" s="1487"/>
      <c r="K289" s="1487"/>
      <c r="L289" s="1487"/>
      <c r="M289" s="1487"/>
      <c r="N289" s="1487"/>
      <c r="O289" s="1487"/>
      <c r="P289" s="1487"/>
      <c r="Y289" s="1941"/>
    </row>
    <row r="290" spans="5:25">
      <c r="E290" s="1487"/>
      <c r="F290" s="1487"/>
      <c r="G290" s="1487"/>
      <c r="H290" s="1487"/>
      <c r="I290" s="1487"/>
      <c r="J290" s="1487"/>
      <c r="K290" s="1487"/>
      <c r="L290" s="1487"/>
      <c r="M290" s="1487"/>
      <c r="N290" s="1487"/>
      <c r="O290" s="1487"/>
      <c r="P290" s="1487"/>
      <c r="Y290" s="1941"/>
    </row>
    <row r="291" spans="5:25">
      <c r="E291" s="1487"/>
      <c r="F291" s="1487"/>
      <c r="G291" s="1487"/>
      <c r="H291" s="1487"/>
      <c r="I291" s="1487"/>
      <c r="J291" s="1487"/>
      <c r="K291" s="1487"/>
      <c r="L291" s="1487"/>
      <c r="M291" s="1487"/>
      <c r="N291" s="1487"/>
      <c r="O291" s="1487"/>
      <c r="P291" s="1487"/>
      <c r="Y291" s="1941"/>
    </row>
    <row r="292" spans="5:25">
      <c r="E292" s="1487"/>
      <c r="F292" s="1487"/>
      <c r="G292" s="1487"/>
      <c r="H292" s="1487"/>
      <c r="I292" s="1487"/>
      <c r="J292" s="1487"/>
      <c r="K292" s="1487"/>
      <c r="L292" s="1487"/>
      <c r="M292" s="1487"/>
      <c r="N292" s="1487"/>
      <c r="O292" s="1487"/>
      <c r="P292" s="1487"/>
      <c r="Y292" s="1941"/>
    </row>
    <row r="293" spans="5:25">
      <c r="E293" s="1487"/>
      <c r="F293" s="1487"/>
      <c r="G293" s="1487"/>
      <c r="H293" s="1487"/>
      <c r="I293" s="1487"/>
      <c r="J293" s="1487"/>
      <c r="K293" s="1487"/>
      <c r="L293" s="1487"/>
      <c r="M293" s="1487"/>
      <c r="N293" s="1487"/>
      <c r="O293" s="1487"/>
      <c r="P293" s="1487"/>
      <c r="Y293" s="1941"/>
    </row>
    <row r="294" spans="5:25">
      <c r="E294" s="1487"/>
      <c r="F294" s="1487"/>
      <c r="G294" s="1487"/>
      <c r="H294" s="1487"/>
      <c r="I294" s="1487"/>
      <c r="J294" s="1487"/>
      <c r="K294" s="1487"/>
      <c r="L294" s="1487"/>
      <c r="M294" s="1487"/>
      <c r="N294" s="1487"/>
      <c r="O294" s="1487"/>
      <c r="P294" s="1487"/>
      <c r="Y294" s="1941"/>
    </row>
    <row r="295" spans="5:25">
      <c r="E295" s="1487"/>
      <c r="F295" s="1487"/>
      <c r="G295" s="1487"/>
      <c r="H295" s="1487"/>
      <c r="I295" s="1487"/>
      <c r="J295" s="1487"/>
      <c r="K295" s="1487"/>
      <c r="L295" s="1487"/>
      <c r="M295" s="1487"/>
      <c r="N295" s="1487"/>
      <c r="O295" s="1487"/>
      <c r="P295" s="1487"/>
      <c r="Y295" s="1941"/>
    </row>
    <row r="296" spans="5:25">
      <c r="E296" s="1487"/>
      <c r="F296" s="1487"/>
      <c r="G296" s="1487"/>
      <c r="H296" s="1487"/>
      <c r="I296" s="1487"/>
      <c r="J296" s="1487"/>
      <c r="K296" s="1487"/>
      <c r="L296" s="1487"/>
      <c r="M296" s="1487"/>
      <c r="N296" s="1487"/>
      <c r="O296" s="1487"/>
      <c r="P296" s="1487"/>
      <c r="Y296" s="1941"/>
    </row>
    <row r="297" spans="5:25">
      <c r="E297" s="1487"/>
      <c r="F297" s="1487"/>
      <c r="G297" s="1487"/>
      <c r="H297" s="1487"/>
      <c r="I297" s="1487"/>
      <c r="J297" s="1487"/>
      <c r="K297" s="1487"/>
      <c r="L297" s="1487"/>
      <c r="M297" s="1487"/>
      <c r="N297" s="1487"/>
      <c r="O297" s="1487"/>
      <c r="P297" s="1487"/>
      <c r="Y297" s="1941"/>
    </row>
    <row r="298" spans="5:25">
      <c r="E298" s="1487"/>
      <c r="F298" s="1487"/>
      <c r="G298" s="1487"/>
      <c r="H298" s="1487"/>
      <c r="I298" s="1487"/>
      <c r="J298" s="1487"/>
      <c r="K298" s="1487"/>
      <c r="L298" s="1487"/>
      <c r="M298" s="1487"/>
      <c r="N298" s="1487"/>
      <c r="O298" s="1487"/>
      <c r="P298" s="1487"/>
      <c r="Y298" s="1941"/>
    </row>
    <row r="299" spans="5:25">
      <c r="E299" s="1487"/>
      <c r="F299" s="1487"/>
      <c r="G299" s="1487"/>
      <c r="H299" s="1487"/>
      <c r="I299" s="1487"/>
      <c r="J299" s="1487"/>
      <c r="K299" s="1487"/>
      <c r="L299" s="1487"/>
      <c r="M299" s="1487"/>
      <c r="N299" s="1487"/>
      <c r="O299" s="1487"/>
      <c r="P299" s="1487"/>
      <c r="Y299" s="1941"/>
    </row>
    <row r="300" spans="5:25">
      <c r="E300" s="1487"/>
      <c r="F300" s="1487"/>
      <c r="G300" s="1487"/>
      <c r="H300" s="1487"/>
      <c r="I300" s="1487"/>
      <c r="J300" s="1487"/>
      <c r="K300" s="1487"/>
      <c r="L300" s="1487"/>
      <c r="M300" s="1487"/>
      <c r="N300" s="1487"/>
      <c r="O300" s="1487"/>
      <c r="P300" s="1487"/>
      <c r="Y300" s="1941"/>
    </row>
    <row r="301" spans="5:25">
      <c r="E301" s="1487"/>
      <c r="F301" s="1487"/>
      <c r="G301" s="1487"/>
      <c r="H301" s="1487"/>
      <c r="I301" s="1487"/>
      <c r="J301" s="1487"/>
      <c r="K301" s="1487"/>
      <c r="L301" s="1487"/>
      <c r="M301" s="1487"/>
      <c r="N301" s="1487"/>
      <c r="O301" s="1487"/>
      <c r="P301" s="1487"/>
      <c r="Y301" s="1941"/>
    </row>
    <row r="302" spans="5:25">
      <c r="E302" s="1487"/>
      <c r="F302" s="1487"/>
      <c r="G302" s="1487"/>
      <c r="H302" s="1487"/>
      <c r="I302" s="1487"/>
      <c r="J302" s="1487"/>
      <c r="K302" s="1487"/>
      <c r="L302" s="1487"/>
      <c r="M302" s="1487"/>
      <c r="N302" s="1487"/>
      <c r="O302" s="1487"/>
      <c r="P302" s="1487"/>
      <c r="Y302" s="1941"/>
    </row>
    <row r="303" spans="5:25">
      <c r="E303" s="1487"/>
      <c r="F303" s="1487"/>
      <c r="G303" s="1487"/>
      <c r="H303" s="1487"/>
      <c r="I303" s="1487"/>
      <c r="J303" s="1487"/>
      <c r="K303" s="1487"/>
      <c r="L303" s="1487"/>
      <c r="M303" s="1487"/>
      <c r="N303" s="1487"/>
      <c r="O303" s="1487"/>
      <c r="P303" s="1487"/>
      <c r="Y303" s="1941"/>
    </row>
    <row r="304" spans="5:25">
      <c r="E304" s="1487"/>
      <c r="F304" s="1487"/>
      <c r="G304" s="1487"/>
      <c r="H304" s="1487"/>
      <c r="I304" s="1487"/>
      <c r="J304" s="1487"/>
      <c r="K304" s="1487"/>
      <c r="L304" s="1487"/>
      <c r="M304" s="1487"/>
      <c r="N304" s="1487"/>
      <c r="O304" s="1487"/>
      <c r="P304" s="1487"/>
      <c r="Y304" s="1941"/>
    </row>
    <row r="305" spans="5:25">
      <c r="E305" s="1487"/>
      <c r="F305" s="1487"/>
      <c r="G305" s="1487"/>
      <c r="H305" s="1487"/>
      <c r="I305" s="1487"/>
      <c r="J305" s="1487"/>
      <c r="K305" s="1487"/>
      <c r="L305" s="1487"/>
      <c r="M305" s="1487"/>
      <c r="N305" s="1487"/>
      <c r="O305" s="1487"/>
      <c r="P305" s="1487"/>
      <c r="Y305" s="1941"/>
    </row>
    <row r="306" spans="5:25">
      <c r="E306" s="1487"/>
      <c r="F306" s="1487"/>
      <c r="G306" s="1487"/>
      <c r="H306" s="1487"/>
      <c r="I306" s="1487"/>
      <c r="J306" s="1487"/>
      <c r="K306" s="1487"/>
      <c r="L306" s="1487"/>
      <c r="M306" s="1487"/>
      <c r="N306" s="1487"/>
      <c r="O306" s="1487"/>
      <c r="P306" s="1487"/>
      <c r="Y306" s="1941"/>
    </row>
    <row r="307" spans="5:25">
      <c r="E307" s="1487"/>
      <c r="F307" s="1487"/>
      <c r="G307" s="1487"/>
      <c r="H307" s="1487"/>
      <c r="I307" s="1487"/>
      <c r="J307" s="1487"/>
      <c r="K307" s="1487"/>
      <c r="L307" s="1487"/>
      <c r="M307" s="1487"/>
      <c r="N307" s="1487"/>
      <c r="O307" s="1487"/>
      <c r="P307" s="1487"/>
      <c r="Y307" s="1941"/>
    </row>
    <row r="308" spans="5:25">
      <c r="E308" s="1487"/>
      <c r="F308" s="1487"/>
      <c r="G308" s="1487"/>
      <c r="H308" s="1487"/>
      <c r="I308" s="1487"/>
      <c r="J308" s="1487"/>
      <c r="K308" s="1487"/>
      <c r="L308" s="1487"/>
      <c r="M308" s="1487"/>
      <c r="N308" s="1487"/>
      <c r="O308" s="1487"/>
      <c r="P308" s="1487"/>
      <c r="Y308" s="1941"/>
    </row>
    <row r="309" spans="5:25">
      <c r="E309" s="1487"/>
      <c r="F309" s="1487"/>
      <c r="G309" s="1487"/>
      <c r="H309" s="1487"/>
      <c r="I309" s="1487"/>
      <c r="J309" s="1487"/>
      <c r="K309" s="1487"/>
      <c r="L309" s="1487"/>
      <c r="M309" s="1487"/>
      <c r="N309" s="1487"/>
      <c r="O309" s="1487"/>
      <c r="P309" s="1487"/>
      <c r="Y309" s="1941"/>
    </row>
    <row r="310" spans="5:25">
      <c r="E310" s="1487"/>
      <c r="F310" s="1487"/>
      <c r="G310" s="1487"/>
      <c r="H310" s="1487"/>
      <c r="I310" s="1487"/>
      <c r="J310" s="1487"/>
      <c r="K310" s="1487"/>
      <c r="L310" s="1487"/>
      <c r="M310" s="1487"/>
      <c r="N310" s="1487"/>
      <c r="O310" s="1487"/>
      <c r="P310" s="1487"/>
      <c r="Y310" s="1941"/>
    </row>
    <row r="311" spans="5:25">
      <c r="E311" s="1487"/>
      <c r="F311" s="1487"/>
      <c r="G311" s="1487"/>
      <c r="H311" s="1487"/>
      <c r="I311" s="1487"/>
      <c r="J311" s="1487"/>
      <c r="K311" s="1487"/>
      <c r="L311" s="1487"/>
      <c r="M311" s="1487"/>
      <c r="N311" s="1487"/>
      <c r="O311" s="1487"/>
      <c r="P311" s="1487"/>
      <c r="Y311" s="1941"/>
    </row>
    <row r="312" spans="5:25">
      <c r="E312" s="1487"/>
      <c r="F312" s="1487"/>
      <c r="G312" s="1487"/>
      <c r="H312" s="1487"/>
      <c r="I312" s="1487"/>
      <c r="J312" s="1487"/>
      <c r="K312" s="1487"/>
      <c r="L312" s="1487"/>
      <c r="M312" s="1487"/>
      <c r="N312" s="1487"/>
      <c r="O312" s="1487"/>
      <c r="P312" s="1487"/>
      <c r="Y312" s="1941"/>
    </row>
    <row r="313" spans="5:25">
      <c r="E313" s="1487"/>
      <c r="F313" s="1487"/>
      <c r="G313" s="1487"/>
      <c r="H313" s="1487"/>
      <c r="I313" s="1487"/>
      <c r="J313" s="1487"/>
      <c r="K313" s="1487"/>
      <c r="L313" s="1487"/>
      <c r="M313" s="1487"/>
      <c r="N313" s="1487"/>
      <c r="O313" s="1487"/>
      <c r="P313" s="1487"/>
      <c r="Y313" s="1941"/>
    </row>
    <row r="314" spans="5:25">
      <c r="E314" s="1487"/>
      <c r="F314" s="1487"/>
      <c r="G314" s="1487"/>
      <c r="H314" s="1487"/>
      <c r="I314" s="1487"/>
      <c r="J314" s="1487"/>
      <c r="K314" s="1487"/>
      <c r="L314" s="1487"/>
      <c r="M314" s="1487"/>
      <c r="N314" s="1487"/>
      <c r="O314" s="1487"/>
      <c r="P314" s="1487"/>
      <c r="Y314" s="1941"/>
    </row>
    <row r="315" spans="5:25">
      <c r="E315" s="1487"/>
      <c r="F315" s="1487"/>
      <c r="G315" s="1487"/>
      <c r="H315" s="1487"/>
      <c r="I315" s="1487"/>
      <c r="J315" s="1487"/>
      <c r="K315" s="1487"/>
      <c r="L315" s="1487"/>
      <c r="M315" s="1487"/>
      <c r="N315" s="1487"/>
      <c r="O315" s="1487"/>
      <c r="P315" s="1487"/>
      <c r="Y315" s="1941"/>
    </row>
    <row r="316" spans="5:25">
      <c r="E316" s="1487"/>
      <c r="F316" s="1487"/>
      <c r="G316" s="1487"/>
      <c r="H316" s="1487"/>
      <c r="I316" s="1487"/>
      <c r="J316" s="1487"/>
      <c r="K316" s="1487"/>
      <c r="L316" s="1487"/>
      <c r="M316" s="1487"/>
      <c r="N316" s="1487"/>
      <c r="O316" s="1487"/>
      <c r="P316" s="1487"/>
      <c r="Y316" s="1941"/>
    </row>
    <row r="317" spans="5:25">
      <c r="E317" s="1487"/>
      <c r="F317" s="1487"/>
      <c r="G317" s="1487"/>
      <c r="H317" s="1487"/>
      <c r="I317" s="1487"/>
      <c r="J317" s="1487"/>
      <c r="K317" s="1487"/>
      <c r="L317" s="1487"/>
      <c r="M317" s="1487"/>
      <c r="N317" s="1487"/>
      <c r="O317" s="1487"/>
      <c r="P317" s="1487"/>
      <c r="Y317" s="1941"/>
    </row>
    <row r="318" spans="5:25">
      <c r="E318" s="1487"/>
      <c r="F318" s="1487"/>
      <c r="G318" s="1487"/>
      <c r="H318" s="1487"/>
      <c r="I318" s="1487"/>
      <c r="J318" s="1487"/>
      <c r="K318" s="1487"/>
      <c r="L318" s="1487"/>
      <c r="M318" s="1487"/>
      <c r="N318" s="1487"/>
      <c r="O318" s="1487"/>
      <c r="P318" s="1487"/>
      <c r="Y318" s="1941"/>
    </row>
    <row r="319" spans="5:25">
      <c r="E319" s="1487"/>
      <c r="F319" s="1487"/>
      <c r="G319" s="1487"/>
      <c r="H319" s="1487"/>
      <c r="I319" s="1487"/>
      <c r="J319" s="1487"/>
      <c r="K319" s="1487"/>
      <c r="L319" s="1487"/>
      <c r="M319" s="1487"/>
      <c r="N319" s="1487"/>
      <c r="O319" s="1487"/>
      <c r="P319" s="1487"/>
      <c r="Y319" s="1941"/>
    </row>
    <row r="320" spans="5:25">
      <c r="E320" s="1487"/>
      <c r="F320" s="1487"/>
      <c r="G320" s="1487"/>
      <c r="H320" s="1487"/>
      <c r="I320" s="1487"/>
      <c r="J320" s="1487"/>
      <c r="K320" s="1487"/>
      <c r="L320" s="1487"/>
      <c r="M320" s="1487"/>
      <c r="N320" s="1487"/>
      <c r="O320" s="1487"/>
      <c r="P320" s="1487"/>
      <c r="Y320" s="1941"/>
    </row>
    <row r="321" spans="5:25">
      <c r="E321" s="1487"/>
      <c r="F321" s="1487"/>
      <c r="G321" s="1487"/>
      <c r="H321" s="1487"/>
      <c r="I321" s="1487"/>
      <c r="J321" s="1487"/>
      <c r="K321" s="1487"/>
      <c r="L321" s="1487"/>
      <c r="M321" s="1487"/>
      <c r="N321" s="1487"/>
      <c r="O321" s="1487"/>
      <c r="P321" s="1487"/>
      <c r="Y321" s="1941"/>
    </row>
    <row r="322" spans="5:25">
      <c r="E322" s="1487"/>
      <c r="F322" s="1487"/>
      <c r="G322" s="1487"/>
      <c r="H322" s="1487"/>
      <c r="I322" s="1487"/>
      <c r="J322" s="1487"/>
      <c r="K322" s="1487"/>
      <c r="L322" s="1487"/>
      <c r="M322" s="1487"/>
      <c r="N322" s="1487"/>
      <c r="O322" s="1487"/>
      <c r="P322" s="1487"/>
      <c r="Y322" s="1941"/>
    </row>
    <row r="323" spans="5:25">
      <c r="E323" s="1487"/>
      <c r="F323" s="1487"/>
      <c r="G323" s="1487"/>
      <c r="H323" s="1487"/>
      <c r="I323" s="1487"/>
      <c r="J323" s="1487"/>
      <c r="K323" s="1487"/>
      <c r="L323" s="1487"/>
      <c r="M323" s="1487"/>
      <c r="N323" s="1487"/>
      <c r="O323" s="1487"/>
      <c r="P323" s="1487"/>
      <c r="Y323" s="1941"/>
    </row>
    <row r="324" spans="5:25">
      <c r="E324" s="1487"/>
      <c r="F324" s="1487"/>
      <c r="G324" s="1487"/>
      <c r="H324" s="1487"/>
      <c r="I324" s="1487"/>
      <c r="J324" s="1487"/>
      <c r="K324" s="1487"/>
      <c r="L324" s="1487"/>
      <c r="M324" s="1487"/>
      <c r="N324" s="1487"/>
      <c r="O324" s="1487"/>
      <c r="P324" s="1487"/>
      <c r="Y324" s="1941"/>
    </row>
    <row r="325" spans="5:25">
      <c r="E325" s="1487"/>
      <c r="F325" s="1487"/>
      <c r="G325" s="1487"/>
      <c r="H325" s="1487"/>
      <c r="I325" s="1487"/>
      <c r="J325" s="1487"/>
      <c r="K325" s="1487"/>
      <c r="L325" s="1487"/>
      <c r="M325" s="1487"/>
      <c r="N325" s="1487"/>
      <c r="O325" s="1487"/>
      <c r="P325" s="1487"/>
      <c r="Y325" s="1941"/>
    </row>
    <row r="326" spans="5:25">
      <c r="E326" s="1487"/>
      <c r="F326" s="1487"/>
      <c r="G326" s="1487"/>
      <c r="H326" s="1487"/>
      <c r="I326" s="1487"/>
      <c r="J326" s="1487"/>
      <c r="K326" s="1487"/>
      <c r="L326" s="1487"/>
      <c r="M326" s="1487"/>
      <c r="N326" s="1487"/>
      <c r="O326" s="1487"/>
      <c r="P326" s="1487"/>
      <c r="Y326" s="1941"/>
    </row>
    <row r="327" spans="5:25">
      <c r="E327" s="1487"/>
      <c r="F327" s="1487"/>
      <c r="G327" s="1487"/>
      <c r="H327" s="1487"/>
      <c r="I327" s="1487"/>
      <c r="J327" s="1487"/>
      <c r="K327" s="1487"/>
      <c r="L327" s="1487"/>
      <c r="M327" s="1487"/>
      <c r="N327" s="1487"/>
      <c r="O327" s="1487"/>
      <c r="P327" s="1487"/>
      <c r="Y327" s="1941"/>
    </row>
    <row r="328" spans="5:25">
      <c r="E328" s="1487"/>
      <c r="F328" s="1487"/>
      <c r="G328" s="1487"/>
      <c r="H328" s="1487"/>
      <c r="I328" s="1487"/>
      <c r="J328" s="1487"/>
      <c r="K328" s="1487"/>
      <c r="L328" s="1487"/>
      <c r="M328" s="1487"/>
      <c r="N328" s="1487"/>
      <c r="O328" s="1487"/>
      <c r="P328" s="1487"/>
      <c r="Y328" s="1941"/>
    </row>
    <row r="329" spans="5:25">
      <c r="E329" s="1487"/>
      <c r="F329" s="1487"/>
      <c r="G329" s="1487"/>
      <c r="H329" s="1487"/>
      <c r="I329" s="1487"/>
      <c r="J329" s="1487"/>
      <c r="K329" s="1487"/>
      <c r="L329" s="1487"/>
      <c r="M329" s="1487"/>
      <c r="N329" s="1487"/>
      <c r="O329" s="1487"/>
      <c r="P329" s="1487"/>
      <c r="Y329" s="1941"/>
    </row>
    <row r="330" spans="5:25">
      <c r="E330" s="1487"/>
      <c r="F330" s="1487"/>
      <c r="G330" s="1487"/>
      <c r="H330" s="1487"/>
      <c r="I330" s="1487"/>
      <c r="J330" s="1487"/>
      <c r="K330" s="1487"/>
      <c r="L330" s="1487"/>
      <c r="M330" s="1487"/>
      <c r="N330" s="1487"/>
      <c r="O330" s="1487"/>
      <c r="P330" s="1487"/>
      <c r="Y330" s="1941"/>
    </row>
    <row r="331" spans="5:25">
      <c r="E331" s="1487"/>
      <c r="F331" s="1487"/>
      <c r="G331" s="1487"/>
      <c r="H331" s="1487"/>
      <c r="I331" s="1487"/>
      <c r="J331" s="1487"/>
      <c r="K331" s="1487"/>
      <c r="L331" s="1487"/>
      <c r="M331" s="1487"/>
      <c r="N331" s="1487"/>
      <c r="O331" s="1487"/>
      <c r="P331" s="1487"/>
      <c r="Y331" s="1941"/>
    </row>
    <row r="332" spans="5:25">
      <c r="E332" s="1487"/>
      <c r="F332" s="1487"/>
      <c r="G332" s="1487"/>
      <c r="H332" s="1487"/>
      <c r="I332" s="1487"/>
      <c r="J332" s="1487"/>
      <c r="K332" s="1487"/>
      <c r="L332" s="1487"/>
      <c r="M332" s="1487"/>
      <c r="N332" s="1487"/>
      <c r="O332" s="1487"/>
      <c r="P332" s="1487"/>
      <c r="Y332" s="1941"/>
    </row>
    <row r="333" spans="5:25">
      <c r="E333" s="1487"/>
      <c r="F333" s="1487"/>
      <c r="G333" s="1487"/>
      <c r="H333" s="1487"/>
      <c r="I333" s="1487"/>
      <c r="J333" s="1487"/>
      <c r="K333" s="1487"/>
      <c r="L333" s="1487"/>
      <c r="M333" s="1487"/>
      <c r="N333" s="1487"/>
      <c r="O333" s="1487"/>
      <c r="P333" s="1487"/>
      <c r="Y333" s="1941"/>
    </row>
    <row r="334" spans="5:25">
      <c r="E334" s="1487"/>
      <c r="F334" s="1487"/>
      <c r="G334" s="1487"/>
      <c r="H334" s="1487"/>
      <c r="I334" s="1487"/>
      <c r="J334" s="1487"/>
      <c r="K334" s="1487"/>
      <c r="L334" s="1487"/>
      <c r="M334" s="1487"/>
      <c r="N334" s="1487"/>
      <c r="O334" s="1487"/>
      <c r="P334" s="1487"/>
      <c r="Y334" s="1941"/>
    </row>
    <row r="335" spans="5:25">
      <c r="E335" s="1487"/>
      <c r="F335" s="1487"/>
      <c r="G335" s="1487"/>
      <c r="H335" s="1487"/>
      <c r="I335" s="1487"/>
      <c r="J335" s="1487"/>
      <c r="K335" s="1487"/>
      <c r="L335" s="1487"/>
      <c r="M335" s="1487"/>
      <c r="N335" s="1487"/>
      <c r="O335" s="1487"/>
      <c r="P335" s="1487"/>
      <c r="Y335" s="1941"/>
    </row>
    <row r="336" spans="5:25">
      <c r="E336" s="1487"/>
      <c r="F336" s="1487"/>
      <c r="G336" s="1487"/>
      <c r="H336" s="1487"/>
      <c r="I336" s="1487"/>
      <c r="J336" s="1487"/>
      <c r="K336" s="1487"/>
      <c r="L336" s="1487"/>
      <c r="M336" s="1487"/>
      <c r="N336" s="1487"/>
      <c r="O336" s="1487"/>
      <c r="P336" s="1487"/>
      <c r="Y336" s="1941"/>
    </row>
    <row r="337" spans="5:25">
      <c r="E337" s="1487"/>
      <c r="F337" s="1487"/>
      <c r="G337" s="1487"/>
      <c r="H337" s="1487"/>
      <c r="I337" s="1487"/>
      <c r="J337" s="1487"/>
      <c r="K337" s="1487"/>
      <c r="L337" s="1487"/>
      <c r="M337" s="1487"/>
      <c r="N337" s="1487"/>
      <c r="O337" s="1487"/>
      <c r="P337" s="1487"/>
      <c r="Y337" s="1941"/>
    </row>
    <row r="338" spans="5:25">
      <c r="E338" s="1487"/>
      <c r="F338" s="1487"/>
      <c r="G338" s="1487"/>
      <c r="H338" s="1487"/>
      <c r="I338" s="1487"/>
      <c r="J338" s="1487"/>
      <c r="K338" s="1487"/>
      <c r="L338" s="1487"/>
      <c r="M338" s="1487"/>
      <c r="N338" s="1487"/>
      <c r="O338" s="1487"/>
      <c r="P338" s="1487"/>
      <c r="Y338" s="1941"/>
    </row>
    <row r="339" spans="5:25">
      <c r="E339" s="1487"/>
      <c r="F339" s="1487"/>
      <c r="G339" s="1487"/>
      <c r="H339" s="1487"/>
      <c r="I339" s="1487"/>
      <c r="J339" s="1487"/>
      <c r="K339" s="1487"/>
      <c r="L339" s="1487"/>
      <c r="M339" s="1487"/>
      <c r="N339" s="1487"/>
      <c r="O339" s="1487"/>
      <c r="P339" s="1487"/>
      <c r="Y339" s="1941"/>
    </row>
    <row r="340" spans="5:25">
      <c r="E340" s="1487"/>
      <c r="F340" s="1487"/>
      <c r="G340" s="1487"/>
      <c r="H340" s="1487"/>
      <c r="I340" s="1487"/>
      <c r="J340" s="1487"/>
      <c r="K340" s="1487"/>
      <c r="L340" s="1487"/>
      <c r="M340" s="1487"/>
      <c r="N340" s="1487"/>
      <c r="O340" s="1487"/>
      <c r="P340" s="1487"/>
      <c r="Y340" s="1941"/>
    </row>
    <row r="341" spans="5:25">
      <c r="E341" s="1487"/>
      <c r="F341" s="1487"/>
      <c r="G341" s="1487"/>
      <c r="H341" s="1487"/>
      <c r="I341" s="1487"/>
      <c r="J341" s="1487"/>
      <c r="K341" s="1487"/>
      <c r="L341" s="1487"/>
      <c r="M341" s="1487"/>
      <c r="N341" s="1487"/>
      <c r="O341" s="1487"/>
      <c r="P341" s="1487"/>
      <c r="Y341" s="1941"/>
    </row>
    <row r="342" spans="5:25">
      <c r="E342" s="1487"/>
      <c r="F342" s="1487"/>
      <c r="G342" s="1487"/>
      <c r="H342" s="1487"/>
      <c r="I342" s="1487"/>
      <c r="J342" s="1487"/>
      <c r="K342" s="1487"/>
      <c r="L342" s="1487"/>
      <c r="M342" s="1487"/>
      <c r="N342" s="1487"/>
      <c r="O342" s="1487"/>
      <c r="P342" s="1487"/>
      <c r="Y342" s="1941"/>
    </row>
    <row r="343" spans="5:25">
      <c r="E343" s="1487"/>
      <c r="F343" s="1487"/>
      <c r="G343" s="1487"/>
      <c r="H343" s="1487"/>
      <c r="I343" s="1487"/>
      <c r="J343" s="1487"/>
      <c r="K343" s="1487"/>
      <c r="L343" s="1487"/>
      <c r="M343" s="1487"/>
      <c r="N343" s="1487"/>
      <c r="O343" s="1487"/>
      <c r="P343" s="1487"/>
      <c r="Y343" s="1941"/>
    </row>
    <row r="344" spans="5:25">
      <c r="E344" s="1487"/>
      <c r="F344" s="1487"/>
      <c r="G344" s="1487"/>
      <c r="H344" s="1487"/>
      <c r="I344" s="1487"/>
      <c r="J344" s="1487"/>
      <c r="K344" s="1487"/>
      <c r="L344" s="1487"/>
      <c r="M344" s="1487"/>
      <c r="N344" s="1487"/>
      <c r="O344" s="1487"/>
      <c r="P344" s="1487"/>
      <c r="Y344" s="1941"/>
    </row>
    <row r="345" spans="5:25">
      <c r="E345" s="1487"/>
      <c r="F345" s="1487"/>
      <c r="G345" s="1487"/>
      <c r="H345" s="1487"/>
      <c r="I345" s="1487"/>
      <c r="J345" s="1487"/>
      <c r="K345" s="1487"/>
      <c r="L345" s="1487"/>
      <c r="M345" s="1487"/>
      <c r="N345" s="1487"/>
      <c r="O345" s="1487"/>
      <c r="P345" s="1487"/>
      <c r="Y345" s="1941"/>
    </row>
    <row r="346" spans="5:25">
      <c r="E346" s="1487"/>
      <c r="F346" s="1487"/>
      <c r="G346" s="1487"/>
      <c r="H346" s="1487"/>
      <c r="I346" s="1487"/>
      <c r="J346" s="1487"/>
      <c r="K346" s="1487"/>
      <c r="L346" s="1487"/>
      <c r="M346" s="1487"/>
      <c r="N346" s="1487"/>
      <c r="O346" s="1487"/>
      <c r="P346" s="1487"/>
      <c r="Y346" s="1941"/>
    </row>
    <row r="347" spans="5:25">
      <c r="E347" s="1487"/>
      <c r="F347" s="1487"/>
      <c r="G347" s="1487"/>
      <c r="H347" s="1487"/>
      <c r="I347" s="1487"/>
      <c r="J347" s="1487"/>
      <c r="K347" s="1487"/>
      <c r="L347" s="1487"/>
      <c r="M347" s="1487"/>
      <c r="N347" s="1487"/>
      <c r="O347" s="1487"/>
      <c r="P347" s="1487"/>
      <c r="Y347" s="1941"/>
    </row>
    <row r="348" spans="5:25">
      <c r="E348" s="1487"/>
      <c r="F348" s="1487"/>
      <c r="G348" s="1487"/>
      <c r="H348" s="1487"/>
      <c r="I348" s="1487"/>
      <c r="J348" s="1487"/>
      <c r="K348" s="1487"/>
      <c r="L348" s="1487"/>
      <c r="M348" s="1487"/>
      <c r="N348" s="1487"/>
      <c r="O348" s="1487"/>
      <c r="P348" s="1487"/>
      <c r="Y348" s="1941"/>
    </row>
    <row r="349" spans="5:25">
      <c r="E349" s="1487"/>
      <c r="F349" s="1487"/>
      <c r="G349" s="1487"/>
      <c r="H349" s="1487"/>
      <c r="I349" s="1487"/>
      <c r="J349" s="1487"/>
      <c r="K349" s="1487"/>
      <c r="L349" s="1487"/>
      <c r="M349" s="1487"/>
      <c r="N349" s="1487"/>
      <c r="O349" s="1487"/>
      <c r="P349" s="1487"/>
      <c r="Y349" s="1941"/>
    </row>
    <row r="350" spans="5:25">
      <c r="E350" s="1487"/>
      <c r="F350" s="1487"/>
      <c r="G350" s="1487"/>
      <c r="H350" s="1487"/>
      <c r="I350" s="1487"/>
      <c r="J350" s="1487"/>
      <c r="K350" s="1487"/>
      <c r="L350" s="1487"/>
      <c r="M350" s="1487"/>
      <c r="N350" s="1487"/>
      <c r="O350" s="1487"/>
      <c r="P350" s="1487"/>
      <c r="Y350" s="1941"/>
    </row>
    <row r="351" spans="5:25">
      <c r="E351" s="1487"/>
      <c r="F351" s="1487"/>
      <c r="G351" s="1487"/>
      <c r="H351" s="1487"/>
      <c r="I351" s="1487"/>
      <c r="J351" s="1487"/>
      <c r="K351" s="1487"/>
      <c r="L351" s="1487"/>
      <c r="M351" s="1487"/>
      <c r="N351" s="1487"/>
      <c r="O351" s="1487"/>
      <c r="P351" s="1487"/>
      <c r="Y351" s="1941"/>
    </row>
    <row r="352" spans="5:25">
      <c r="E352" s="1487"/>
      <c r="F352" s="1487"/>
      <c r="G352" s="1487"/>
      <c r="H352" s="1487"/>
      <c r="I352" s="1487"/>
      <c r="J352" s="1487"/>
      <c r="K352" s="1487"/>
      <c r="L352" s="1487"/>
      <c r="M352" s="1487"/>
      <c r="N352" s="1487"/>
      <c r="O352" s="1487"/>
      <c r="P352" s="1487"/>
      <c r="Y352" s="1941"/>
    </row>
    <row r="353" spans="5:25">
      <c r="E353" s="1487"/>
      <c r="F353" s="1487"/>
      <c r="G353" s="1487"/>
      <c r="H353" s="1487"/>
      <c r="I353" s="1487"/>
      <c r="J353" s="1487"/>
      <c r="K353" s="1487"/>
      <c r="L353" s="1487"/>
      <c r="M353" s="1487"/>
      <c r="N353" s="1487"/>
      <c r="O353" s="1487"/>
      <c r="P353" s="1487"/>
      <c r="Y353" s="1941"/>
    </row>
    <row r="354" spans="5:25">
      <c r="E354" s="1487"/>
      <c r="F354" s="1487"/>
      <c r="G354" s="1487"/>
      <c r="H354" s="1487"/>
      <c r="I354" s="1487"/>
      <c r="J354" s="1487"/>
      <c r="K354" s="1487"/>
      <c r="L354" s="1487"/>
      <c r="M354" s="1487"/>
      <c r="N354" s="1487"/>
      <c r="O354" s="1487"/>
      <c r="P354" s="1487"/>
      <c r="Y354" s="1941"/>
    </row>
    <row r="355" spans="5:25">
      <c r="E355" s="1487"/>
      <c r="F355" s="1487"/>
      <c r="G355" s="1487"/>
      <c r="H355" s="1487"/>
      <c r="I355" s="1487"/>
      <c r="J355" s="1487"/>
      <c r="K355" s="1487"/>
      <c r="L355" s="1487"/>
      <c r="M355" s="1487"/>
      <c r="N355" s="1487"/>
      <c r="O355" s="1487"/>
      <c r="P355" s="1487"/>
      <c r="Y355" s="1941"/>
    </row>
    <row r="356" spans="5:25">
      <c r="E356" s="1487"/>
      <c r="F356" s="1487"/>
      <c r="G356" s="1487"/>
      <c r="H356" s="1487"/>
      <c r="I356" s="1487"/>
      <c r="J356" s="1487"/>
      <c r="K356" s="1487"/>
      <c r="L356" s="1487"/>
      <c r="M356" s="1487"/>
      <c r="N356" s="1487"/>
      <c r="O356" s="1487"/>
      <c r="P356" s="1487"/>
      <c r="Y356" s="1941"/>
    </row>
    <row r="357" spans="5:25">
      <c r="E357" s="1487"/>
      <c r="F357" s="1487"/>
      <c r="G357" s="1487"/>
      <c r="H357" s="1487"/>
      <c r="I357" s="1487"/>
      <c r="J357" s="1487"/>
      <c r="K357" s="1487"/>
      <c r="L357" s="1487"/>
      <c r="M357" s="1487"/>
      <c r="N357" s="1487"/>
      <c r="O357" s="1487"/>
      <c r="P357" s="1487"/>
      <c r="Y357" s="1941"/>
    </row>
    <row r="358" spans="5:25">
      <c r="E358" s="1487"/>
      <c r="F358" s="1487"/>
      <c r="G358" s="1487"/>
      <c r="H358" s="1487"/>
      <c r="I358" s="1487"/>
      <c r="J358" s="1487"/>
      <c r="K358" s="1487"/>
      <c r="L358" s="1487"/>
      <c r="M358" s="1487"/>
      <c r="N358" s="1487"/>
      <c r="O358" s="1487"/>
      <c r="P358" s="1487"/>
      <c r="Y358" s="1941"/>
    </row>
    <row r="359" spans="5:25">
      <c r="E359" s="1487"/>
      <c r="F359" s="1487"/>
      <c r="G359" s="1487"/>
      <c r="H359" s="1487"/>
      <c r="I359" s="1487"/>
      <c r="J359" s="1487"/>
      <c r="K359" s="1487"/>
      <c r="L359" s="1487"/>
      <c r="M359" s="1487"/>
      <c r="N359" s="1487"/>
      <c r="O359" s="1487"/>
      <c r="P359" s="1487"/>
      <c r="Y359" s="1941"/>
    </row>
    <row r="360" spans="5:25">
      <c r="E360" s="1487"/>
      <c r="F360" s="1487"/>
      <c r="G360" s="1487"/>
      <c r="H360" s="1487"/>
      <c r="I360" s="1487"/>
      <c r="J360" s="1487"/>
      <c r="K360" s="1487"/>
      <c r="L360" s="1487"/>
      <c r="M360" s="1487"/>
      <c r="N360" s="1487"/>
      <c r="O360" s="1487"/>
      <c r="P360" s="1487"/>
      <c r="Y360" s="1941"/>
    </row>
    <row r="361" spans="5:25">
      <c r="E361" s="1487"/>
      <c r="F361" s="1487"/>
      <c r="G361" s="1487"/>
      <c r="H361" s="1487"/>
      <c r="I361" s="1487"/>
      <c r="J361" s="1487"/>
      <c r="K361" s="1487"/>
      <c r="L361" s="1487"/>
      <c r="M361" s="1487"/>
      <c r="N361" s="1487"/>
      <c r="O361" s="1487"/>
      <c r="P361" s="1487"/>
      <c r="Y361" s="1941"/>
    </row>
    <row r="362" spans="5:25">
      <c r="E362" s="1487"/>
      <c r="F362" s="1487"/>
      <c r="G362" s="1487"/>
      <c r="H362" s="1487"/>
      <c r="I362" s="1487"/>
      <c r="J362" s="1487"/>
      <c r="K362" s="1487"/>
      <c r="L362" s="1487"/>
      <c r="M362" s="1487"/>
      <c r="N362" s="1487"/>
      <c r="O362" s="1487"/>
      <c r="P362" s="1487"/>
      <c r="Y362" s="1941"/>
    </row>
    <row r="363" spans="5:25">
      <c r="E363" s="1487"/>
      <c r="F363" s="1487"/>
      <c r="G363" s="1487"/>
      <c r="H363" s="1487"/>
      <c r="I363" s="1487"/>
      <c r="J363" s="1487"/>
      <c r="K363" s="1487"/>
      <c r="L363" s="1487"/>
      <c r="M363" s="1487"/>
      <c r="N363" s="1487"/>
      <c r="O363" s="1487"/>
      <c r="P363" s="1487"/>
      <c r="Y363" s="1941"/>
    </row>
    <row r="364" spans="5:25">
      <c r="E364" s="1487"/>
      <c r="F364" s="1487"/>
      <c r="G364" s="1487"/>
      <c r="H364" s="1487"/>
      <c r="I364" s="1487"/>
      <c r="J364" s="1487"/>
      <c r="K364" s="1487"/>
      <c r="L364" s="1487"/>
      <c r="M364" s="1487"/>
      <c r="N364" s="1487"/>
      <c r="O364" s="1487"/>
      <c r="P364" s="1487"/>
      <c r="Y364" s="1941"/>
    </row>
    <row r="365" spans="5:25">
      <c r="E365" s="1487"/>
      <c r="F365" s="1487"/>
      <c r="G365" s="1487"/>
      <c r="H365" s="1487"/>
      <c r="I365" s="1487"/>
      <c r="J365" s="1487"/>
      <c r="K365" s="1487"/>
      <c r="L365" s="1487"/>
      <c r="M365" s="1487"/>
      <c r="N365" s="1487"/>
      <c r="O365" s="1487"/>
      <c r="P365" s="1487"/>
      <c r="Y365" s="1941"/>
    </row>
    <row r="366" spans="5:25">
      <c r="E366" s="1487"/>
      <c r="F366" s="1487"/>
      <c r="G366" s="1487"/>
      <c r="H366" s="1487"/>
      <c r="I366" s="1487"/>
      <c r="J366" s="1487"/>
      <c r="K366" s="1487"/>
      <c r="L366" s="1487"/>
      <c r="M366" s="1487"/>
      <c r="N366" s="1487"/>
      <c r="O366" s="1487"/>
      <c r="P366" s="1487"/>
      <c r="Y366" s="1941"/>
    </row>
    <row r="367" spans="5:25">
      <c r="E367" s="1487"/>
      <c r="F367" s="1487"/>
      <c r="G367" s="1487"/>
      <c r="H367" s="1487"/>
      <c r="I367" s="1487"/>
      <c r="J367" s="1487"/>
      <c r="K367" s="1487"/>
      <c r="L367" s="1487"/>
      <c r="M367" s="1487"/>
      <c r="N367" s="1487"/>
      <c r="O367" s="1487"/>
      <c r="P367" s="1487"/>
      <c r="Y367" s="1941"/>
    </row>
    <row r="368" spans="5:25">
      <c r="E368" s="1487"/>
      <c r="F368" s="1487"/>
      <c r="G368" s="1487"/>
      <c r="H368" s="1487"/>
      <c r="I368" s="1487"/>
      <c r="J368" s="1487"/>
      <c r="K368" s="1487"/>
      <c r="L368" s="1487"/>
      <c r="M368" s="1487"/>
      <c r="N368" s="1487"/>
      <c r="O368" s="1487"/>
      <c r="P368" s="1487"/>
      <c r="Y368" s="1941"/>
    </row>
    <row r="369" spans="5:25">
      <c r="E369" s="1487"/>
      <c r="F369" s="1487"/>
      <c r="G369" s="1487"/>
      <c r="H369" s="1487"/>
      <c r="I369" s="1487"/>
      <c r="J369" s="1487"/>
      <c r="K369" s="1487"/>
      <c r="L369" s="1487"/>
      <c r="M369" s="1487"/>
      <c r="N369" s="1487"/>
      <c r="O369" s="1487"/>
      <c r="P369" s="1487"/>
      <c r="Y369" s="1941"/>
    </row>
    <row r="370" spans="5:25">
      <c r="E370" s="1487"/>
      <c r="F370" s="1487"/>
      <c r="G370" s="1487"/>
      <c r="H370" s="1487"/>
      <c r="I370" s="1487"/>
      <c r="J370" s="1487"/>
      <c r="K370" s="1487"/>
      <c r="L370" s="1487"/>
      <c r="M370" s="1487"/>
      <c r="N370" s="1487"/>
      <c r="O370" s="1487"/>
      <c r="P370" s="1487"/>
      <c r="Y370" s="1941"/>
    </row>
    <row r="371" spans="5:25">
      <c r="E371" s="1487"/>
      <c r="F371" s="1487"/>
      <c r="G371" s="1487"/>
      <c r="H371" s="1487"/>
      <c r="I371" s="1487"/>
      <c r="J371" s="1487"/>
      <c r="K371" s="1487"/>
      <c r="L371" s="1487"/>
      <c r="M371" s="1487"/>
      <c r="N371" s="1487"/>
      <c r="O371" s="1487"/>
      <c r="P371" s="1487"/>
      <c r="Y371" s="1941"/>
    </row>
    <row r="372" spans="5:25">
      <c r="E372" s="1487"/>
      <c r="F372" s="1487"/>
      <c r="G372" s="1487"/>
      <c r="H372" s="1487"/>
      <c r="I372" s="1487"/>
      <c r="J372" s="1487"/>
      <c r="K372" s="1487"/>
      <c r="L372" s="1487"/>
      <c r="M372" s="1487"/>
      <c r="N372" s="1487"/>
      <c r="O372" s="1487"/>
      <c r="P372" s="1487"/>
      <c r="Y372" s="1941"/>
    </row>
    <row r="373" spans="5:25">
      <c r="E373" s="1487"/>
      <c r="F373" s="1487"/>
      <c r="G373" s="1487"/>
      <c r="H373" s="1487"/>
      <c r="I373" s="1487"/>
      <c r="J373" s="1487"/>
      <c r="K373" s="1487"/>
      <c r="L373" s="1487"/>
      <c r="M373" s="1487"/>
      <c r="N373" s="1487"/>
      <c r="O373" s="1487"/>
      <c r="P373" s="1487"/>
      <c r="Y373" s="1941"/>
    </row>
    <row r="374" spans="5:25">
      <c r="E374" s="1487"/>
      <c r="F374" s="1487"/>
      <c r="G374" s="1487"/>
      <c r="H374" s="1487"/>
      <c r="I374" s="1487"/>
      <c r="J374" s="1487"/>
      <c r="K374" s="1487"/>
      <c r="L374" s="1487"/>
      <c r="M374" s="1487"/>
      <c r="N374" s="1487"/>
      <c r="O374" s="1487"/>
      <c r="P374" s="1487"/>
      <c r="Y374" s="1941"/>
    </row>
    <row r="375" spans="5:25">
      <c r="E375" s="1487"/>
      <c r="F375" s="1487"/>
      <c r="G375" s="1487"/>
      <c r="H375" s="1487"/>
      <c r="I375" s="1487"/>
      <c r="J375" s="1487"/>
      <c r="K375" s="1487"/>
      <c r="L375" s="1487"/>
      <c r="M375" s="1487"/>
      <c r="N375" s="1487"/>
      <c r="O375" s="1487"/>
      <c r="P375" s="1487"/>
      <c r="Y375" s="1941"/>
    </row>
    <row r="376" spans="5:25">
      <c r="E376" s="1487"/>
      <c r="F376" s="1487"/>
      <c r="G376" s="1487"/>
      <c r="H376" s="1487"/>
      <c r="I376" s="1487"/>
      <c r="J376" s="1487"/>
      <c r="K376" s="1487"/>
      <c r="L376" s="1487"/>
      <c r="M376" s="1487"/>
      <c r="N376" s="1487"/>
      <c r="O376" s="1487"/>
      <c r="P376" s="1487"/>
      <c r="Y376" s="1941"/>
    </row>
    <row r="377" spans="5:25">
      <c r="E377" s="1487"/>
      <c r="F377" s="1487"/>
      <c r="G377" s="1487"/>
      <c r="H377" s="1487"/>
      <c r="I377" s="1487"/>
      <c r="J377" s="1487"/>
      <c r="K377" s="1487"/>
      <c r="L377" s="1487"/>
      <c r="M377" s="1487"/>
      <c r="N377" s="1487"/>
      <c r="O377" s="1487"/>
      <c r="P377" s="1487"/>
      <c r="Y377" s="1941"/>
    </row>
    <row r="378" spans="5:25">
      <c r="E378" s="1487"/>
      <c r="F378" s="1487"/>
      <c r="G378" s="1487"/>
      <c r="H378" s="1487"/>
      <c r="I378" s="1487"/>
      <c r="J378" s="1487"/>
      <c r="K378" s="1487"/>
      <c r="L378" s="1487"/>
      <c r="M378" s="1487"/>
      <c r="N378" s="1487"/>
      <c r="O378" s="1487"/>
      <c r="P378" s="1487"/>
      <c r="Y378" s="1941"/>
    </row>
    <row r="379" spans="5:25">
      <c r="E379" s="1487"/>
      <c r="F379" s="1487"/>
      <c r="G379" s="1487"/>
      <c r="H379" s="1487"/>
      <c r="I379" s="1487"/>
      <c r="J379" s="1487"/>
      <c r="K379" s="1487"/>
      <c r="L379" s="1487"/>
      <c r="M379" s="1487"/>
      <c r="N379" s="1487"/>
      <c r="O379" s="1487"/>
      <c r="P379" s="1487"/>
      <c r="Y379" s="1941"/>
    </row>
    <row r="380" spans="5:25">
      <c r="E380" s="1487"/>
      <c r="F380" s="1487"/>
      <c r="G380" s="1487"/>
      <c r="H380" s="1487"/>
      <c r="I380" s="1487"/>
      <c r="J380" s="1487"/>
      <c r="K380" s="1487"/>
      <c r="L380" s="1487"/>
      <c r="M380" s="1487"/>
      <c r="N380" s="1487"/>
      <c r="O380" s="1487"/>
      <c r="P380" s="1487"/>
      <c r="Y380" s="1941"/>
    </row>
    <row r="381" spans="5:25">
      <c r="E381" s="1487"/>
      <c r="F381" s="1487"/>
      <c r="G381" s="1487"/>
      <c r="H381" s="1487"/>
      <c r="I381" s="1487"/>
      <c r="J381" s="1487"/>
      <c r="K381" s="1487"/>
      <c r="L381" s="1487"/>
      <c r="M381" s="1487"/>
      <c r="N381" s="1487"/>
      <c r="O381" s="1487"/>
      <c r="P381" s="1487"/>
      <c r="Y381" s="1941"/>
    </row>
    <row r="382" spans="5:25">
      <c r="E382" s="1487"/>
      <c r="F382" s="1487"/>
      <c r="G382" s="1487"/>
      <c r="H382" s="1487"/>
      <c r="I382" s="1487"/>
      <c r="J382" s="1487"/>
      <c r="K382" s="1487"/>
      <c r="L382" s="1487"/>
      <c r="M382" s="1487"/>
      <c r="N382" s="1487"/>
      <c r="O382" s="1487"/>
      <c r="P382" s="1487"/>
      <c r="Y382" s="1941"/>
    </row>
    <row r="383" spans="5:25">
      <c r="E383" s="1487"/>
      <c r="F383" s="1487"/>
      <c r="G383" s="1487"/>
      <c r="H383" s="1487"/>
      <c r="I383" s="1487"/>
      <c r="J383" s="1487"/>
      <c r="K383" s="1487"/>
      <c r="L383" s="1487"/>
      <c r="M383" s="1487"/>
      <c r="N383" s="1487"/>
      <c r="O383" s="1487"/>
      <c r="P383" s="1487"/>
      <c r="Y383" s="1941"/>
    </row>
    <row r="384" spans="5:25">
      <c r="E384" s="1487"/>
      <c r="F384" s="1487"/>
      <c r="G384" s="1487"/>
      <c r="H384" s="1487"/>
      <c r="I384" s="1487"/>
      <c r="J384" s="1487"/>
      <c r="K384" s="1487"/>
      <c r="L384" s="1487"/>
      <c r="M384" s="1487"/>
      <c r="N384" s="1487"/>
      <c r="O384" s="1487"/>
      <c r="P384" s="1487"/>
      <c r="Y384" s="1941"/>
    </row>
    <row r="385" spans="5:25">
      <c r="E385" s="1487"/>
      <c r="F385" s="1487"/>
      <c r="G385" s="1487"/>
      <c r="H385" s="1487"/>
      <c r="I385" s="1487"/>
      <c r="J385" s="1487"/>
      <c r="K385" s="1487"/>
      <c r="L385" s="1487"/>
      <c r="M385" s="1487"/>
      <c r="N385" s="1487"/>
      <c r="O385" s="1487"/>
      <c r="P385" s="1487"/>
      <c r="Y385" s="1941"/>
    </row>
    <row r="386" spans="5:25">
      <c r="E386" s="1487"/>
      <c r="F386" s="1487"/>
      <c r="G386" s="1487"/>
      <c r="H386" s="1487"/>
      <c r="I386" s="1487"/>
      <c r="J386" s="1487"/>
      <c r="K386" s="1487"/>
      <c r="L386" s="1487"/>
      <c r="M386" s="1487"/>
      <c r="N386" s="1487"/>
      <c r="O386" s="1487"/>
      <c r="P386" s="1487"/>
      <c r="Y386" s="1941"/>
    </row>
    <row r="387" spans="5:25">
      <c r="E387" s="1487"/>
      <c r="F387" s="1487"/>
      <c r="G387" s="1487"/>
      <c r="H387" s="1487"/>
      <c r="I387" s="1487"/>
      <c r="J387" s="1487"/>
      <c r="K387" s="1487"/>
      <c r="L387" s="1487"/>
      <c r="M387" s="1487"/>
      <c r="N387" s="1487"/>
      <c r="O387" s="1487"/>
      <c r="P387" s="1487"/>
      <c r="Y387" s="1941"/>
    </row>
    <row r="388" spans="5:25">
      <c r="E388" s="1487"/>
      <c r="F388" s="1487"/>
      <c r="G388" s="1487"/>
      <c r="H388" s="1487"/>
      <c r="I388" s="1487"/>
      <c r="J388" s="1487"/>
      <c r="K388" s="1487"/>
      <c r="L388" s="1487"/>
      <c r="M388" s="1487"/>
      <c r="N388" s="1487"/>
      <c r="O388" s="1487"/>
      <c r="P388" s="1487"/>
      <c r="Y388" s="1941"/>
    </row>
    <row r="389" spans="5:25">
      <c r="E389" s="1487"/>
      <c r="F389" s="1487"/>
      <c r="G389" s="1487"/>
      <c r="H389" s="1487"/>
      <c r="I389" s="1487"/>
      <c r="J389" s="1487"/>
      <c r="K389" s="1487"/>
      <c r="L389" s="1487"/>
      <c r="M389" s="1487"/>
      <c r="N389" s="1487"/>
      <c r="O389" s="1487"/>
      <c r="P389" s="1487"/>
      <c r="Y389" s="1941"/>
    </row>
    <row r="390" spans="5:25">
      <c r="E390" s="1487"/>
      <c r="F390" s="1487"/>
      <c r="G390" s="1487"/>
      <c r="H390" s="1487"/>
      <c r="I390" s="1487"/>
      <c r="J390" s="1487"/>
      <c r="K390" s="1487"/>
      <c r="L390" s="1487"/>
      <c r="M390" s="1487"/>
      <c r="N390" s="1487"/>
      <c r="O390" s="1487"/>
      <c r="P390" s="1487"/>
      <c r="Y390" s="1941"/>
    </row>
    <row r="391" spans="5:25">
      <c r="E391" s="1487"/>
      <c r="F391" s="1487"/>
      <c r="G391" s="1487"/>
      <c r="H391" s="1487"/>
      <c r="I391" s="1487"/>
      <c r="J391" s="1487"/>
      <c r="K391" s="1487"/>
      <c r="L391" s="1487"/>
      <c r="M391" s="1487"/>
      <c r="N391" s="1487"/>
      <c r="O391" s="1487"/>
      <c r="P391" s="1487"/>
      <c r="Y391" s="1941"/>
    </row>
    <row r="392" spans="5:25">
      <c r="E392" s="1487"/>
      <c r="F392" s="1487"/>
      <c r="G392" s="1487"/>
      <c r="H392" s="1487"/>
      <c r="I392" s="1487"/>
      <c r="J392" s="1487"/>
      <c r="K392" s="1487"/>
      <c r="L392" s="1487"/>
      <c r="M392" s="1487"/>
      <c r="N392" s="1487"/>
      <c r="O392" s="1487"/>
      <c r="P392" s="1487"/>
      <c r="Y392" s="1941"/>
    </row>
    <row r="393" spans="5:25">
      <c r="E393" s="1487"/>
      <c r="F393" s="1487"/>
      <c r="G393" s="1487"/>
      <c r="H393" s="1487"/>
      <c r="I393" s="1487"/>
      <c r="J393" s="1487"/>
      <c r="K393" s="1487"/>
      <c r="L393" s="1487"/>
      <c r="M393" s="1487"/>
      <c r="N393" s="1487"/>
      <c r="O393" s="1487"/>
      <c r="P393" s="1487"/>
      <c r="Y393" s="1941"/>
    </row>
    <row r="394" spans="5:25">
      <c r="E394" s="1487"/>
      <c r="F394" s="1487"/>
      <c r="G394" s="1487"/>
      <c r="H394" s="1487"/>
      <c r="I394" s="1487"/>
      <c r="J394" s="1487"/>
      <c r="K394" s="1487"/>
      <c r="L394" s="1487"/>
      <c r="M394" s="1487"/>
      <c r="N394" s="1487"/>
      <c r="O394" s="1487"/>
      <c r="P394" s="1487"/>
      <c r="Y394" s="1941"/>
    </row>
    <row r="395" spans="5:25">
      <c r="E395" s="1487"/>
      <c r="F395" s="1487"/>
      <c r="G395" s="1487"/>
      <c r="H395" s="1487"/>
      <c r="I395" s="1487"/>
      <c r="J395" s="1487"/>
      <c r="K395" s="1487"/>
      <c r="L395" s="1487"/>
      <c r="M395" s="1487"/>
      <c r="N395" s="1487"/>
      <c r="O395" s="1487"/>
      <c r="P395" s="1487"/>
      <c r="Y395" s="1941"/>
    </row>
    <row r="396" spans="5:25">
      <c r="E396" s="1487"/>
      <c r="F396" s="1487"/>
      <c r="G396" s="1487"/>
      <c r="H396" s="1487"/>
      <c r="I396" s="1487"/>
      <c r="J396" s="1487"/>
      <c r="K396" s="1487"/>
      <c r="L396" s="1487"/>
      <c r="M396" s="1487"/>
      <c r="N396" s="1487"/>
      <c r="O396" s="1487"/>
      <c r="P396" s="1487"/>
      <c r="Y396" s="1941"/>
    </row>
    <row r="397" spans="5:25">
      <c r="E397" s="1487"/>
      <c r="F397" s="1487"/>
      <c r="G397" s="1487"/>
      <c r="H397" s="1487"/>
      <c r="I397" s="1487"/>
      <c r="J397" s="1487"/>
      <c r="K397" s="1487"/>
      <c r="L397" s="1487"/>
      <c r="M397" s="1487"/>
      <c r="N397" s="1487"/>
      <c r="O397" s="1487"/>
      <c r="P397" s="1487"/>
      <c r="Y397" s="1941"/>
    </row>
    <row r="398" spans="5:25">
      <c r="E398" s="1487"/>
      <c r="F398" s="1487"/>
      <c r="G398" s="1487"/>
      <c r="H398" s="1487"/>
      <c r="I398" s="1487"/>
      <c r="J398" s="1487"/>
      <c r="K398" s="1487"/>
      <c r="L398" s="1487"/>
      <c r="M398" s="1487"/>
      <c r="N398" s="1487"/>
      <c r="O398" s="1487"/>
      <c r="P398" s="1487"/>
      <c r="Y398" s="1941"/>
    </row>
    <row r="399" spans="5:25">
      <c r="E399" s="1487"/>
      <c r="F399" s="1487"/>
      <c r="G399" s="1487"/>
      <c r="H399" s="1487"/>
      <c r="I399" s="1487"/>
      <c r="J399" s="1487"/>
      <c r="K399" s="1487"/>
      <c r="L399" s="1487"/>
      <c r="M399" s="1487"/>
      <c r="N399" s="1487"/>
      <c r="O399" s="1487"/>
      <c r="P399" s="1487"/>
      <c r="Y399" s="1941"/>
    </row>
    <row r="400" spans="5:25">
      <c r="E400" s="1487"/>
      <c r="F400" s="1487"/>
      <c r="G400" s="1487"/>
      <c r="H400" s="1487"/>
      <c r="I400" s="1487"/>
      <c r="J400" s="1487"/>
      <c r="K400" s="1487"/>
      <c r="L400" s="1487"/>
      <c r="M400" s="1487"/>
      <c r="N400" s="1487"/>
      <c r="O400" s="1487"/>
      <c r="P400" s="1487"/>
      <c r="Y400" s="1941"/>
    </row>
    <row r="401" spans="5:25">
      <c r="E401" s="1487"/>
      <c r="F401" s="1487"/>
      <c r="G401" s="1487"/>
      <c r="H401" s="1487"/>
      <c r="I401" s="1487"/>
      <c r="J401" s="1487"/>
      <c r="K401" s="1487"/>
      <c r="L401" s="1487"/>
      <c r="M401" s="1487"/>
      <c r="N401" s="1487"/>
      <c r="O401" s="1487"/>
      <c r="P401" s="1487"/>
      <c r="Y401" s="1941"/>
    </row>
    <row r="402" spans="5:25">
      <c r="E402" s="1487"/>
      <c r="F402" s="1487"/>
      <c r="G402" s="1487"/>
      <c r="H402" s="1487"/>
      <c r="I402" s="1487"/>
      <c r="J402" s="1487"/>
      <c r="K402" s="1487"/>
      <c r="L402" s="1487"/>
      <c r="M402" s="1487"/>
      <c r="N402" s="1487"/>
      <c r="O402" s="1487"/>
      <c r="P402" s="1487"/>
      <c r="Y402" s="1941"/>
    </row>
    <row r="403" spans="5:25">
      <c r="E403" s="1487"/>
      <c r="F403" s="1487"/>
      <c r="G403" s="1487"/>
      <c r="H403" s="1487"/>
      <c r="I403" s="1487"/>
      <c r="J403" s="1487"/>
      <c r="K403" s="1487"/>
      <c r="L403" s="1487"/>
      <c r="M403" s="1487"/>
      <c r="N403" s="1487"/>
      <c r="O403" s="1487"/>
      <c r="P403" s="1487"/>
      <c r="Y403" s="1941"/>
    </row>
    <row r="404" spans="5:25">
      <c r="E404" s="1487"/>
      <c r="F404" s="1487"/>
      <c r="G404" s="1487"/>
      <c r="H404" s="1487"/>
      <c r="I404" s="1487"/>
      <c r="J404" s="1487"/>
      <c r="K404" s="1487"/>
      <c r="L404" s="1487"/>
      <c r="M404" s="1487"/>
      <c r="N404" s="1487"/>
      <c r="O404" s="1487"/>
      <c r="P404" s="1487"/>
      <c r="Y404" s="1941"/>
    </row>
    <row r="405" spans="5:25">
      <c r="E405" s="1487"/>
      <c r="F405" s="1487"/>
      <c r="G405" s="1487"/>
      <c r="H405" s="1487"/>
      <c r="I405" s="1487"/>
      <c r="J405" s="1487"/>
      <c r="K405" s="1487"/>
      <c r="L405" s="1487"/>
      <c r="M405" s="1487"/>
      <c r="N405" s="1487"/>
      <c r="O405" s="1487"/>
      <c r="P405" s="1487"/>
      <c r="Y405" s="1941"/>
    </row>
    <row r="406" spans="5:25">
      <c r="E406" s="1487"/>
      <c r="F406" s="1487"/>
      <c r="G406" s="1487"/>
      <c r="H406" s="1487"/>
      <c r="I406" s="1487"/>
      <c r="J406" s="1487"/>
      <c r="K406" s="1487"/>
      <c r="L406" s="1487"/>
      <c r="M406" s="1487"/>
      <c r="N406" s="1487"/>
      <c r="O406" s="1487"/>
      <c r="P406" s="1487"/>
      <c r="Y406" s="1941"/>
    </row>
    <row r="407" spans="5:25">
      <c r="E407" s="1487"/>
      <c r="F407" s="1487"/>
      <c r="G407" s="1487"/>
      <c r="H407" s="1487"/>
      <c r="I407" s="1487"/>
      <c r="J407" s="1487"/>
      <c r="K407" s="1487"/>
      <c r="L407" s="1487"/>
      <c r="M407" s="1487"/>
      <c r="N407" s="1487"/>
      <c r="O407" s="1487"/>
      <c r="P407" s="1487"/>
      <c r="Y407" s="1941"/>
    </row>
    <row r="408" spans="5:25">
      <c r="E408" s="1487"/>
      <c r="F408" s="1487"/>
      <c r="G408" s="1487"/>
      <c r="H408" s="1487"/>
      <c r="I408" s="1487"/>
      <c r="J408" s="1487"/>
      <c r="K408" s="1487"/>
      <c r="L408" s="1487"/>
      <c r="M408" s="1487"/>
      <c r="N408" s="1487"/>
      <c r="O408" s="1487"/>
      <c r="P408" s="1487"/>
      <c r="Y408" s="1941"/>
    </row>
    <row r="409" spans="5:25">
      <c r="E409" s="1487"/>
      <c r="F409" s="1487"/>
      <c r="G409" s="1487"/>
      <c r="H409" s="1487"/>
      <c r="I409" s="1487"/>
      <c r="J409" s="1487"/>
      <c r="K409" s="1487"/>
      <c r="L409" s="1487"/>
      <c r="M409" s="1487"/>
      <c r="N409" s="1487"/>
      <c r="O409" s="1487"/>
      <c r="P409" s="1487"/>
      <c r="Y409" s="1941"/>
    </row>
    <row r="410" spans="5:25">
      <c r="E410" s="1487"/>
      <c r="F410" s="1487"/>
      <c r="G410" s="1487"/>
      <c r="H410" s="1487"/>
      <c r="I410" s="1487"/>
      <c r="J410" s="1487"/>
      <c r="K410" s="1487"/>
      <c r="L410" s="1487"/>
      <c r="M410" s="1487"/>
      <c r="N410" s="1487"/>
      <c r="O410" s="1487"/>
      <c r="P410" s="1487"/>
      <c r="Y410" s="1941"/>
    </row>
    <row r="411" spans="5:25">
      <c r="E411" s="1487"/>
      <c r="F411" s="1487"/>
      <c r="G411" s="1487"/>
      <c r="H411" s="1487"/>
      <c r="I411" s="1487"/>
      <c r="J411" s="1487"/>
      <c r="K411" s="1487"/>
      <c r="L411" s="1487"/>
      <c r="M411" s="1487"/>
      <c r="N411" s="1487"/>
      <c r="O411" s="1487"/>
      <c r="P411" s="1487"/>
      <c r="Y411" s="1941"/>
    </row>
    <row r="412" spans="5:25">
      <c r="E412" s="1487"/>
      <c r="F412" s="1487"/>
      <c r="G412" s="1487"/>
      <c r="H412" s="1487"/>
      <c r="I412" s="1487"/>
      <c r="J412" s="1487"/>
      <c r="K412" s="1487"/>
      <c r="L412" s="1487"/>
      <c r="M412" s="1487"/>
      <c r="N412" s="1487"/>
      <c r="O412" s="1487"/>
      <c r="P412" s="1487"/>
      <c r="Y412" s="1941"/>
    </row>
    <row r="413" spans="5:25">
      <c r="E413" s="1487"/>
      <c r="F413" s="1487"/>
      <c r="G413" s="1487"/>
      <c r="H413" s="1487"/>
      <c r="I413" s="1487"/>
      <c r="J413" s="1487"/>
      <c r="K413" s="1487"/>
      <c r="L413" s="1487"/>
      <c r="M413" s="1487"/>
      <c r="N413" s="1487"/>
      <c r="O413" s="1487"/>
      <c r="P413" s="1487"/>
      <c r="Y413" s="1941"/>
    </row>
    <row r="414" spans="5:25">
      <c r="E414" s="1487"/>
      <c r="F414" s="1487"/>
      <c r="G414" s="1487"/>
      <c r="H414" s="1487"/>
      <c r="I414" s="1487"/>
      <c r="J414" s="1487"/>
      <c r="K414" s="1487"/>
      <c r="L414" s="1487"/>
      <c r="M414" s="1487"/>
      <c r="N414" s="1487"/>
      <c r="O414" s="1487"/>
      <c r="P414" s="1487"/>
      <c r="Y414" s="1941"/>
    </row>
    <row r="415" spans="5:25">
      <c r="E415" s="1487"/>
      <c r="F415" s="1487"/>
      <c r="G415" s="1487"/>
      <c r="H415" s="1487"/>
      <c r="I415" s="1487"/>
      <c r="J415" s="1487"/>
      <c r="K415" s="1487"/>
      <c r="L415" s="1487"/>
      <c r="M415" s="1487"/>
      <c r="N415" s="1487"/>
      <c r="O415" s="1487"/>
      <c r="P415" s="1487"/>
      <c r="Y415" s="1941"/>
    </row>
    <row r="416" spans="5:25">
      <c r="E416" s="1487"/>
      <c r="F416" s="1487"/>
      <c r="G416" s="1487"/>
      <c r="H416" s="1487"/>
      <c r="I416" s="1487"/>
      <c r="J416" s="1487"/>
      <c r="K416" s="1487"/>
      <c r="L416" s="1487"/>
      <c r="M416" s="1487"/>
      <c r="N416" s="1487"/>
      <c r="O416" s="1487"/>
      <c r="P416" s="1487"/>
      <c r="Y416" s="1941"/>
    </row>
    <row r="417" spans="5:25">
      <c r="E417" s="1487"/>
      <c r="F417" s="1487"/>
      <c r="G417" s="1487"/>
      <c r="H417" s="1487"/>
      <c r="I417" s="1487"/>
      <c r="J417" s="1487"/>
      <c r="K417" s="1487"/>
      <c r="L417" s="1487"/>
      <c r="M417" s="1487"/>
      <c r="N417" s="1487"/>
      <c r="O417" s="1487"/>
      <c r="P417" s="1487"/>
      <c r="Y417" s="1941"/>
    </row>
    <row r="418" spans="5:25">
      <c r="E418" s="1487"/>
      <c r="F418" s="1487"/>
      <c r="G418" s="1487"/>
      <c r="H418" s="1487"/>
      <c r="I418" s="1487"/>
      <c r="J418" s="1487"/>
      <c r="K418" s="1487"/>
      <c r="L418" s="1487"/>
      <c r="M418" s="1487"/>
      <c r="N418" s="1487"/>
      <c r="O418" s="1487"/>
      <c r="P418" s="1487"/>
      <c r="Y418" s="1941"/>
    </row>
    <row r="419" spans="5:25">
      <c r="E419" s="1487"/>
      <c r="F419" s="1487"/>
      <c r="G419" s="1487"/>
      <c r="H419" s="1487"/>
      <c r="I419" s="1487"/>
      <c r="J419" s="1487"/>
      <c r="K419" s="1487"/>
      <c r="L419" s="1487"/>
      <c r="M419" s="1487"/>
      <c r="N419" s="1487"/>
      <c r="O419" s="1487"/>
      <c r="P419" s="1487"/>
      <c r="Y419" s="1941"/>
    </row>
    <row r="420" spans="5:25">
      <c r="E420" s="1487"/>
      <c r="F420" s="1487"/>
      <c r="G420" s="1487"/>
      <c r="H420" s="1487"/>
      <c r="I420" s="1487"/>
      <c r="J420" s="1487"/>
      <c r="K420" s="1487"/>
      <c r="L420" s="1487"/>
      <c r="M420" s="1487"/>
      <c r="N420" s="1487"/>
      <c r="O420" s="1487"/>
      <c r="P420" s="1487"/>
      <c r="Y420" s="1941"/>
    </row>
    <row r="421" spans="5:25">
      <c r="E421" s="1487"/>
      <c r="F421" s="1487"/>
      <c r="G421" s="1487"/>
      <c r="H421" s="1487"/>
      <c r="I421" s="1487"/>
      <c r="J421" s="1487"/>
      <c r="K421" s="1487"/>
      <c r="L421" s="1487"/>
      <c r="M421" s="1487"/>
      <c r="N421" s="1487"/>
      <c r="O421" s="1487"/>
      <c r="P421" s="1487"/>
      <c r="Y421" s="1941"/>
    </row>
    <row r="422" spans="5:25">
      <c r="E422" s="1487"/>
      <c r="F422" s="1487"/>
      <c r="G422" s="1487"/>
      <c r="H422" s="1487"/>
      <c r="I422" s="1487"/>
      <c r="J422" s="1487"/>
      <c r="K422" s="1487"/>
      <c r="L422" s="1487"/>
      <c r="M422" s="1487"/>
      <c r="N422" s="1487"/>
      <c r="O422" s="1487"/>
      <c r="P422" s="1487"/>
      <c r="Y422" s="1941"/>
    </row>
    <row r="423" spans="5:25">
      <c r="E423" s="1487"/>
      <c r="F423" s="1487"/>
      <c r="G423" s="1487"/>
      <c r="H423" s="1487"/>
      <c r="I423" s="1487"/>
      <c r="J423" s="1487"/>
      <c r="K423" s="1487"/>
      <c r="L423" s="1487"/>
      <c r="M423" s="1487"/>
      <c r="N423" s="1487"/>
      <c r="O423" s="1487"/>
      <c r="P423" s="1487"/>
      <c r="Y423" s="1941"/>
    </row>
    <row r="424" spans="5:25">
      <c r="E424" s="1487"/>
      <c r="F424" s="1487"/>
      <c r="G424" s="1487"/>
      <c r="H424" s="1487"/>
      <c r="I424" s="1487"/>
      <c r="J424" s="1487"/>
      <c r="K424" s="1487"/>
      <c r="L424" s="1487"/>
      <c r="M424" s="1487"/>
      <c r="N424" s="1487"/>
      <c r="O424" s="1487"/>
      <c r="P424" s="1487"/>
      <c r="Y424" s="1941"/>
    </row>
    <row r="425" spans="5:25">
      <c r="E425" s="1487"/>
      <c r="F425" s="1487"/>
      <c r="G425" s="1487"/>
      <c r="H425" s="1487"/>
      <c r="I425" s="1487"/>
      <c r="J425" s="1487"/>
      <c r="K425" s="1487"/>
      <c r="L425" s="1487"/>
      <c r="M425" s="1487"/>
      <c r="N425" s="1487"/>
      <c r="O425" s="1487"/>
      <c r="P425" s="1487"/>
      <c r="Y425" s="1941"/>
    </row>
    <row r="426" spans="5:25">
      <c r="E426" s="1487"/>
      <c r="F426" s="1487"/>
      <c r="G426" s="1487"/>
      <c r="H426" s="1487"/>
      <c r="I426" s="1487"/>
      <c r="J426" s="1487"/>
      <c r="K426" s="1487"/>
      <c r="L426" s="1487"/>
      <c r="M426" s="1487"/>
      <c r="N426" s="1487"/>
      <c r="O426" s="1487"/>
      <c r="P426" s="1487"/>
      <c r="Y426" s="1941"/>
    </row>
    <row r="427" spans="5:25">
      <c r="E427" s="1487"/>
      <c r="F427" s="1487"/>
      <c r="G427" s="1487"/>
      <c r="H427" s="1487"/>
      <c r="I427" s="1487"/>
      <c r="J427" s="1487"/>
      <c r="K427" s="1487"/>
      <c r="L427" s="1487"/>
      <c r="M427" s="1487"/>
      <c r="N427" s="1487"/>
      <c r="O427" s="1487"/>
      <c r="P427" s="1487"/>
      <c r="Y427" s="1941"/>
    </row>
    <row r="428" spans="5:25">
      <c r="E428" s="1487"/>
      <c r="F428" s="1487"/>
      <c r="G428" s="1487"/>
      <c r="H428" s="1487"/>
      <c r="I428" s="1487"/>
      <c r="J428" s="1487"/>
      <c r="K428" s="1487"/>
      <c r="L428" s="1487"/>
      <c r="M428" s="1487"/>
      <c r="N428" s="1487"/>
      <c r="O428" s="1487"/>
      <c r="P428" s="1487"/>
      <c r="Y428" s="1941"/>
    </row>
    <row r="429" spans="5:25">
      <c r="E429" s="1487"/>
      <c r="F429" s="1487"/>
      <c r="G429" s="1487"/>
      <c r="H429" s="1487"/>
      <c r="I429" s="1487"/>
      <c r="J429" s="1487"/>
      <c r="K429" s="1487"/>
      <c r="L429" s="1487"/>
      <c r="M429" s="1487"/>
      <c r="N429" s="1487"/>
      <c r="O429" s="1487"/>
      <c r="P429" s="1487"/>
      <c r="Y429" s="1941"/>
    </row>
    <row r="430" spans="5:25">
      <c r="E430" s="1487"/>
      <c r="F430" s="1487"/>
      <c r="G430" s="1487"/>
      <c r="H430" s="1487"/>
      <c r="I430" s="1487"/>
      <c r="J430" s="1487"/>
      <c r="K430" s="1487"/>
      <c r="L430" s="1487"/>
      <c r="M430" s="1487"/>
      <c r="N430" s="1487"/>
      <c r="O430" s="1487"/>
      <c r="P430" s="1487"/>
      <c r="Y430" s="1941"/>
    </row>
    <row r="431" spans="5:25">
      <c r="E431" s="1487"/>
      <c r="F431" s="1487"/>
      <c r="G431" s="1487"/>
      <c r="H431" s="1487"/>
      <c r="I431" s="1487"/>
      <c r="J431" s="1487"/>
      <c r="K431" s="1487"/>
      <c r="L431" s="1487"/>
      <c r="M431" s="1487"/>
      <c r="N431" s="1487"/>
      <c r="O431" s="1487"/>
      <c r="P431" s="1487"/>
      <c r="Y431" s="1941"/>
    </row>
    <row r="432" spans="5:25">
      <c r="E432" s="1487"/>
      <c r="F432" s="1487"/>
      <c r="G432" s="1487"/>
      <c r="H432" s="1487"/>
      <c r="I432" s="1487"/>
      <c r="J432" s="1487"/>
      <c r="K432" s="1487"/>
      <c r="L432" s="1487"/>
      <c r="M432" s="1487"/>
      <c r="N432" s="1487"/>
      <c r="O432" s="1487"/>
      <c r="P432" s="1487"/>
      <c r="Y432" s="1941"/>
    </row>
    <row r="433" spans="5:25">
      <c r="E433" s="1487"/>
      <c r="F433" s="1487"/>
      <c r="G433" s="1487"/>
      <c r="H433" s="1487"/>
      <c r="I433" s="1487"/>
      <c r="J433" s="1487"/>
      <c r="K433" s="1487"/>
      <c r="L433" s="1487"/>
      <c r="M433" s="1487"/>
      <c r="N433" s="1487"/>
      <c r="O433" s="1487"/>
      <c r="P433" s="1487"/>
      <c r="Y433" s="1941"/>
    </row>
    <row r="434" spans="5:25">
      <c r="E434" s="1487"/>
      <c r="F434" s="1487"/>
      <c r="G434" s="1487"/>
      <c r="H434" s="1487"/>
      <c r="I434" s="1487"/>
      <c r="J434" s="1487"/>
      <c r="K434" s="1487"/>
      <c r="L434" s="1487"/>
      <c r="M434" s="1487"/>
      <c r="N434" s="1487"/>
      <c r="O434" s="1487"/>
      <c r="P434" s="1487"/>
      <c r="Y434" s="1941"/>
    </row>
    <row r="435" spans="5:25">
      <c r="E435" s="1487"/>
      <c r="F435" s="1487"/>
      <c r="G435" s="1487"/>
      <c r="H435" s="1487"/>
      <c r="I435" s="1487"/>
      <c r="J435" s="1487"/>
      <c r="K435" s="1487"/>
      <c r="L435" s="1487"/>
      <c r="M435" s="1487"/>
      <c r="N435" s="1487"/>
      <c r="O435" s="1487"/>
      <c r="P435" s="1487"/>
      <c r="Y435" s="1941"/>
    </row>
    <row r="436" spans="5:25">
      <c r="E436" s="1487"/>
      <c r="F436" s="1487"/>
      <c r="G436" s="1487"/>
      <c r="H436" s="1487"/>
      <c r="I436" s="1487"/>
      <c r="J436" s="1487"/>
      <c r="K436" s="1487"/>
      <c r="L436" s="1487"/>
      <c r="M436" s="1487"/>
      <c r="N436" s="1487"/>
      <c r="O436" s="1487"/>
      <c r="P436" s="1487"/>
      <c r="Y436" s="1941"/>
    </row>
    <row r="437" spans="5:25">
      <c r="E437" s="1487"/>
      <c r="F437" s="1487"/>
      <c r="G437" s="1487"/>
      <c r="H437" s="1487"/>
      <c r="I437" s="1487"/>
      <c r="J437" s="1487"/>
      <c r="K437" s="1487"/>
      <c r="L437" s="1487"/>
      <c r="M437" s="1487"/>
      <c r="N437" s="1487"/>
      <c r="O437" s="1487"/>
      <c r="P437" s="1487"/>
      <c r="Y437" s="1941"/>
    </row>
    <row r="438" spans="5:25">
      <c r="E438" s="1487"/>
      <c r="F438" s="1487"/>
      <c r="G438" s="1487"/>
      <c r="H438" s="1487"/>
      <c r="I438" s="1487"/>
      <c r="J438" s="1487"/>
      <c r="K438" s="1487"/>
      <c r="L438" s="1487"/>
      <c r="M438" s="1487"/>
      <c r="N438" s="1487"/>
      <c r="O438" s="1487"/>
      <c r="P438" s="1487"/>
      <c r="Y438" s="1941"/>
    </row>
    <row r="439" spans="5:25">
      <c r="E439" s="1487"/>
      <c r="F439" s="1487"/>
      <c r="G439" s="1487"/>
      <c r="H439" s="1487"/>
      <c r="I439" s="1487"/>
      <c r="J439" s="1487"/>
      <c r="K439" s="1487"/>
      <c r="L439" s="1487"/>
      <c r="M439" s="1487"/>
      <c r="N439" s="1487"/>
      <c r="O439" s="1487"/>
      <c r="P439" s="1487"/>
      <c r="Y439" s="1941"/>
    </row>
    <row r="440" spans="5:25">
      <c r="E440" s="1487"/>
      <c r="F440" s="1487"/>
      <c r="G440" s="1487"/>
      <c r="H440" s="1487"/>
      <c r="I440" s="1487"/>
      <c r="J440" s="1487"/>
      <c r="K440" s="1487"/>
      <c r="L440" s="1487"/>
      <c r="M440" s="1487"/>
      <c r="N440" s="1487"/>
      <c r="O440" s="1487"/>
      <c r="P440" s="1487"/>
      <c r="Y440" s="1941"/>
    </row>
    <row r="441" spans="5:25">
      <c r="E441" s="1487"/>
      <c r="F441" s="1487"/>
      <c r="G441" s="1487"/>
      <c r="H441" s="1487"/>
      <c r="I441" s="1487"/>
      <c r="J441" s="1487"/>
      <c r="K441" s="1487"/>
      <c r="L441" s="1487"/>
      <c r="M441" s="1487"/>
      <c r="N441" s="1487"/>
      <c r="O441" s="1487"/>
      <c r="P441" s="1487"/>
      <c r="Y441" s="1941"/>
    </row>
    <row r="442" spans="5:25">
      <c r="E442" s="1487"/>
      <c r="F442" s="1487"/>
      <c r="G442" s="1487"/>
      <c r="H442" s="1487"/>
      <c r="I442" s="1487"/>
      <c r="J442" s="1487"/>
      <c r="K442" s="1487"/>
      <c r="L442" s="1487"/>
      <c r="M442" s="1487"/>
      <c r="N442" s="1487"/>
      <c r="O442" s="1487"/>
      <c r="P442" s="1487"/>
      <c r="Y442" s="1941"/>
    </row>
    <row r="443" spans="5:25">
      <c r="E443" s="1487"/>
      <c r="F443" s="1487"/>
      <c r="G443" s="1487"/>
      <c r="H443" s="1487"/>
      <c r="I443" s="1487"/>
      <c r="J443" s="1487"/>
      <c r="K443" s="1487"/>
      <c r="L443" s="1487"/>
      <c r="M443" s="1487"/>
      <c r="N443" s="1487"/>
      <c r="O443" s="1487"/>
      <c r="P443" s="1487"/>
      <c r="Y443" s="1941"/>
    </row>
    <row r="444" spans="5:25">
      <c r="E444" s="1487"/>
      <c r="F444" s="1487"/>
      <c r="G444" s="1487"/>
      <c r="H444" s="1487"/>
      <c r="I444" s="1487"/>
      <c r="J444" s="1487"/>
      <c r="K444" s="1487"/>
      <c r="L444" s="1487"/>
      <c r="M444" s="1487"/>
      <c r="N444" s="1487"/>
      <c r="O444" s="1487"/>
      <c r="P444" s="1487"/>
      <c r="Y444" s="1941"/>
    </row>
    <row r="445" spans="5:25">
      <c r="E445" s="1487"/>
      <c r="F445" s="1487"/>
      <c r="G445" s="1487"/>
      <c r="H445" s="1487"/>
      <c r="I445" s="1487"/>
      <c r="J445" s="1487"/>
      <c r="K445" s="1487"/>
      <c r="L445" s="1487"/>
      <c r="M445" s="1487"/>
      <c r="N445" s="1487"/>
      <c r="O445" s="1487"/>
      <c r="P445" s="1487"/>
      <c r="Y445" s="1941"/>
    </row>
    <row r="446" spans="5:25">
      <c r="E446" s="1487"/>
      <c r="F446" s="1487"/>
      <c r="G446" s="1487"/>
      <c r="H446" s="1487"/>
      <c r="I446" s="1487"/>
      <c r="J446" s="1487"/>
      <c r="K446" s="1487"/>
      <c r="L446" s="1487"/>
      <c r="M446" s="1487"/>
      <c r="N446" s="1487"/>
      <c r="O446" s="1487"/>
      <c r="P446" s="1487"/>
      <c r="Y446" s="1941"/>
    </row>
    <row r="447" spans="5:25">
      <c r="E447" s="1487"/>
      <c r="F447" s="1487"/>
      <c r="G447" s="1487"/>
      <c r="H447" s="1487"/>
      <c r="I447" s="1487"/>
      <c r="J447" s="1487"/>
      <c r="K447" s="1487"/>
      <c r="L447" s="1487"/>
      <c r="M447" s="1487"/>
      <c r="N447" s="1487"/>
      <c r="O447" s="1487"/>
      <c r="P447" s="1487"/>
      <c r="Y447" s="1941"/>
    </row>
    <row r="448" spans="5:25">
      <c r="E448" s="1487"/>
      <c r="F448" s="1487"/>
      <c r="G448" s="1487"/>
      <c r="H448" s="1487"/>
      <c r="I448" s="1487"/>
      <c r="J448" s="1487"/>
      <c r="K448" s="1487"/>
      <c r="L448" s="1487"/>
      <c r="M448" s="1487"/>
      <c r="N448" s="1487"/>
      <c r="O448" s="1487"/>
      <c r="P448" s="1487"/>
      <c r="Y448" s="1941"/>
    </row>
    <row r="449" spans="5:25">
      <c r="E449" s="1487"/>
      <c r="F449" s="1487"/>
      <c r="G449" s="1487"/>
      <c r="H449" s="1487"/>
      <c r="I449" s="1487"/>
      <c r="J449" s="1487"/>
      <c r="K449" s="1487"/>
      <c r="L449" s="1487"/>
      <c r="M449" s="1487"/>
      <c r="N449" s="1487"/>
      <c r="O449" s="1487"/>
      <c r="P449" s="1487"/>
      <c r="Y449" s="1941"/>
    </row>
    <row r="450" spans="5:25">
      <c r="E450" s="1487"/>
      <c r="F450" s="1487"/>
      <c r="G450" s="1487"/>
      <c r="H450" s="1487"/>
      <c r="I450" s="1487"/>
      <c r="J450" s="1487"/>
      <c r="K450" s="1487"/>
      <c r="L450" s="1487"/>
      <c r="M450" s="1487"/>
      <c r="N450" s="1487"/>
      <c r="O450" s="1487"/>
      <c r="P450" s="1487"/>
      <c r="Y450" s="1941"/>
    </row>
    <row r="451" spans="5:25">
      <c r="E451" s="1487"/>
      <c r="F451" s="1487"/>
      <c r="G451" s="1487"/>
      <c r="H451" s="1487"/>
      <c r="I451" s="1487"/>
      <c r="J451" s="1487"/>
      <c r="K451" s="1487"/>
      <c r="L451" s="1487"/>
      <c r="M451" s="1487"/>
      <c r="N451" s="1487"/>
      <c r="O451" s="1487"/>
      <c r="P451" s="1487"/>
      <c r="Y451" s="1941"/>
    </row>
    <row r="452" spans="5:25">
      <c r="E452" s="1487"/>
      <c r="F452" s="1487"/>
      <c r="G452" s="1487"/>
      <c r="H452" s="1487"/>
      <c r="I452" s="1487"/>
      <c r="J452" s="1487"/>
      <c r="K452" s="1487"/>
      <c r="L452" s="1487"/>
      <c r="M452" s="1487"/>
      <c r="N452" s="1487"/>
      <c r="O452" s="1487"/>
      <c r="P452" s="1487"/>
      <c r="Y452" s="1941"/>
    </row>
    <row r="453" spans="5:25">
      <c r="E453" s="1487"/>
      <c r="F453" s="1487"/>
      <c r="G453" s="1487"/>
      <c r="H453" s="1487"/>
      <c r="I453" s="1487"/>
      <c r="J453" s="1487"/>
      <c r="K453" s="1487"/>
      <c r="L453" s="1487"/>
      <c r="M453" s="1487"/>
      <c r="N453" s="1487"/>
      <c r="O453" s="1487"/>
      <c r="P453" s="1487"/>
      <c r="Y453" s="1941"/>
    </row>
    <row r="454" spans="5:25">
      <c r="E454" s="1487"/>
      <c r="F454" s="1487"/>
      <c r="G454" s="1487"/>
      <c r="H454" s="1487"/>
      <c r="I454" s="1487"/>
      <c r="J454" s="1487"/>
      <c r="K454" s="1487"/>
      <c r="L454" s="1487"/>
      <c r="M454" s="1487"/>
      <c r="N454" s="1487"/>
      <c r="O454" s="1487"/>
      <c r="P454" s="1487"/>
      <c r="Y454" s="1941"/>
    </row>
    <row r="455" spans="5:25">
      <c r="E455" s="1487"/>
      <c r="F455" s="1487"/>
      <c r="G455" s="1487"/>
      <c r="H455" s="1487"/>
      <c r="I455" s="1487"/>
      <c r="J455" s="1487"/>
      <c r="K455" s="1487"/>
      <c r="L455" s="1487"/>
      <c r="M455" s="1487"/>
      <c r="N455" s="1487"/>
      <c r="O455" s="1487"/>
      <c r="P455" s="1487"/>
      <c r="Y455" s="1941"/>
    </row>
    <row r="456" spans="5:25">
      <c r="E456" s="1487"/>
      <c r="F456" s="1487"/>
      <c r="G456" s="1487"/>
      <c r="H456" s="1487"/>
      <c r="I456" s="1487"/>
      <c r="J456" s="1487"/>
      <c r="K456" s="1487"/>
      <c r="L456" s="1487"/>
      <c r="M456" s="1487"/>
      <c r="N456" s="1487"/>
      <c r="O456" s="1487"/>
      <c r="P456" s="1487"/>
      <c r="Y456" s="1941"/>
    </row>
    <row r="457" spans="5:25">
      <c r="E457" s="1487"/>
      <c r="F457" s="1487"/>
      <c r="G457" s="1487"/>
      <c r="H457" s="1487"/>
      <c r="I457" s="1487"/>
      <c r="J457" s="1487"/>
      <c r="K457" s="1487"/>
      <c r="L457" s="1487"/>
      <c r="M457" s="1487"/>
      <c r="N457" s="1487"/>
      <c r="O457" s="1487"/>
      <c r="P457" s="1487"/>
      <c r="Y457" s="1941"/>
    </row>
    <row r="458" spans="5:25">
      <c r="E458" s="1487"/>
      <c r="F458" s="1487"/>
      <c r="G458" s="1487"/>
      <c r="H458" s="1487"/>
      <c r="I458" s="1487"/>
      <c r="J458" s="1487"/>
      <c r="K458" s="1487"/>
      <c r="L458" s="1487"/>
      <c r="M458" s="1487"/>
      <c r="N458" s="1487"/>
      <c r="O458" s="1487"/>
      <c r="P458" s="1487"/>
      <c r="Y458" s="1941"/>
    </row>
    <row r="459" spans="5:25">
      <c r="E459" s="1487"/>
      <c r="F459" s="1487"/>
      <c r="G459" s="1487"/>
      <c r="H459" s="1487"/>
      <c r="I459" s="1487"/>
      <c r="J459" s="1487"/>
      <c r="K459" s="1487"/>
      <c r="L459" s="1487"/>
      <c r="M459" s="1487"/>
      <c r="N459" s="1487"/>
      <c r="O459" s="1487"/>
      <c r="P459" s="1487"/>
      <c r="Y459" s="1941"/>
    </row>
    <row r="460" spans="5:25">
      <c r="E460" s="1487"/>
      <c r="F460" s="1487"/>
      <c r="G460" s="1487"/>
      <c r="H460" s="1487"/>
      <c r="I460" s="1487"/>
      <c r="J460" s="1487"/>
      <c r="K460" s="1487"/>
      <c r="L460" s="1487"/>
      <c r="M460" s="1487"/>
      <c r="N460" s="1487"/>
      <c r="O460" s="1487"/>
      <c r="P460" s="1487"/>
      <c r="Y460" s="1941"/>
    </row>
    <row r="461" spans="5:25">
      <c r="E461" s="1487"/>
      <c r="F461" s="1487"/>
      <c r="G461" s="1487"/>
      <c r="H461" s="1487"/>
      <c r="I461" s="1487"/>
      <c r="J461" s="1487"/>
      <c r="K461" s="1487"/>
      <c r="L461" s="1487"/>
      <c r="M461" s="1487"/>
      <c r="N461" s="1487"/>
      <c r="O461" s="1487"/>
      <c r="P461" s="1487"/>
      <c r="Y461" s="1941"/>
    </row>
    <row r="462" spans="5:25">
      <c r="E462" s="1487"/>
      <c r="F462" s="1487"/>
      <c r="G462" s="1487"/>
      <c r="H462" s="1487"/>
      <c r="I462" s="1487"/>
      <c r="J462" s="1487"/>
      <c r="K462" s="1487"/>
      <c r="L462" s="1487"/>
      <c r="M462" s="1487"/>
      <c r="N462" s="1487"/>
      <c r="O462" s="1487"/>
      <c r="P462" s="1487"/>
      <c r="Y462" s="1941"/>
    </row>
    <row r="463" spans="5:25">
      <c r="E463" s="1487"/>
      <c r="F463" s="1487"/>
      <c r="G463" s="1487"/>
      <c r="H463" s="1487"/>
      <c r="I463" s="1487"/>
      <c r="J463" s="1487"/>
      <c r="K463" s="1487"/>
      <c r="L463" s="1487"/>
      <c r="M463" s="1487"/>
      <c r="N463" s="1487"/>
      <c r="O463" s="1487"/>
      <c r="P463" s="1487"/>
      <c r="Y463" s="1941"/>
    </row>
    <row r="464" spans="5:25">
      <c r="E464" s="1487"/>
      <c r="F464" s="1487"/>
      <c r="G464" s="1487"/>
      <c r="H464" s="1487"/>
      <c r="I464" s="1487"/>
      <c r="J464" s="1487"/>
      <c r="K464" s="1487"/>
      <c r="L464" s="1487"/>
      <c r="M464" s="1487"/>
      <c r="N464" s="1487"/>
      <c r="O464" s="1487"/>
      <c r="P464" s="1487"/>
      <c r="Y464" s="1941"/>
    </row>
    <row r="465" spans="5:25">
      <c r="E465" s="1487"/>
      <c r="F465" s="1487"/>
      <c r="G465" s="1487"/>
      <c r="H465" s="1487"/>
      <c r="I465" s="1487"/>
      <c r="J465" s="1487"/>
      <c r="K465" s="1487"/>
      <c r="L465" s="1487"/>
      <c r="M465" s="1487"/>
      <c r="N465" s="1487"/>
      <c r="O465" s="1487"/>
      <c r="P465" s="1487"/>
      <c r="Y465" s="1941"/>
    </row>
    <row r="466" spans="5:25">
      <c r="E466" s="1487"/>
      <c r="F466" s="1487"/>
      <c r="G466" s="1487"/>
      <c r="H466" s="1487"/>
      <c r="I466" s="1487"/>
      <c r="J466" s="1487"/>
      <c r="K466" s="1487"/>
      <c r="L466" s="1487"/>
      <c r="M466" s="1487"/>
      <c r="N466" s="1487"/>
      <c r="O466" s="1487"/>
      <c r="P466" s="1487"/>
      <c r="Y466" s="1941"/>
    </row>
    <row r="467" spans="5:25">
      <c r="E467" s="1487"/>
      <c r="F467" s="1487"/>
      <c r="G467" s="1487"/>
      <c r="H467" s="1487"/>
      <c r="I467" s="1487"/>
      <c r="J467" s="1487"/>
      <c r="K467" s="1487"/>
      <c r="L467" s="1487"/>
      <c r="M467" s="1487"/>
      <c r="N467" s="1487"/>
      <c r="O467" s="1487"/>
      <c r="P467" s="1487"/>
      <c r="Y467" s="1941"/>
    </row>
    <row r="468" spans="5:25">
      <c r="E468" s="1487"/>
      <c r="F468" s="1487"/>
      <c r="G468" s="1487"/>
      <c r="H468" s="1487"/>
      <c r="I468" s="1487"/>
      <c r="J468" s="1487"/>
      <c r="K468" s="1487"/>
      <c r="L468" s="1487"/>
      <c r="M468" s="1487"/>
      <c r="N468" s="1487"/>
      <c r="O468" s="1487"/>
      <c r="P468" s="1487"/>
      <c r="Y468" s="1941"/>
    </row>
    <row r="469" spans="5:25">
      <c r="E469" s="1487"/>
      <c r="F469" s="1487"/>
      <c r="G469" s="1487"/>
      <c r="H469" s="1487"/>
      <c r="I469" s="1487"/>
      <c r="J469" s="1487"/>
      <c r="K469" s="1487"/>
      <c r="L469" s="1487"/>
      <c r="M469" s="1487"/>
      <c r="N469" s="1487"/>
      <c r="O469" s="1487"/>
      <c r="P469" s="1487"/>
      <c r="Y469" s="1941"/>
    </row>
    <row r="470" spans="5:25">
      <c r="E470" s="1487"/>
      <c r="F470" s="1487"/>
      <c r="G470" s="1487"/>
      <c r="H470" s="1487"/>
      <c r="I470" s="1487"/>
      <c r="J470" s="1487"/>
      <c r="K470" s="1487"/>
      <c r="L470" s="1487"/>
      <c r="M470" s="1487"/>
      <c r="N470" s="1487"/>
      <c r="O470" s="1487"/>
      <c r="P470" s="1487"/>
      <c r="Y470" s="1941"/>
    </row>
    <row r="471" spans="5:25">
      <c r="E471" s="1487"/>
      <c r="F471" s="1487"/>
      <c r="G471" s="1487"/>
      <c r="H471" s="1487"/>
      <c r="I471" s="1487"/>
      <c r="J471" s="1487"/>
      <c r="K471" s="1487"/>
      <c r="L471" s="1487"/>
      <c r="M471" s="1487"/>
      <c r="N471" s="1487"/>
      <c r="O471" s="1487"/>
      <c r="P471" s="1487"/>
      <c r="Y471" s="1941"/>
    </row>
    <row r="472" spans="5:25">
      <c r="E472" s="1487"/>
      <c r="F472" s="1487"/>
      <c r="G472" s="1487"/>
      <c r="H472" s="1487"/>
      <c r="I472" s="1487"/>
      <c r="J472" s="1487"/>
      <c r="K472" s="1487"/>
      <c r="L472" s="1487"/>
      <c r="M472" s="1487"/>
      <c r="N472" s="1487"/>
      <c r="O472" s="1487"/>
      <c r="P472" s="1487"/>
      <c r="Y472" s="1941"/>
    </row>
    <row r="473" spans="5:25">
      <c r="E473" s="1487"/>
      <c r="F473" s="1487"/>
      <c r="G473" s="1487"/>
      <c r="H473" s="1487"/>
      <c r="I473" s="1487"/>
      <c r="J473" s="1487"/>
      <c r="K473" s="1487"/>
      <c r="L473" s="1487"/>
      <c r="M473" s="1487"/>
      <c r="N473" s="1487"/>
      <c r="O473" s="1487"/>
      <c r="P473" s="1487"/>
      <c r="Y473" s="1941"/>
    </row>
    <row r="474" spans="5:25">
      <c r="E474" s="1487"/>
      <c r="F474" s="1487"/>
      <c r="G474" s="1487"/>
      <c r="H474" s="1487"/>
      <c r="I474" s="1487"/>
      <c r="J474" s="1487"/>
      <c r="K474" s="1487"/>
      <c r="L474" s="1487"/>
      <c r="M474" s="1487"/>
      <c r="N474" s="1487"/>
      <c r="O474" s="1487"/>
      <c r="P474" s="1487"/>
      <c r="Y474" s="1941"/>
    </row>
    <row r="475" spans="5:25">
      <c r="E475" s="1487"/>
      <c r="F475" s="1487"/>
      <c r="G475" s="1487"/>
      <c r="H475" s="1487"/>
      <c r="I475" s="1487"/>
      <c r="J475" s="1487"/>
      <c r="K475" s="1487"/>
      <c r="L475" s="1487"/>
      <c r="M475" s="1487"/>
      <c r="N475" s="1487"/>
      <c r="O475" s="1487"/>
      <c r="P475" s="1487"/>
      <c r="Y475" s="1941"/>
    </row>
    <row r="476" spans="5:25">
      <c r="E476" s="1487"/>
      <c r="F476" s="1487"/>
      <c r="G476" s="1487"/>
      <c r="H476" s="1487"/>
      <c r="I476" s="1487"/>
      <c r="J476" s="1487"/>
      <c r="K476" s="1487"/>
      <c r="L476" s="1487"/>
      <c r="M476" s="1487"/>
      <c r="N476" s="1487"/>
      <c r="O476" s="1487"/>
      <c r="P476" s="1487"/>
      <c r="Y476" s="1941"/>
    </row>
    <row r="477" spans="5:25">
      <c r="E477" s="1487"/>
      <c r="F477" s="1487"/>
      <c r="G477" s="1487"/>
      <c r="H477" s="1487"/>
      <c r="I477" s="1487"/>
      <c r="J477" s="1487"/>
      <c r="K477" s="1487"/>
      <c r="L477" s="1487"/>
      <c r="M477" s="1487"/>
      <c r="N477" s="1487"/>
      <c r="O477" s="1487"/>
      <c r="P477" s="1487"/>
      <c r="Y477" s="1941"/>
    </row>
    <row r="478" spans="5:25">
      <c r="E478" s="1487"/>
      <c r="F478" s="1487"/>
      <c r="G478" s="1487"/>
      <c r="H478" s="1487"/>
      <c r="I478" s="1487"/>
      <c r="J478" s="1487"/>
      <c r="K478" s="1487"/>
      <c r="L478" s="1487"/>
      <c r="M478" s="1487"/>
      <c r="N478" s="1487"/>
      <c r="O478" s="1487"/>
      <c r="P478" s="1487"/>
      <c r="Y478" s="1941"/>
    </row>
    <row r="479" spans="5:25">
      <c r="E479" s="1487"/>
      <c r="F479" s="1487"/>
      <c r="G479" s="1487"/>
      <c r="H479" s="1487"/>
      <c r="I479" s="1487"/>
      <c r="J479" s="1487"/>
      <c r="K479" s="1487"/>
      <c r="L479" s="1487"/>
      <c r="M479" s="1487"/>
      <c r="N479" s="1487"/>
      <c r="O479" s="1487"/>
      <c r="P479" s="1487"/>
      <c r="Y479" s="1941"/>
    </row>
    <row r="480" spans="5:25">
      <c r="E480" s="1487"/>
      <c r="F480" s="1487"/>
      <c r="G480" s="1487"/>
      <c r="H480" s="1487"/>
      <c r="I480" s="1487"/>
      <c r="J480" s="1487"/>
      <c r="K480" s="1487"/>
      <c r="L480" s="1487"/>
      <c r="M480" s="1487"/>
      <c r="N480" s="1487"/>
      <c r="O480" s="1487"/>
      <c r="P480" s="1487"/>
      <c r="Y480" s="1941"/>
    </row>
    <row r="481" spans="5:25">
      <c r="E481" s="1487"/>
      <c r="F481" s="1487"/>
      <c r="G481" s="1487"/>
      <c r="H481" s="1487"/>
      <c r="I481" s="1487"/>
      <c r="J481" s="1487"/>
      <c r="K481" s="1487"/>
      <c r="L481" s="1487"/>
      <c r="M481" s="1487"/>
      <c r="N481" s="1487"/>
      <c r="O481" s="1487"/>
      <c r="P481" s="1487"/>
      <c r="Y481" s="1941"/>
    </row>
    <row r="482" spans="5:25">
      <c r="E482" s="1487"/>
      <c r="F482" s="1487"/>
      <c r="G482" s="1487"/>
      <c r="H482" s="1487"/>
      <c r="I482" s="1487"/>
      <c r="J482" s="1487"/>
      <c r="K482" s="1487"/>
      <c r="L482" s="1487"/>
      <c r="M482" s="1487"/>
      <c r="N482" s="1487"/>
      <c r="O482" s="1487"/>
      <c r="P482" s="1487"/>
      <c r="Y482" s="1941"/>
    </row>
    <row r="483" spans="5:25">
      <c r="E483" s="1487"/>
      <c r="F483" s="1487"/>
      <c r="G483" s="1487"/>
      <c r="H483" s="1487"/>
      <c r="I483" s="1487"/>
      <c r="J483" s="1487"/>
      <c r="K483" s="1487"/>
      <c r="L483" s="1487"/>
      <c r="M483" s="1487"/>
      <c r="N483" s="1487"/>
      <c r="O483" s="1487"/>
      <c r="P483" s="1487"/>
      <c r="Y483" s="1941"/>
    </row>
    <row r="484" spans="5:25">
      <c r="E484" s="1487"/>
      <c r="F484" s="1487"/>
      <c r="G484" s="1487"/>
      <c r="H484" s="1487"/>
      <c r="I484" s="1487"/>
      <c r="J484" s="1487"/>
      <c r="K484" s="1487"/>
      <c r="L484" s="1487"/>
      <c r="M484" s="1487"/>
      <c r="N484" s="1487"/>
      <c r="O484" s="1487"/>
      <c r="P484" s="1487"/>
      <c r="Y484" s="1941"/>
    </row>
    <row r="485" spans="5:25">
      <c r="E485" s="1487"/>
      <c r="F485" s="1487"/>
      <c r="G485" s="1487"/>
      <c r="H485" s="1487"/>
      <c r="I485" s="1487"/>
      <c r="J485" s="1487"/>
      <c r="K485" s="1487"/>
      <c r="L485" s="1487"/>
      <c r="M485" s="1487"/>
      <c r="N485" s="1487"/>
      <c r="O485" s="1487"/>
      <c r="P485" s="1487"/>
      <c r="Y485" s="1941"/>
    </row>
    <row r="486" spans="5:25">
      <c r="E486" s="1487"/>
      <c r="F486" s="1487"/>
      <c r="G486" s="1487"/>
      <c r="H486" s="1487"/>
      <c r="I486" s="1487"/>
      <c r="J486" s="1487"/>
      <c r="K486" s="1487"/>
      <c r="L486" s="1487"/>
      <c r="M486" s="1487"/>
      <c r="N486" s="1487"/>
      <c r="O486" s="1487"/>
      <c r="P486" s="1487"/>
      <c r="Y486" s="1941"/>
    </row>
    <row r="487" spans="5:25">
      <c r="E487" s="1487"/>
      <c r="F487" s="1487"/>
      <c r="G487" s="1487"/>
      <c r="H487" s="1487"/>
      <c r="I487" s="1487"/>
      <c r="J487" s="1487"/>
      <c r="K487" s="1487"/>
      <c r="L487" s="1487"/>
      <c r="M487" s="1487"/>
      <c r="N487" s="1487"/>
      <c r="O487" s="1487"/>
      <c r="P487" s="1487"/>
      <c r="Y487" s="1941"/>
    </row>
    <row r="488" spans="5:25">
      <c r="E488" s="1487"/>
      <c r="F488" s="1487"/>
      <c r="G488" s="1487"/>
      <c r="H488" s="1487"/>
      <c r="I488" s="1487"/>
      <c r="J488" s="1487"/>
      <c r="K488" s="1487"/>
      <c r="L488" s="1487"/>
      <c r="M488" s="1487"/>
      <c r="N488" s="1487"/>
      <c r="O488" s="1487"/>
      <c r="P488" s="1487"/>
      <c r="Y488" s="1941"/>
    </row>
    <row r="489" spans="5:25">
      <c r="E489" s="1487"/>
      <c r="F489" s="1487"/>
      <c r="G489" s="1487"/>
      <c r="H489" s="1487"/>
      <c r="I489" s="1487"/>
      <c r="J489" s="1487"/>
      <c r="K489" s="1487"/>
      <c r="L489" s="1487"/>
      <c r="M489" s="1487"/>
      <c r="N489" s="1487"/>
      <c r="O489" s="1487"/>
      <c r="P489" s="1487"/>
      <c r="Y489" s="1941"/>
    </row>
    <row r="490" spans="5:25">
      <c r="E490" s="1487"/>
      <c r="F490" s="1487"/>
      <c r="G490" s="1487"/>
      <c r="H490" s="1487"/>
      <c r="I490" s="1487"/>
      <c r="J490" s="1487"/>
      <c r="K490" s="1487"/>
      <c r="L490" s="1487"/>
      <c r="M490" s="1487"/>
      <c r="N490" s="1487"/>
      <c r="O490" s="1487"/>
      <c r="P490" s="1487"/>
      <c r="Y490" s="1941"/>
    </row>
    <row r="491" spans="5:25">
      <c r="E491" s="1487"/>
      <c r="F491" s="1487"/>
      <c r="G491" s="1487"/>
      <c r="H491" s="1487"/>
      <c r="I491" s="1487"/>
      <c r="J491" s="1487"/>
      <c r="K491" s="1487"/>
      <c r="L491" s="1487"/>
      <c r="M491" s="1487"/>
      <c r="N491" s="1487"/>
      <c r="O491" s="1487"/>
      <c r="P491" s="1487"/>
      <c r="Y491" s="1941"/>
    </row>
    <row r="492" spans="5:25">
      <c r="E492" s="1487"/>
      <c r="F492" s="1487"/>
      <c r="G492" s="1487"/>
      <c r="H492" s="1487"/>
      <c r="I492" s="1487"/>
      <c r="J492" s="1487"/>
      <c r="K492" s="1487"/>
      <c r="L492" s="1487"/>
      <c r="M492" s="1487"/>
      <c r="N492" s="1487"/>
      <c r="O492" s="1487"/>
      <c r="P492" s="1487"/>
      <c r="Y492" s="1941"/>
    </row>
    <row r="493" spans="5:25">
      <c r="E493" s="1487"/>
      <c r="F493" s="1487"/>
      <c r="G493" s="1487"/>
      <c r="H493" s="1487"/>
      <c r="I493" s="1487"/>
      <c r="J493" s="1487"/>
      <c r="K493" s="1487"/>
      <c r="L493" s="1487"/>
      <c r="M493" s="1487"/>
      <c r="N493" s="1487"/>
      <c r="O493" s="1487"/>
      <c r="P493" s="1487"/>
      <c r="Y493" s="1941"/>
    </row>
    <row r="494" spans="5:25">
      <c r="E494" s="1487"/>
      <c r="F494" s="1487"/>
      <c r="G494" s="1487"/>
      <c r="H494" s="1487"/>
      <c r="I494" s="1487"/>
      <c r="J494" s="1487"/>
      <c r="K494" s="1487"/>
      <c r="L494" s="1487"/>
      <c r="M494" s="1487"/>
      <c r="N494" s="1487"/>
      <c r="O494" s="1487"/>
      <c r="P494" s="1487"/>
      <c r="Y494" s="1941"/>
    </row>
    <row r="495" spans="5:25">
      <c r="E495" s="1487"/>
      <c r="F495" s="1487"/>
      <c r="G495" s="1487"/>
      <c r="H495" s="1487"/>
      <c r="I495" s="1487"/>
      <c r="J495" s="1487"/>
      <c r="K495" s="1487"/>
      <c r="L495" s="1487"/>
      <c r="M495" s="1487"/>
      <c r="N495" s="1487"/>
      <c r="O495" s="1487"/>
      <c r="P495" s="1487"/>
      <c r="Y495" s="1941"/>
    </row>
    <row r="496" spans="5:25">
      <c r="E496" s="1487"/>
      <c r="F496" s="1487"/>
      <c r="G496" s="1487"/>
      <c r="H496" s="1487"/>
      <c r="I496" s="1487"/>
      <c r="J496" s="1487"/>
      <c r="K496" s="1487"/>
      <c r="L496" s="1487"/>
      <c r="M496" s="1487"/>
      <c r="N496" s="1487"/>
      <c r="O496" s="1487"/>
      <c r="P496" s="1487"/>
      <c r="Y496" s="1941"/>
    </row>
    <row r="497" spans="5:25">
      <c r="E497" s="1487"/>
      <c r="F497" s="1487"/>
      <c r="G497" s="1487"/>
      <c r="H497" s="1487"/>
      <c r="I497" s="1487"/>
      <c r="J497" s="1487"/>
      <c r="K497" s="1487"/>
      <c r="L497" s="1487"/>
      <c r="M497" s="1487"/>
      <c r="N497" s="1487"/>
      <c r="O497" s="1487"/>
      <c r="P497" s="1487"/>
      <c r="Y497" s="1941"/>
    </row>
    <row r="498" spans="5:25">
      <c r="E498" s="1487"/>
      <c r="F498" s="1487"/>
      <c r="G498" s="1487"/>
      <c r="H498" s="1487"/>
      <c r="I498" s="1487"/>
      <c r="J498" s="1487"/>
      <c r="K498" s="1487"/>
      <c r="L498" s="1487"/>
      <c r="M498" s="1487"/>
      <c r="N498" s="1487"/>
      <c r="O498" s="1487"/>
      <c r="P498" s="1487"/>
      <c r="Y498" s="1941"/>
    </row>
    <row r="499" spans="5:25">
      <c r="E499" s="1487"/>
      <c r="F499" s="1487"/>
      <c r="G499" s="1487"/>
      <c r="H499" s="1487"/>
      <c r="I499" s="1487"/>
      <c r="J499" s="1487"/>
      <c r="K499" s="1487"/>
      <c r="L499" s="1487"/>
      <c r="M499" s="1487"/>
      <c r="N499" s="1487"/>
      <c r="O499" s="1487"/>
      <c r="P499" s="1487"/>
      <c r="Y499" s="1941"/>
    </row>
    <row r="500" spans="5:25">
      <c r="E500" s="1487"/>
      <c r="F500" s="1487"/>
      <c r="G500" s="1487"/>
      <c r="H500" s="1487"/>
      <c r="I500" s="1487"/>
      <c r="J500" s="1487"/>
      <c r="K500" s="1487"/>
      <c r="L500" s="1487"/>
      <c r="M500" s="1487"/>
      <c r="N500" s="1487"/>
      <c r="O500" s="1487"/>
      <c r="P500" s="1487"/>
      <c r="Y500" s="1941"/>
    </row>
    <row r="501" spans="5:25">
      <c r="E501" s="1487"/>
      <c r="F501" s="1487"/>
      <c r="G501" s="1487"/>
      <c r="H501" s="1487"/>
      <c r="I501" s="1487"/>
      <c r="J501" s="1487"/>
      <c r="K501" s="1487"/>
      <c r="L501" s="1487"/>
      <c r="M501" s="1487"/>
      <c r="N501" s="1487"/>
      <c r="O501" s="1487"/>
      <c r="P501" s="1487"/>
      <c r="Y501" s="1941"/>
    </row>
    <row r="502" spans="5:25">
      <c r="E502" s="1487"/>
      <c r="F502" s="1487"/>
      <c r="G502" s="1487"/>
      <c r="H502" s="1487"/>
      <c r="I502" s="1487"/>
      <c r="J502" s="1487"/>
      <c r="K502" s="1487"/>
      <c r="L502" s="1487"/>
      <c r="M502" s="1487"/>
      <c r="N502" s="1487"/>
      <c r="O502" s="1487"/>
      <c r="P502" s="1487"/>
      <c r="Y502" s="1941"/>
    </row>
    <row r="503" spans="5:25">
      <c r="E503" s="1487"/>
      <c r="F503" s="1487"/>
      <c r="G503" s="1487"/>
      <c r="H503" s="1487"/>
      <c r="I503" s="1487"/>
      <c r="J503" s="1487"/>
      <c r="K503" s="1487"/>
      <c r="L503" s="1487"/>
      <c r="M503" s="1487"/>
      <c r="N503" s="1487"/>
      <c r="O503" s="1487"/>
      <c r="P503" s="1487"/>
      <c r="Y503" s="1941"/>
    </row>
    <row r="504" spans="5:25">
      <c r="E504" s="1487"/>
      <c r="F504" s="1487"/>
      <c r="G504" s="1487"/>
      <c r="H504" s="1487"/>
      <c r="I504" s="1487"/>
      <c r="J504" s="1487"/>
      <c r="K504" s="1487"/>
      <c r="L504" s="1487"/>
      <c r="M504" s="1487"/>
      <c r="N504" s="1487"/>
      <c r="O504" s="1487"/>
      <c r="P504" s="1487"/>
      <c r="Y504" s="1941"/>
    </row>
    <row r="505" spans="5:25">
      <c r="E505" s="1487"/>
      <c r="F505" s="1487"/>
      <c r="G505" s="1487"/>
      <c r="H505" s="1487"/>
      <c r="I505" s="1487"/>
      <c r="J505" s="1487"/>
      <c r="K505" s="1487"/>
      <c r="L505" s="1487"/>
      <c r="M505" s="1487"/>
      <c r="N505" s="1487"/>
      <c r="O505" s="1487"/>
      <c r="P505" s="1487"/>
      <c r="Y505" s="1941"/>
    </row>
    <row r="506" spans="5:25">
      <c r="E506" s="1487"/>
      <c r="F506" s="1487"/>
      <c r="G506" s="1487"/>
      <c r="H506" s="1487"/>
      <c r="I506" s="1487"/>
      <c r="J506" s="1487"/>
      <c r="K506" s="1487"/>
      <c r="L506" s="1487"/>
      <c r="M506" s="1487"/>
      <c r="N506" s="1487"/>
      <c r="O506" s="1487"/>
      <c r="P506" s="1487"/>
      <c r="Y506" s="1941"/>
    </row>
    <row r="507" spans="5:25">
      <c r="E507" s="1487"/>
      <c r="F507" s="1487"/>
      <c r="G507" s="1487"/>
      <c r="H507" s="1487"/>
      <c r="I507" s="1487"/>
      <c r="J507" s="1487"/>
      <c r="K507" s="1487"/>
      <c r="L507" s="1487"/>
      <c r="M507" s="1487"/>
      <c r="N507" s="1487"/>
      <c r="O507" s="1487"/>
      <c r="P507" s="1487"/>
      <c r="Y507" s="1941"/>
    </row>
    <row r="508" spans="5:25">
      <c r="E508" s="1487"/>
      <c r="F508" s="1487"/>
      <c r="G508" s="1487"/>
      <c r="H508" s="1487"/>
      <c r="I508" s="1487"/>
      <c r="J508" s="1487"/>
      <c r="K508" s="1487"/>
      <c r="L508" s="1487"/>
      <c r="M508" s="1487"/>
      <c r="N508" s="1487"/>
      <c r="O508" s="1487"/>
      <c r="P508" s="1487"/>
      <c r="Y508" s="1941"/>
    </row>
    <row r="509" spans="5:25">
      <c r="E509" s="1487"/>
      <c r="F509" s="1487"/>
      <c r="G509" s="1487"/>
      <c r="H509" s="1487"/>
      <c r="I509" s="1487"/>
      <c r="J509" s="1487"/>
      <c r="K509" s="1487"/>
      <c r="L509" s="1487"/>
      <c r="M509" s="1487"/>
      <c r="N509" s="1487"/>
      <c r="O509" s="1487"/>
      <c r="P509" s="1487"/>
      <c r="Y509" s="1941"/>
    </row>
    <row r="510" spans="5:25">
      <c r="E510" s="1487"/>
      <c r="F510" s="1487"/>
      <c r="G510" s="1487"/>
      <c r="H510" s="1487"/>
      <c r="I510" s="1487"/>
      <c r="J510" s="1487"/>
      <c r="K510" s="1487"/>
      <c r="L510" s="1487"/>
      <c r="M510" s="1487"/>
      <c r="N510" s="1487"/>
      <c r="O510" s="1487"/>
      <c r="P510" s="1487"/>
      <c r="Y510" s="1941"/>
    </row>
    <row r="511" spans="5:25">
      <c r="E511" s="1487"/>
      <c r="F511" s="1487"/>
      <c r="G511" s="1487"/>
      <c r="H511" s="1487"/>
      <c r="I511" s="1487"/>
      <c r="J511" s="1487"/>
      <c r="K511" s="1487"/>
      <c r="L511" s="1487"/>
      <c r="M511" s="1487"/>
      <c r="N511" s="1487"/>
      <c r="O511" s="1487"/>
      <c r="P511" s="1487"/>
      <c r="Y511" s="1941"/>
    </row>
    <row r="512" spans="5:25">
      <c r="E512" s="1487"/>
      <c r="F512" s="1487"/>
      <c r="G512" s="1487"/>
      <c r="H512" s="1487"/>
      <c r="I512" s="1487"/>
      <c r="J512" s="1487"/>
      <c r="K512" s="1487"/>
      <c r="L512" s="1487"/>
      <c r="M512" s="1487"/>
      <c r="N512" s="1487"/>
      <c r="O512" s="1487"/>
      <c r="P512" s="1487"/>
      <c r="Y512" s="1941"/>
    </row>
    <row r="513" spans="5:25">
      <c r="E513" s="1487"/>
      <c r="F513" s="1487"/>
      <c r="G513" s="1487"/>
      <c r="H513" s="1487"/>
      <c r="I513" s="1487"/>
      <c r="J513" s="1487"/>
      <c r="K513" s="1487"/>
      <c r="L513" s="1487"/>
      <c r="M513" s="1487"/>
      <c r="N513" s="1487"/>
      <c r="O513" s="1487"/>
      <c r="P513" s="1487"/>
      <c r="Y513" s="1941"/>
    </row>
    <row r="514" spans="5:25">
      <c r="E514" s="1487"/>
      <c r="F514" s="1487"/>
      <c r="G514" s="1487"/>
      <c r="H514" s="1487"/>
      <c r="I514" s="1487"/>
      <c r="J514" s="1487"/>
      <c r="K514" s="1487"/>
      <c r="L514" s="1487"/>
      <c r="M514" s="1487"/>
      <c r="N514" s="1487"/>
      <c r="O514" s="1487"/>
      <c r="P514" s="1487"/>
      <c r="Y514" s="1941"/>
    </row>
    <row r="515" spans="5:25">
      <c r="E515" s="1487"/>
      <c r="F515" s="1487"/>
      <c r="G515" s="1487"/>
      <c r="H515" s="1487"/>
      <c r="I515" s="1487"/>
      <c r="J515" s="1487"/>
      <c r="K515" s="1487"/>
      <c r="L515" s="1487"/>
      <c r="M515" s="1487"/>
      <c r="N515" s="1487"/>
      <c r="O515" s="1487"/>
      <c r="P515" s="1487"/>
      <c r="Y515" s="1941"/>
    </row>
    <row r="516" spans="5:25">
      <c r="E516" s="1487"/>
      <c r="F516" s="1487"/>
      <c r="G516" s="1487"/>
      <c r="H516" s="1487"/>
      <c r="I516" s="1487"/>
      <c r="J516" s="1487"/>
      <c r="K516" s="1487"/>
      <c r="L516" s="1487"/>
      <c r="M516" s="1487"/>
      <c r="N516" s="1487"/>
      <c r="O516" s="1487"/>
      <c r="P516" s="1487"/>
      <c r="Y516" s="1941"/>
    </row>
    <row r="517" spans="5:25">
      <c r="E517" s="1487"/>
      <c r="F517" s="1487"/>
      <c r="G517" s="1487"/>
      <c r="H517" s="1487"/>
      <c r="I517" s="1487"/>
      <c r="J517" s="1487"/>
      <c r="K517" s="1487"/>
      <c r="L517" s="1487"/>
      <c r="M517" s="1487"/>
      <c r="N517" s="1487"/>
      <c r="O517" s="1487"/>
      <c r="P517" s="1487"/>
      <c r="Y517" s="1941"/>
    </row>
    <row r="518" spans="5:25">
      <c r="E518" s="1487"/>
      <c r="F518" s="1487"/>
      <c r="G518" s="1487"/>
      <c r="H518" s="1487"/>
      <c r="I518" s="1487"/>
      <c r="J518" s="1487"/>
      <c r="K518" s="1487"/>
      <c r="L518" s="1487"/>
      <c r="M518" s="1487"/>
      <c r="N518" s="1487"/>
      <c r="O518" s="1487"/>
      <c r="P518" s="1487"/>
      <c r="Y518" s="1941"/>
    </row>
    <row r="519" spans="5:25">
      <c r="E519" s="1487"/>
      <c r="F519" s="1487"/>
      <c r="G519" s="1487"/>
      <c r="H519" s="1487"/>
      <c r="I519" s="1487"/>
      <c r="J519" s="1487"/>
      <c r="K519" s="1487"/>
      <c r="L519" s="1487"/>
      <c r="M519" s="1487"/>
      <c r="N519" s="1487"/>
      <c r="O519" s="1487"/>
      <c r="P519" s="1487"/>
      <c r="Y519" s="1941"/>
    </row>
    <row r="520" spans="5:25">
      <c r="E520" s="1487"/>
      <c r="F520" s="1487"/>
      <c r="G520" s="1487"/>
      <c r="H520" s="1487"/>
      <c r="I520" s="1487"/>
      <c r="J520" s="1487"/>
      <c r="K520" s="1487"/>
      <c r="L520" s="1487"/>
      <c r="M520" s="1487"/>
      <c r="N520" s="1487"/>
      <c r="O520" s="1487"/>
      <c r="P520" s="1487"/>
      <c r="Y520" s="1941"/>
    </row>
    <row r="521" spans="5:25">
      <c r="E521" s="1487"/>
      <c r="F521" s="1487"/>
      <c r="G521" s="1487"/>
      <c r="H521" s="1487"/>
      <c r="I521" s="1487"/>
      <c r="J521" s="1487"/>
      <c r="K521" s="1487"/>
      <c r="L521" s="1487"/>
      <c r="M521" s="1487"/>
      <c r="N521" s="1487"/>
      <c r="O521" s="1487"/>
      <c r="P521" s="1487"/>
      <c r="Y521" s="1941"/>
    </row>
    <row r="522" spans="5:25">
      <c r="E522" s="1487"/>
      <c r="F522" s="1487"/>
      <c r="G522" s="1487"/>
      <c r="H522" s="1487"/>
      <c r="I522" s="1487"/>
      <c r="J522" s="1487"/>
      <c r="K522" s="1487"/>
      <c r="L522" s="1487"/>
      <c r="M522" s="1487"/>
      <c r="N522" s="1487"/>
      <c r="O522" s="1487"/>
      <c r="P522" s="1487"/>
      <c r="Y522" s="1941"/>
    </row>
    <row r="523" spans="5:25">
      <c r="E523" s="1487"/>
      <c r="F523" s="1487"/>
      <c r="G523" s="1487"/>
      <c r="H523" s="1487"/>
      <c r="I523" s="1487"/>
      <c r="J523" s="1487"/>
      <c r="K523" s="1487"/>
      <c r="L523" s="1487"/>
      <c r="M523" s="1487"/>
      <c r="N523" s="1487"/>
      <c r="O523" s="1487"/>
      <c r="P523" s="1487"/>
      <c r="Y523" s="1941"/>
    </row>
    <row r="524" spans="5:25">
      <c r="E524" s="1487"/>
      <c r="F524" s="1487"/>
      <c r="G524" s="1487"/>
      <c r="H524" s="1487"/>
      <c r="I524" s="1487"/>
      <c r="J524" s="1487"/>
      <c r="K524" s="1487"/>
      <c r="L524" s="1487"/>
      <c r="M524" s="1487"/>
      <c r="N524" s="1487"/>
      <c r="O524" s="1487"/>
      <c r="P524" s="1487"/>
      <c r="Y524" s="1941"/>
    </row>
    <row r="525" spans="5:25">
      <c r="E525" s="1487"/>
      <c r="F525" s="1487"/>
      <c r="G525" s="1487"/>
      <c r="H525" s="1487"/>
      <c r="I525" s="1487"/>
      <c r="J525" s="1487"/>
      <c r="K525" s="1487"/>
      <c r="L525" s="1487"/>
      <c r="M525" s="1487"/>
      <c r="N525" s="1487"/>
      <c r="O525" s="1487"/>
      <c r="P525" s="1487"/>
      <c r="Y525" s="1941"/>
    </row>
    <row r="526" spans="5:25">
      <c r="E526" s="1487"/>
      <c r="F526" s="1487"/>
      <c r="G526" s="1487"/>
      <c r="H526" s="1487"/>
      <c r="I526" s="1487"/>
      <c r="J526" s="1487"/>
      <c r="K526" s="1487"/>
      <c r="L526" s="1487"/>
      <c r="M526" s="1487"/>
      <c r="N526" s="1487"/>
      <c r="O526" s="1487"/>
      <c r="P526" s="1487"/>
      <c r="Y526" s="1941"/>
    </row>
    <row r="527" spans="5:25">
      <c r="E527" s="1487"/>
      <c r="F527" s="1487"/>
      <c r="G527" s="1487"/>
      <c r="H527" s="1487"/>
      <c r="I527" s="1487"/>
      <c r="J527" s="1487"/>
      <c r="K527" s="1487"/>
      <c r="L527" s="1487"/>
      <c r="M527" s="1487"/>
      <c r="N527" s="1487"/>
      <c r="O527" s="1487"/>
      <c r="P527" s="1487"/>
      <c r="Y527" s="1941"/>
    </row>
    <row r="528" spans="5:25">
      <c r="E528" s="1487"/>
      <c r="F528" s="1487"/>
      <c r="G528" s="1487"/>
      <c r="H528" s="1487"/>
      <c r="I528" s="1487"/>
      <c r="J528" s="1487"/>
      <c r="K528" s="1487"/>
      <c r="L528" s="1487"/>
      <c r="M528" s="1487"/>
      <c r="N528" s="1487"/>
      <c r="O528" s="1487"/>
      <c r="P528" s="1487"/>
      <c r="Y528" s="1941"/>
    </row>
    <row r="529" spans="5:25">
      <c r="E529" s="1487"/>
      <c r="F529" s="1487"/>
      <c r="G529" s="1487"/>
      <c r="H529" s="1487"/>
      <c r="I529" s="1487"/>
      <c r="J529" s="1487"/>
      <c r="K529" s="1487"/>
      <c r="L529" s="1487"/>
      <c r="M529" s="1487"/>
      <c r="N529" s="1487"/>
      <c r="O529" s="1487"/>
      <c r="P529" s="1487"/>
      <c r="Y529" s="1941"/>
    </row>
    <row r="530" spans="5:25">
      <c r="E530" s="1487"/>
      <c r="F530" s="1487"/>
      <c r="G530" s="1487"/>
      <c r="H530" s="1487"/>
      <c r="I530" s="1487"/>
      <c r="J530" s="1487"/>
      <c r="K530" s="1487"/>
      <c r="L530" s="1487"/>
      <c r="M530" s="1487"/>
      <c r="N530" s="1487"/>
      <c r="O530" s="1487"/>
      <c r="P530" s="1487"/>
      <c r="Y530" s="1941"/>
    </row>
    <row r="531" spans="5:25">
      <c r="E531" s="1487"/>
      <c r="F531" s="1487"/>
      <c r="G531" s="1487"/>
      <c r="H531" s="1487"/>
      <c r="I531" s="1487"/>
      <c r="J531" s="1487"/>
      <c r="K531" s="1487"/>
      <c r="L531" s="1487"/>
      <c r="M531" s="1487"/>
      <c r="N531" s="1487"/>
      <c r="O531" s="1487"/>
      <c r="P531" s="1487"/>
      <c r="Y531" s="1941"/>
    </row>
    <row r="532" spans="5:25">
      <c r="E532" s="1487"/>
      <c r="F532" s="1487"/>
      <c r="G532" s="1487"/>
      <c r="H532" s="1487"/>
      <c r="I532" s="1487"/>
      <c r="J532" s="1487"/>
      <c r="K532" s="1487"/>
      <c r="L532" s="1487"/>
      <c r="M532" s="1487"/>
      <c r="N532" s="1487"/>
      <c r="O532" s="1487"/>
      <c r="P532" s="1487"/>
      <c r="Y532" s="1941"/>
    </row>
    <row r="533" spans="5:25">
      <c r="E533" s="1487"/>
      <c r="F533" s="1487"/>
      <c r="G533" s="1487"/>
      <c r="H533" s="1487"/>
      <c r="I533" s="1487"/>
      <c r="J533" s="1487"/>
      <c r="K533" s="1487"/>
      <c r="L533" s="1487"/>
      <c r="M533" s="1487"/>
      <c r="N533" s="1487"/>
      <c r="O533" s="1487"/>
      <c r="P533" s="1487"/>
      <c r="Y533" s="1941"/>
    </row>
    <row r="534" spans="5:25">
      <c r="E534" s="1487"/>
      <c r="F534" s="1487"/>
      <c r="G534" s="1487"/>
      <c r="H534" s="1487"/>
      <c r="I534" s="1487"/>
      <c r="J534" s="1487"/>
      <c r="K534" s="1487"/>
      <c r="L534" s="1487"/>
      <c r="M534" s="1487"/>
      <c r="N534" s="1487"/>
      <c r="O534" s="1487"/>
      <c r="P534" s="1487"/>
      <c r="Y534" s="1941"/>
    </row>
    <row r="535" spans="5:25">
      <c r="E535" s="1487"/>
      <c r="F535" s="1487"/>
      <c r="G535" s="1487"/>
      <c r="H535" s="1487"/>
      <c r="I535" s="1487"/>
      <c r="J535" s="1487"/>
      <c r="K535" s="1487"/>
      <c r="L535" s="1487"/>
      <c r="M535" s="1487"/>
      <c r="N535" s="1487"/>
      <c r="O535" s="1487"/>
      <c r="P535" s="1487"/>
      <c r="Y535" s="1941"/>
    </row>
    <row r="536" spans="5:25">
      <c r="E536" s="1487"/>
      <c r="F536" s="1487"/>
      <c r="G536" s="1487"/>
      <c r="H536" s="1487"/>
      <c r="I536" s="1487"/>
      <c r="J536" s="1487"/>
      <c r="K536" s="1487"/>
      <c r="L536" s="1487"/>
      <c r="M536" s="1487"/>
      <c r="N536" s="1487"/>
      <c r="O536" s="1487"/>
      <c r="P536" s="1487"/>
      <c r="Y536" s="1941"/>
    </row>
    <row r="537" spans="5:25">
      <c r="E537" s="1487"/>
      <c r="F537" s="1487"/>
      <c r="G537" s="1487"/>
      <c r="H537" s="1487"/>
      <c r="I537" s="1487"/>
      <c r="J537" s="1487"/>
      <c r="K537" s="1487"/>
      <c r="L537" s="1487"/>
      <c r="M537" s="1487"/>
      <c r="N537" s="1487"/>
      <c r="O537" s="1487"/>
      <c r="P537" s="1487"/>
      <c r="Y537" s="1941"/>
    </row>
    <row r="538" spans="5:25">
      <c r="E538" s="1487"/>
      <c r="F538" s="1487"/>
      <c r="G538" s="1487"/>
      <c r="H538" s="1487"/>
      <c r="I538" s="1487"/>
      <c r="J538" s="1487"/>
      <c r="K538" s="1487"/>
      <c r="L538" s="1487"/>
      <c r="M538" s="1487"/>
      <c r="N538" s="1487"/>
      <c r="O538" s="1487"/>
      <c r="P538" s="1487"/>
      <c r="Y538" s="1941"/>
    </row>
    <row r="539" spans="5:25">
      <c r="E539" s="1487"/>
      <c r="F539" s="1487"/>
      <c r="G539" s="1487"/>
      <c r="H539" s="1487"/>
      <c r="I539" s="1487"/>
      <c r="J539" s="1487"/>
      <c r="K539" s="1487"/>
      <c r="L539" s="1487"/>
      <c r="M539" s="1487"/>
      <c r="N539" s="1487"/>
      <c r="O539" s="1487"/>
      <c r="P539" s="1487"/>
      <c r="Y539" s="1941"/>
    </row>
    <row r="540" spans="5:25">
      <c r="E540" s="1487"/>
      <c r="F540" s="1487"/>
      <c r="G540" s="1487"/>
      <c r="H540" s="1487"/>
      <c r="I540" s="1487"/>
      <c r="J540" s="1487"/>
      <c r="K540" s="1487"/>
      <c r="L540" s="1487"/>
      <c r="M540" s="1487"/>
      <c r="N540" s="1487"/>
      <c r="O540" s="1487"/>
      <c r="P540" s="1487"/>
      <c r="Y540" s="1941"/>
    </row>
    <row r="541" spans="5:25">
      <c r="E541" s="1487"/>
      <c r="F541" s="1487"/>
      <c r="G541" s="1487"/>
      <c r="H541" s="1487"/>
      <c r="I541" s="1487"/>
      <c r="J541" s="1487"/>
      <c r="K541" s="1487"/>
      <c r="L541" s="1487"/>
      <c r="M541" s="1487"/>
      <c r="N541" s="1487"/>
      <c r="O541" s="1487"/>
      <c r="P541" s="1487"/>
      <c r="Y541" s="1941"/>
    </row>
    <row r="542" spans="5:25">
      <c r="E542" s="1487"/>
      <c r="F542" s="1487"/>
      <c r="G542" s="1487"/>
      <c r="H542" s="1487"/>
      <c r="I542" s="1487"/>
      <c r="J542" s="1487"/>
      <c r="K542" s="1487"/>
      <c r="L542" s="1487"/>
      <c r="M542" s="1487"/>
      <c r="N542" s="1487"/>
      <c r="O542" s="1487"/>
      <c r="P542" s="1487"/>
      <c r="Y542" s="1941"/>
    </row>
    <row r="543" spans="5:25">
      <c r="E543" s="1487"/>
      <c r="F543" s="1487"/>
      <c r="G543" s="1487"/>
      <c r="H543" s="1487"/>
      <c r="I543" s="1487"/>
      <c r="J543" s="1487"/>
      <c r="K543" s="1487"/>
      <c r="L543" s="1487"/>
      <c r="M543" s="1487"/>
      <c r="N543" s="1487"/>
      <c r="O543" s="1487"/>
      <c r="P543" s="1487"/>
      <c r="Y543" s="1941"/>
    </row>
    <row r="544" spans="5:25">
      <c r="E544" s="1487"/>
      <c r="F544" s="1487"/>
      <c r="G544" s="1487"/>
      <c r="H544" s="1487"/>
      <c r="I544" s="1487"/>
      <c r="J544" s="1487"/>
      <c r="K544" s="1487"/>
      <c r="L544" s="1487"/>
      <c r="M544" s="1487"/>
      <c r="N544" s="1487"/>
      <c r="O544" s="1487"/>
      <c r="P544" s="1487"/>
      <c r="Y544" s="1941"/>
    </row>
    <row r="545" spans="5:25">
      <c r="E545" s="1487"/>
      <c r="F545" s="1487"/>
      <c r="G545" s="1487"/>
      <c r="H545" s="1487"/>
      <c r="I545" s="1487"/>
      <c r="J545" s="1487"/>
      <c r="K545" s="1487"/>
      <c r="L545" s="1487"/>
      <c r="M545" s="1487"/>
      <c r="N545" s="1487"/>
      <c r="O545" s="1487"/>
      <c r="P545" s="1487"/>
      <c r="Y545" s="1941"/>
    </row>
    <row r="546" spans="5:25">
      <c r="E546" s="1487"/>
      <c r="F546" s="1487"/>
      <c r="G546" s="1487"/>
      <c r="H546" s="1487"/>
      <c r="I546" s="1487"/>
      <c r="J546" s="1487"/>
      <c r="K546" s="1487"/>
      <c r="L546" s="1487"/>
      <c r="M546" s="1487"/>
      <c r="N546" s="1487"/>
      <c r="O546" s="1487"/>
      <c r="P546" s="1487"/>
      <c r="Y546" s="1941"/>
    </row>
    <row r="547" spans="5:25">
      <c r="E547" s="1487"/>
      <c r="F547" s="1487"/>
      <c r="G547" s="1487"/>
      <c r="H547" s="1487"/>
      <c r="I547" s="1487"/>
      <c r="J547" s="1487"/>
      <c r="K547" s="1487"/>
      <c r="L547" s="1487"/>
      <c r="M547" s="1487"/>
      <c r="N547" s="1487"/>
      <c r="O547" s="1487"/>
      <c r="P547" s="1487"/>
      <c r="Y547" s="1941"/>
    </row>
    <row r="548" spans="5:25">
      <c r="E548" s="1487"/>
      <c r="F548" s="1487"/>
      <c r="G548" s="1487"/>
      <c r="H548" s="1487"/>
      <c r="I548" s="1487"/>
      <c r="J548" s="1487"/>
      <c r="K548" s="1487"/>
      <c r="L548" s="1487"/>
      <c r="M548" s="1487"/>
      <c r="N548" s="1487"/>
      <c r="O548" s="1487"/>
      <c r="P548" s="1487"/>
      <c r="Y548" s="1941"/>
    </row>
    <row r="549" spans="5:25">
      <c r="E549" s="1487"/>
      <c r="F549" s="1487"/>
      <c r="G549" s="1487"/>
      <c r="H549" s="1487"/>
      <c r="I549" s="1487"/>
      <c r="J549" s="1487"/>
      <c r="K549" s="1487"/>
      <c r="L549" s="1487"/>
      <c r="M549" s="1487"/>
      <c r="N549" s="1487"/>
      <c r="O549" s="1487"/>
      <c r="P549" s="1487"/>
      <c r="Y549" s="1941"/>
    </row>
    <row r="550" spans="5:25">
      <c r="E550" s="1487"/>
      <c r="F550" s="1487"/>
      <c r="G550" s="1487"/>
      <c r="H550" s="1487"/>
      <c r="I550" s="1487"/>
      <c r="J550" s="1487"/>
      <c r="K550" s="1487"/>
      <c r="L550" s="1487"/>
      <c r="M550" s="1487"/>
      <c r="N550" s="1487"/>
      <c r="O550" s="1487"/>
      <c r="P550" s="1487"/>
      <c r="Y550" s="1941"/>
    </row>
    <row r="551" spans="5:25">
      <c r="E551" s="1487"/>
      <c r="F551" s="1487"/>
      <c r="G551" s="1487"/>
      <c r="H551" s="1487"/>
      <c r="I551" s="1487"/>
      <c r="J551" s="1487"/>
      <c r="K551" s="1487"/>
      <c r="L551" s="1487"/>
      <c r="M551" s="1487"/>
      <c r="N551" s="1487"/>
      <c r="O551" s="1487"/>
      <c r="P551" s="1487"/>
      <c r="Y551" s="1941"/>
    </row>
    <row r="552" spans="5:25">
      <c r="E552" s="1487"/>
      <c r="F552" s="1487"/>
      <c r="G552" s="1487"/>
      <c r="H552" s="1487"/>
      <c r="I552" s="1487"/>
      <c r="J552" s="1487"/>
      <c r="K552" s="1487"/>
      <c r="L552" s="1487"/>
      <c r="M552" s="1487"/>
      <c r="N552" s="1487"/>
      <c r="O552" s="1487"/>
      <c r="P552" s="1487"/>
      <c r="Y552" s="1941"/>
    </row>
    <row r="553" spans="5:25">
      <c r="E553" s="1487"/>
      <c r="F553" s="1487"/>
      <c r="G553" s="1487"/>
      <c r="H553" s="1487"/>
      <c r="I553" s="1487"/>
      <c r="J553" s="1487"/>
      <c r="K553" s="1487"/>
      <c r="L553" s="1487"/>
      <c r="M553" s="1487"/>
      <c r="N553" s="1487"/>
      <c r="O553" s="1487"/>
      <c r="P553" s="1487"/>
      <c r="Y553" s="1941"/>
    </row>
    <row r="554" spans="5:25">
      <c r="E554" s="1487"/>
      <c r="F554" s="1487"/>
      <c r="G554" s="1487"/>
      <c r="H554" s="1487"/>
      <c r="I554" s="1487"/>
      <c r="J554" s="1487"/>
      <c r="K554" s="1487"/>
      <c r="L554" s="1487"/>
      <c r="M554" s="1487"/>
      <c r="N554" s="1487"/>
      <c r="O554" s="1487"/>
      <c r="P554" s="1487"/>
      <c r="Y554" s="1941"/>
    </row>
    <row r="555" spans="5:25">
      <c r="E555" s="1487"/>
      <c r="F555" s="1487"/>
      <c r="G555" s="1487"/>
      <c r="H555" s="1487"/>
      <c r="I555" s="1487"/>
      <c r="J555" s="1487"/>
      <c r="K555" s="1487"/>
      <c r="L555" s="1487"/>
      <c r="M555" s="1487"/>
      <c r="N555" s="1487"/>
      <c r="O555" s="1487"/>
      <c r="P555" s="1487"/>
      <c r="Y555" s="1941"/>
    </row>
    <row r="556" spans="5:25">
      <c r="E556" s="1487"/>
      <c r="F556" s="1487"/>
      <c r="G556" s="1487"/>
      <c r="H556" s="1487"/>
      <c r="I556" s="1487"/>
      <c r="J556" s="1487"/>
      <c r="K556" s="1487"/>
      <c r="L556" s="1487"/>
      <c r="M556" s="1487"/>
      <c r="N556" s="1487"/>
      <c r="O556" s="1487"/>
      <c r="P556" s="1487"/>
      <c r="Y556" s="1941"/>
    </row>
    <row r="557" spans="5:25">
      <c r="E557" s="1487"/>
      <c r="F557" s="1487"/>
      <c r="G557" s="1487"/>
      <c r="H557" s="1487"/>
      <c r="I557" s="1487"/>
      <c r="J557" s="1487"/>
      <c r="K557" s="1487"/>
      <c r="L557" s="1487"/>
      <c r="M557" s="1487"/>
      <c r="N557" s="1487"/>
      <c r="O557" s="1487"/>
      <c r="P557" s="1487"/>
      <c r="Y557" s="1941"/>
    </row>
    <row r="558" spans="5:25">
      <c r="E558" s="1487"/>
      <c r="F558" s="1487"/>
      <c r="G558" s="1487"/>
      <c r="H558" s="1487"/>
      <c r="I558" s="1487"/>
      <c r="J558" s="1487"/>
      <c r="K558" s="1487"/>
      <c r="L558" s="1487"/>
      <c r="M558" s="1487"/>
      <c r="N558" s="1487"/>
      <c r="O558" s="1487"/>
      <c r="P558" s="1487"/>
      <c r="Y558" s="1941"/>
    </row>
    <row r="559" spans="5:25">
      <c r="E559" s="1487"/>
      <c r="F559" s="1487"/>
      <c r="G559" s="1487"/>
      <c r="H559" s="1487"/>
      <c r="I559" s="1487"/>
      <c r="J559" s="1487"/>
      <c r="K559" s="1487"/>
      <c r="L559" s="1487"/>
      <c r="M559" s="1487"/>
      <c r="N559" s="1487"/>
      <c r="O559" s="1487"/>
      <c r="P559" s="1487"/>
      <c r="Y559" s="1941"/>
    </row>
    <row r="560" spans="5:25">
      <c r="E560" s="1487"/>
      <c r="F560" s="1487"/>
      <c r="G560" s="1487"/>
      <c r="H560" s="1487"/>
      <c r="I560" s="1487"/>
      <c r="J560" s="1487"/>
      <c r="K560" s="1487"/>
      <c r="L560" s="1487"/>
      <c r="M560" s="1487"/>
      <c r="N560" s="1487"/>
      <c r="O560" s="1487"/>
      <c r="P560" s="1487"/>
      <c r="Y560" s="1941"/>
    </row>
    <row r="561" spans="5:25">
      <c r="E561" s="1487"/>
      <c r="F561" s="1487"/>
      <c r="G561" s="1487"/>
      <c r="H561" s="1487"/>
      <c r="I561" s="1487"/>
      <c r="J561" s="1487"/>
      <c r="K561" s="1487"/>
      <c r="L561" s="1487"/>
      <c r="M561" s="1487"/>
      <c r="N561" s="1487"/>
      <c r="O561" s="1487"/>
      <c r="P561" s="1487"/>
      <c r="Y561" s="1941"/>
    </row>
    <row r="562" spans="5:25">
      <c r="E562" s="1487"/>
      <c r="F562" s="1487"/>
      <c r="G562" s="1487"/>
      <c r="H562" s="1487"/>
      <c r="I562" s="1487"/>
      <c r="J562" s="1487"/>
      <c r="K562" s="1487"/>
      <c r="L562" s="1487"/>
      <c r="M562" s="1487"/>
      <c r="N562" s="1487"/>
      <c r="O562" s="1487"/>
      <c r="P562" s="1487"/>
      <c r="Y562" s="1941"/>
    </row>
    <row r="563" spans="5:25">
      <c r="E563" s="1487"/>
      <c r="F563" s="1487"/>
      <c r="G563" s="1487"/>
      <c r="H563" s="1487"/>
      <c r="I563" s="1487"/>
      <c r="J563" s="1487"/>
      <c r="K563" s="1487"/>
      <c r="L563" s="1487"/>
      <c r="M563" s="1487"/>
      <c r="N563" s="1487"/>
      <c r="O563" s="1487"/>
      <c r="P563" s="1487"/>
      <c r="Y563" s="1941"/>
    </row>
    <row r="564" spans="5:25">
      <c r="E564" s="1487"/>
      <c r="F564" s="1487"/>
      <c r="G564" s="1487"/>
      <c r="H564" s="1487"/>
      <c r="I564" s="1487"/>
      <c r="J564" s="1487"/>
      <c r="K564" s="1487"/>
      <c r="L564" s="1487"/>
      <c r="M564" s="1487"/>
      <c r="N564" s="1487"/>
      <c r="O564" s="1487"/>
      <c r="P564" s="1487"/>
      <c r="Y564" s="1941"/>
    </row>
    <row r="565" spans="5:25">
      <c r="E565" s="1487"/>
      <c r="F565" s="1487"/>
      <c r="G565" s="1487"/>
      <c r="H565" s="1487"/>
      <c r="I565" s="1487"/>
      <c r="J565" s="1487"/>
      <c r="K565" s="1487"/>
      <c r="L565" s="1487"/>
      <c r="M565" s="1487"/>
      <c r="N565" s="1487"/>
      <c r="O565" s="1487"/>
      <c r="P565" s="1487"/>
      <c r="Y565" s="1941"/>
    </row>
    <row r="566" spans="5:25">
      <c r="E566" s="1487"/>
      <c r="F566" s="1487"/>
      <c r="G566" s="1487"/>
      <c r="H566" s="1487"/>
      <c r="I566" s="1487"/>
      <c r="J566" s="1487"/>
      <c r="K566" s="1487"/>
      <c r="L566" s="1487"/>
      <c r="M566" s="1487"/>
      <c r="N566" s="1487"/>
      <c r="O566" s="1487"/>
      <c r="P566" s="1487"/>
      <c r="Y566" s="1941"/>
    </row>
    <row r="567" spans="5:25">
      <c r="E567" s="1487"/>
      <c r="F567" s="1487"/>
      <c r="G567" s="1487"/>
      <c r="H567" s="1487"/>
      <c r="I567" s="1487"/>
      <c r="J567" s="1487"/>
      <c r="K567" s="1487"/>
      <c r="L567" s="1487"/>
      <c r="M567" s="1487"/>
      <c r="N567" s="1487"/>
      <c r="O567" s="1487"/>
      <c r="P567" s="1487"/>
      <c r="Y567" s="1941"/>
    </row>
    <row r="568" spans="5:25">
      <c r="E568" s="1487"/>
      <c r="F568" s="1487"/>
      <c r="G568" s="1487"/>
      <c r="H568" s="1487"/>
      <c r="I568" s="1487"/>
      <c r="J568" s="1487"/>
      <c r="K568" s="1487"/>
      <c r="L568" s="1487"/>
      <c r="M568" s="1487"/>
      <c r="N568" s="1487"/>
      <c r="O568" s="1487"/>
      <c r="P568" s="1487"/>
      <c r="Y568" s="1941"/>
    </row>
    <row r="569" spans="5:25">
      <c r="E569" s="1487"/>
      <c r="F569" s="1487"/>
      <c r="G569" s="1487"/>
      <c r="H569" s="1487"/>
      <c r="I569" s="1487"/>
      <c r="J569" s="1487"/>
      <c r="K569" s="1487"/>
      <c r="L569" s="1487"/>
      <c r="M569" s="1487"/>
      <c r="N569" s="1487"/>
      <c r="O569" s="1487"/>
      <c r="P569" s="1487"/>
      <c r="Y569" s="1941"/>
    </row>
    <row r="570" spans="5:25">
      <c r="E570" s="1487"/>
      <c r="F570" s="1487"/>
      <c r="G570" s="1487"/>
      <c r="H570" s="1487"/>
      <c r="I570" s="1487"/>
      <c r="J570" s="1487"/>
      <c r="K570" s="1487"/>
      <c r="L570" s="1487"/>
      <c r="M570" s="1487"/>
      <c r="N570" s="1487"/>
      <c r="O570" s="1487"/>
      <c r="P570" s="1487"/>
      <c r="Y570" s="1941"/>
    </row>
    <row r="571" spans="5:25">
      <c r="E571" s="1487"/>
      <c r="F571" s="1487"/>
      <c r="G571" s="1487"/>
      <c r="H571" s="1487"/>
      <c r="I571" s="1487"/>
      <c r="J571" s="1487"/>
      <c r="K571" s="1487"/>
      <c r="L571" s="1487"/>
      <c r="M571" s="1487"/>
      <c r="N571" s="1487"/>
      <c r="O571" s="1487"/>
      <c r="P571" s="1487"/>
      <c r="Y571" s="1941"/>
    </row>
    <row r="572" spans="5:25">
      <c r="E572" s="1487"/>
      <c r="F572" s="1487"/>
      <c r="G572" s="1487"/>
      <c r="H572" s="1487"/>
      <c r="I572" s="1487"/>
      <c r="J572" s="1487"/>
      <c r="K572" s="1487"/>
      <c r="L572" s="1487"/>
      <c r="M572" s="1487"/>
      <c r="N572" s="1487"/>
      <c r="O572" s="1487"/>
      <c r="P572" s="1487"/>
      <c r="Y572" s="1941"/>
    </row>
    <row r="573" spans="5:25">
      <c r="E573" s="1487"/>
      <c r="F573" s="1487"/>
      <c r="G573" s="1487"/>
      <c r="H573" s="1487"/>
      <c r="I573" s="1487"/>
      <c r="J573" s="1487"/>
      <c r="K573" s="1487"/>
      <c r="L573" s="1487"/>
      <c r="M573" s="1487"/>
      <c r="N573" s="1487"/>
      <c r="O573" s="1487"/>
      <c r="P573" s="1487"/>
      <c r="Y573" s="1941"/>
    </row>
    <row r="574" spans="5:25">
      <c r="E574" s="1487"/>
      <c r="F574" s="1487"/>
      <c r="G574" s="1487"/>
      <c r="H574" s="1487"/>
      <c r="I574" s="1487"/>
      <c r="J574" s="1487"/>
      <c r="K574" s="1487"/>
      <c r="L574" s="1487"/>
      <c r="M574" s="1487"/>
      <c r="N574" s="1487"/>
      <c r="O574" s="1487"/>
      <c r="P574" s="1487"/>
      <c r="Y574" s="1941"/>
    </row>
    <row r="575" spans="5:25">
      <c r="E575" s="1487"/>
      <c r="F575" s="1487"/>
      <c r="G575" s="1487"/>
      <c r="H575" s="1487"/>
      <c r="I575" s="1487"/>
      <c r="J575" s="1487"/>
      <c r="K575" s="1487"/>
      <c r="L575" s="1487"/>
      <c r="M575" s="1487"/>
      <c r="N575" s="1487"/>
      <c r="O575" s="1487"/>
      <c r="P575" s="1487"/>
      <c r="Y575" s="1941"/>
    </row>
    <row r="576" spans="5:25">
      <c r="E576" s="1487"/>
      <c r="F576" s="1487"/>
      <c r="G576" s="1487"/>
      <c r="H576" s="1487"/>
      <c r="I576" s="1487"/>
      <c r="J576" s="1487"/>
      <c r="K576" s="1487"/>
      <c r="L576" s="1487"/>
      <c r="M576" s="1487"/>
      <c r="N576" s="1487"/>
      <c r="O576" s="1487"/>
      <c r="P576" s="1487"/>
      <c r="Y576" s="1941"/>
    </row>
    <row r="577" spans="5:25">
      <c r="E577" s="1487"/>
      <c r="F577" s="1487"/>
      <c r="G577" s="1487"/>
      <c r="H577" s="1487"/>
      <c r="I577" s="1487"/>
      <c r="J577" s="1487"/>
      <c r="K577" s="1487"/>
      <c r="L577" s="1487"/>
      <c r="M577" s="1487"/>
      <c r="N577" s="1487"/>
      <c r="O577" s="1487"/>
      <c r="P577" s="1487"/>
      <c r="Y577" s="1941"/>
    </row>
    <row r="578" spans="5:25">
      <c r="E578" s="1487"/>
      <c r="F578" s="1487"/>
      <c r="G578" s="1487"/>
      <c r="H578" s="1487"/>
      <c r="I578" s="1487"/>
      <c r="J578" s="1487"/>
      <c r="K578" s="1487"/>
      <c r="L578" s="1487"/>
      <c r="M578" s="1487"/>
      <c r="N578" s="1487"/>
      <c r="O578" s="1487"/>
      <c r="P578" s="1487"/>
      <c r="Y578" s="1941"/>
    </row>
    <row r="579" spans="5:25">
      <c r="E579" s="1487"/>
      <c r="F579" s="1487"/>
      <c r="G579" s="1487"/>
      <c r="H579" s="1487"/>
      <c r="I579" s="1487"/>
      <c r="J579" s="1487"/>
      <c r="K579" s="1487"/>
      <c r="L579" s="1487"/>
      <c r="M579" s="1487"/>
      <c r="N579" s="1487"/>
      <c r="O579" s="1487"/>
      <c r="P579" s="1487"/>
      <c r="Y579" s="1941"/>
    </row>
    <row r="580" spans="5:25">
      <c r="E580" s="1487"/>
      <c r="F580" s="1487"/>
      <c r="G580" s="1487"/>
      <c r="H580" s="1487"/>
      <c r="I580" s="1487"/>
      <c r="J580" s="1487"/>
      <c r="K580" s="1487"/>
      <c r="L580" s="1487"/>
      <c r="M580" s="1487"/>
      <c r="N580" s="1487"/>
      <c r="O580" s="1487"/>
      <c r="P580" s="1487"/>
      <c r="Y580" s="1941"/>
    </row>
    <row r="581" spans="5:25">
      <c r="E581" s="1487"/>
      <c r="F581" s="1487"/>
      <c r="G581" s="1487"/>
      <c r="H581" s="1487"/>
      <c r="I581" s="1487"/>
      <c r="J581" s="1487"/>
      <c r="K581" s="1487"/>
      <c r="L581" s="1487"/>
      <c r="M581" s="1487"/>
      <c r="N581" s="1487"/>
      <c r="O581" s="1487"/>
      <c r="P581" s="1487"/>
      <c r="Y581" s="1941"/>
    </row>
    <row r="582" spans="5:25">
      <c r="E582" s="1487"/>
      <c r="F582" s="1487"/>
      <c r="G582" s="1487"/>
      <c r="H582" s="1487"/>
      <c r="I582" s="1487"/>
      <c r="J582" s="1487"/>
      <c r="K582" s="1487"/>
      <c r="L582" s="1487"/>
      <c r="M582" s="1487"/>
      <c r="N582" s="1487"/>
      <c r="O582" s="1487"/>
      <c r="P582" s="1487"/>
      <c r="Y582" s="1941"/>
    </row>
    <row r="583" spans="5:25">
      <c r="E583" s="1487"/>
      <c r="F583" s="1487"/>
      <c r="G583" s="1487"/>
      <c r="H583" s="1487"/>
      <c r="I583" s="1487"/>
      <c r="J583" s="1487"/>
      <c r="K583" s="1487"/>
      <c r="L583" s="1487"/>
      <c r="M583" s="1487"/>
      <c r="N583" s="1487"/>
      <c r="O583" s="1487"/>
      <c r="P583" s="1487"/>
      <c r="Y583" s="1941"/>
    </row>
    <row r="584" spans="5:25">
      <c r="E584" s="1487"/>
      <c r="F584" s="1487"/>
      <c r="G584" s="1487"/>
      <c r="H584" s="1487"/>
      <c r="I584" s="1487"/>
      <c r="J584" s="1487"/>
      <c r="K584" s="1487"/>
      <c r="L584" s="1487"/>
      <c r="M584" s="1487"/>
      <c r="N584" s="1487"/>
      <c r="O584" s="1487"/>
      <c r="P584" s="1487"/>
      <c r="Y584" s="1941"/>
    </row>
    <row r="585" spans="5:25">
      <c r="E585" s="1487"/>
      <c r="F585" s="1487"/>
      <c r="G585" s="1487"/>
      <c r="H585" s="1487"/>
      <c r="I585" s="1487"/>
      <c r="J585" s="1487"/>
      <c r="K585" s="1487"/>
      <c r="L585" s="1487"/>
      <c r="M585" s="1487"/>
      <c r="N585" s="1487"/>
      <c r="O585" s="1487"/>
      <c r="P585" s="1487"/>
      <c r="Y585" s="1941"/>
    </row>
    <row r="586" spans="5:25">
      <c r="E586" s="1487"/>
      <c r="F586" s="1487"/>
      <c r="G586" s="1487"/>
      <c r="H586" s="1487"/>
      <c r="I586" s="1487"/>
      <c r="J586" s="1487"/>
      <c r="K586" s="1487"/>
      <c r="L586" s="1487"/>
      <c r="M586" s="1487"/>
      <c r="N586" s="1487"/>
      <c r="O586" s="1487"/>
      <c r="P586" s="1487"/>
      <c r="Y586" s="1941"/>
    </row>
    <row r="587" spans="5:25">
      <c r="E587" s="1487"/>
      <c r="F587" s="1487"/>
      <c r="G587" s="1487"/>
      <c r="H587" s="1487"/>
      <c r="I587" s="1487"/>
      <c r="J587" s="1487"/>
      <c r="K587" s="1487"/>
      <c r="L587" s="1487"/>
      <c r="M587" s="1487"/>
      <c r="N587" s="1487"/>
      <c r="O587" s="1487"/>
      <c r="P587" s="1487"/>
      <c r="Y587" s="1941"/>
    </row>
    <row r="588" spans="5:25">
      <c r="E588" s="1487"/>
      <c r="F588" s="1487"/>
      <c r="G588" s="1487"/>
      <c r="H588" s="1487"/>
      <c r="I588" s="1487"/>
      <c r="J588" s="1487"/>
      <c r="K588" s="1487"/>
      <c r="L588" s="1487"/>
      <c r="M588" s="1487"/>
      <c r="N588" s="1487"/>
      <c r="O588" s="1487"/>
      <c r="P588" s="1487"/>
      <c r="Y588" s="1941"/>
    </row>
    <row r="589" spans="5:25">
      <c r="E589" s="1487"/>
      <c r="F589" s="1487"/>
      <c r="G589" s="1487"/>
      <c r="H589" s="1487"/>
      <c r="I589" s="1487"/>
      <c r="J589" s="1487"/>
      <c r="K589" s="1487"/>
      <c r="L589" s="1487"/>
      <c r="M589" s="1487"/>
      <c r="N589" s="1487"/>
      <c r="O589" s="1487"/>
      <c r="P589" s="1487"/>
      <c r="Y589" s="1941"/>
    </row>
    <row r="590" spans="5:25">
      <c r="E590" s="1487"/>
      <c r="F590" s="1487"/>
      <c r="G590" s="1487"/>
      <c r="H590" s="1487"/>
      <c r="I590" s="1487"/>
      <c r="J590" s="1487"/>
      <c r="K590" s="1487"/>
      <c r="L590" s="1487"/>
      <c r="M590" s="1487"/>
      <c r="N590" s="1487"/>
      <c r="O590" s="1487"/>
      <c r="P590" s="1487"/>
      <c r="Y590" s="1941"/>
    </row>
    <row r="591" spans="5:25">
      <c r="E591" s="1487"/>
      <c r="F591" s="1487"/>
      <c r="G591" s="1487"/>
      <c r="H591" s="1487"/>
      <c r="I591" s="1487"/>
      <c r="J591" s="1487"/>
      <c r="K591" s="1487"/>
      <c r="L591" s="1487"/>
      <c r="M591" s="1487"/>
      <c r="N591" s="1487"/>
      <c r="O591" s="1487"/>
      <c r="P591" s="1487"/>
      <c r="Y591" s="1941"/>
    </row>
    <row r="592" spans="5:25">
      <c r="E592" s="1487"/>
      <c r="F592" s="1487"/>
      <c r="G592" s="1487"/>
      <c r="H592" s="1487"/>
      <c r="I592" s="1487"/>
      <c r="J592" s="1487"/>
      <c r="K592" s="1487"/>
      <c r="L592" s="1487"/>
      <c r="M592" s="1487"/>
      <c r="N592" s="1487"/>
      <c r="O592" s="1487"/>
      <c r="P592" s="1487"/>
      <c r="Y592" s="1941"/>
    </row>
    <row r="593" spans="5:25">
      <c r="E593" s="1487"/>
      <c r="F593" s="1487"/>
      <c r="G593" s="1487"/>
      <c r="H593" s="1487"/>
      <c r="I593" s="1487"/>
      <c r="J593" s="1487"/>
      <c r="K593" s="1487"/>
      <c r="L593" s="1487"/>
      <c r="M593" s="1487"/>
      <c r="N593" s="1487"/>
      <c r="O593" s="1487"/>
      <c r="P593" s="1487"/>
      <c r="Y593" s="1941"/>
    </row>
    <row r="594" spans="5:25">
      <c r="E594" s="1487"/>
      <c r="F594" s="1487"/>
      <c r="G594" s="1487"/>
      <c r="H594" s="1487"/>
      <c r="I594" s="1487"/>
      <c r="J594" s="1487"/>
      <c r="K594" s="1487"/>
      <c r="L594" s="1487"/>
      <c r="M594" s="1487"/>
      <c r="N594" s="1487"/>
      <c r="O594" s="1487"/>
      <c r="P594" s="1487"/>
      <c r="Y594" s="1941"/>
    </row>
    <row r="595" spans="5:25">
      <c r="E595" s="1487"/>
      <c r="F595" s="1487"/>
      <c r="G595" s="1487"/>
      <c r="H595" s="1487"/>
      <c r="I595" s="1487"/>
      <c r="J595" s="1487"/>
      <c r="K595" s="1487"/>
      <c r="L595" s="1487"/>
      <c r="M595" s="1487"/>
      <c r="N595" s="1487"/>
      <c r="O595" s="1487"/>
      <c r="P595" s="1487"/>
      <c r="Y595" s="1941"/>
    </row>
    <row r="596" spans="5:25">
      <c r="E596" s="1487"/>
      <c r="F596" s="1487"/>
      <c r="G596" s="1487"/>
      <c r="H596" s="1487"/>
      <c r="I596" s="1487"/>
      <c r="J596" s="1487"/>
      <c r="K596" s="1487"/>
      <c r="L596" s="1487"/>
      <c r="M596" s="1487"/>
      <c r="N596" s="1487"/>
      <c r="O596" s="1487"/>
      <c r="P596" s="1487"/>
      <c r="Y596" s="1941"/>
    </row>
    <row r="597" spans="5:25">
      <c r="E597" s="1487"/>
      <c r="F597" s="1487"/>
      <c r="G597" s="1487"/>
      <c r="H597" s="1487"/>
      <c r="I597" s="1487"/>
      <c r="J597" s="1487"/>
      <c r="K597" s="1487"/>
      <c r="L597" s="1487"/>
      <c r="M597" s="1487"/>
      <c r="N597" s="1487"/>
      <c r="O597" s="1487"/>
      <c r="P597" s="1487"/>
      <c r="Y597" s="1941"/>
    </row>
    <row r="598" spans="5:25">
      <c r="E598" s="1487"/>
      <c r="F598" s="1487"/>
      <c r="G598" s="1487"/>
      <c r="H598" s="1487"/>
      <c r="I598" s="1487"/>
      <c r="J598" s="1487"/>
      <c r="K598" s="1487"/>
      <c r="L598" s="1487"/>
      <c r="M598" s="1487"/>
      <c r="N598" s="1487"/>
      <c r="O598" s="1487"/>
      <c r="P598" s="1487"/>
      <c r="Y598" s="1941"/>
    </row>
    <row r="599" spans="5:25">
      <c r="E599" s="1487"/>
      <c r="F599" s="1487"/>
      <c r="G599" s="1487"/>
      <c r="H599" s="1487"/>
      <c r="I599" s="1487"/>
      <c r="J599" s="1487"/>
      <c r="K599" s="1487"/>
      <c r="L599" s="1487"/>
      <c r="M599" s="1487"/>
      <c r="N599" s="1487"/>
      <c r="O599" s="1487"/>
      <c r="P599" s="1487"/>
      <c r="Y599" s="1941"/>
    </row>
    <row r="600" spans="5:25">
      <c r="E600" s="1487"/>
      <c r="F600" s="1487"/>
      <c r="G600" s="1487"/>
      <c r="H600" s="1487"/>
      <c r="I600" s="1487"/>
      <c r="J600" s="1487"/>
      <c r="K600" s="1487"/>
      <c r="L600" s="1487"/>
      <c r="M600" s="1487"/>
      <c r="N600" s="1487"/>
      <c r="O600" s="1487"/>
      <c r="P600" s="1487"/>
      <c r="Y600" s="1941"/>
    </row>
    <row r="601" spans="5:25">
      <c r="E601" s="1487"/>
      <c r="F601" s="1487"/>
      <c r="G601" s="1487"/>
      <c r="H601" s="1487"/>
      <c r="I601" s="1487"/>
      <c r="J601" s="1487"/>
      <c r="K601" s="1487"/>
      <c r="L601" s="1487"/>
      <c r="M601" s="1487"/>
      <c r="N601" s="1487"/>
      <c r="O601" s="1487"/>
      <c r="P601" s="1487"/>
      <c r="Y601" s="1941"/>
    </row>
    <row r="602" spans="5:25">
      <c r="E602" s="1487"/>
      <c r="F602" s="1487"/>
      <c r="G602" s="1487"/>
      <c r="H602" s="1487"/>
      <c r="I602" s="1487"/>
      <c r="J602" s="1487"/>
      <c r="K602" s="1487"/>
      <c r="L602" s="1487"/>
      <c r="M602" s="1487"/>
      <c r="N602" s="1487"/>
      <c r="O602" s="1487"/>
      <c r="P602" s="1487"/>
      <c r="Y602" s="1941"/>
    </row>
    <row r="603" spans="5:25">
      <c r="E603" s="1487"/>
      <c r="F603" s="1487"/>
      <c r="G603" s="1487"/>
      <c r="H603" s="1487"/>
      <c r="I603" s="1487"/>
      <c r="J603" s="1487"/>
      <c r="K603" s="1487"/>
      <c r="L603" s="1487"/>
      <c r="M603" s="1487"/>
      <c r="N603" s="1487"/>
      <c r="O603" s="1487"/>
      <c r="P603" s="1487"/>
      <c r="Y603" s="1941"/>
    </row>
    <row r="604" spans="5:25">
      <c r="E604" s="1487"/>
      <c r="F604" s="1487"/>
      <c r="G604" s="1487"/>
      <c r="H604" s="1487"/>
      <c r="I604" s="1487"/>
      <c r="J604" s="1487"/>
      <c r="K604" s="1487"/>
      <c r="L604" s="1487"/>
      <c r="M604" s="1487"/>
      <c r="N604" s="1487"/>
      <c r="O604" s="1487"/>
      <c r="P604" s="1487"/>
      <c r="Y604" s="1941"/>
    </row>
    <row r="605" spans="5:25">
      <c r="E605" s="1487"/>
      <c r="F605" s="1487"/>
      <c r="G605" s="1487"/>
      <c r="H605" s="1487"/>
      <c r="I605" s="1487"/>
      <c r="J605" s="1487"/>
      <c r="K605" s="1487"/>
      <c r="L605" s="1487"/>
      <c r="M605" s="1487"/>
      <c r="N605" s="1487"/>
      <c r="O605" s="1487"/>
      <c r="P605" s="1487"/>
      <c r="Y605" s="1941"/>
    </row>
    <row r="606" spans="5:25">
      <c r="E606" s="1487"/>
      <c r="F606" s="1487"/>
      <c r="G606" s="1487"/>
      <c r="H606" s="1487"/>
      <c r="I606" s="1487"/>
      <c r="J606" s="1487"/>
      <c r="K606" s="1487"/>
      <c r="L606" s="1487"/>
      <c r="M606" s="1487"/>
      <c r="N606" s="1487"/>
      <c r="O606" s="1487"/>
      <c r="P606" s="1487"/>
      <c r="Y606" s="1941"/>
    </row>
    <row r="607" spans="5:25">
      <c r="E607" s="1487"/>
      <c r="F607" s="1487"/>
      <c r="G607" s="1487"/>
      <c r="H607" s="1487"/>
      <c r="I607" s="1487"/>
      <c r="J607" s="1487"/>
      <c r="K607" s="1487"/>
      <c r="L607" s="1487"/>
      <c r="M607" s="1487"/>
      <c r="N607" s="1487"/>
      <c r="O607" s="1487"/>
      <c r="P607" s="1487"/>
      <c r="Y607" s="1941"/>
    </row>
    <row r="608" spans="5:25">
      <c r="E608" s="1487"/>
      <c r="F608" s="1487"/>
      <c r="G608" s="1487"/>
      <c r="H608" s="1487"/>
      <c r="I608" s="1487"/>
      <c r="J608" s="1487"/>
      <c r="K608" s="1487"/>
      <c r="L608" s="1487"/>
      <c r="M608" s="1487"/>
      <c r="N608" s="1487"/>
      <c r="O608" s="1487"/>
      <c r="P608" s="1487"/>
      <c r="Y608" s="1941"/>
    </row>
    <row r="609" spans="5:25">
      <c r="E609" s="1487"/>
      <c r="F609" s="1487"/>
      <c r="G609" s="1487"/>
      <c r="H609" s="1487"/>
      <c r="I609" s="1487"/>
      <c r="J609" s="1487"/>
      <c r="K609" s="1487"/>
      <c r="L609" s="1487"/>
      <c r="M609" s="1487"/>
      <c r="N609" s="1487"/>
      <c r="O609" s="1487"/>
      <c r="P609" s="1487"/>
      <c r="Y609" s="1941"/>
    </row>
    <row r="610" spans="5:25">
      <c r="E610" s="1487"/>
      <c r="F610" s="1487"/>
      <c r="G610" s="1487"/>
      <c r="H610" s="1487"/>
      <c r="I610" s="1487"/>
      <c r="J610" s="1487"/>
      <c r="K610" s="1487"/>
      <c r="L610" s="1487"/>
      <c r="M610" s="1487"/>
      <c r="N610" s="1487"/>
      <c r="O610" s="1487"/>
      <c r="P610" s="1487"/>
      <c r="Y610" s="1941"/>
    </row>
    <row r="611" spans="5:25">
      <c r="E611" s="1487"/>
      <c r="F611" s="1487"/>
      <c r="G611" s="1487"/>
      <c r="H611" s="1487"/>
      <c r="I611" s="1487"/>
      <c r="J611" s="1487"/>
      <c r="K611" s="1487"/>
      <c r="L611" s="1487"/>
      <c r="M611" s="1487"/>
      <c r="N611" s="1487"/>
      <c r="O611" s="1487"/>
      <c r="P611" s="1487"/>
      <c r="Y611" s="1941"/>
    </row>
    <row r="612" spans="5:25">
      <c r="E612" s="1487"/>
      <c r="F612" s="1487"/>
      <c r="G612" s="1487"/>
      <c r="H612" s="1487"/>
      <c r="I612" s="1487"/>
      <c r="J612" s="1487"/>
      <c r="K612" s="1487"/>
      <c r="L612" s="1487"/>
      <c r="M612" s="1487"/>
      <c r="N612" s="1487"/>
      <c r="O612" s="1487"/>
      <c r="P612" s="1487"/>
      <c r="Y612" s="1941"/>
    </row>
    <row r="613" spans="5:25">
      <c r="E613" s="1487"/>
      <c r="F613" s="1487"/>
      <c r="G613" s="1487"/>
      <c r="H613" s="1487"/>
      <c r="I613" s="1487"/>
      <c r="J613" s="1487"/>
      <c r="K613" s="1487"/>
      <c r="L613" s="1487"/>
      <c r="M613" s="1487"/>
      <c r="N613" s="1487"/>
      <c r="O613" s="1487"/>
      <c r="P613" s="1487"/>
      <c r="Y613" s="1941"/>
    </row>
    <row r="614" spans="5:25">
      <c r="E614" s="1487"/>
      <c r="F614" s="1487"/>
      <c r="G614" s="1487"/>
      <c r="H614" s="1487"/>
      <c r="I614" s="1487"/>
      <c r="J614" s="1487"/>
      <c r="K614" s="1487"/>
      <c r="L614" s="1487"/>
      <c r="M614" s="1487"/>
      <c r="N614" s="1487"/>
      <c r="O614" s="1487"/>
      <c r="P614" s="1487"/>
      <c r="Y614" s="1941"/>
    </row>
  </sheetData>
  <mergeCells count="135">
    <mergeCell ref="X182:X184"/>
    <mergeCell ref="C183:C184"/>
    <mergeCell ref="A78:A86"/>
    <mergeCell ref="Y78:Y86"/>
    <mergeCell ref="C85:C86"/>
    <mergeCell ref="X84:X86"/>
    <mergeCell ref="C80:C83"/>
    <mergeCell ref="C107:C110"/>
    <mergeCell ref="Y105:Y110"/>
    <mergeCell ref="Y111:Y113"/>
    <mergeCell ref="C112:C113"/>
    <mergeCell ref="X111:X113"/>
    <mergeCell ref="Y138:Y140"/>
    <mergeCell ref="Y132:Y137"/>
    <mergeCell ref="Y141:Y146"/>
    <mergeCell ref="Y147:Y149"/>
    <mergeCell ref="A114:A122"/>
    <mergeCell ref="Y114:Y119"/>
    <mergeCell ref="C116:C119"/>
    <mergeCell ref="X120:X122"/>
    <mergeCell ref="Y120:Y122"/>
    <mergeCell ref="C121:C122"/>
    <mergeCell ref="C125:C128"/>
    <mergeCell ref="Y129:Y131"/>
    <mergeCell ref="A219:A222"/>
    <mergeCell ref="Y219:Y222"/>
    <mergeCell ref="C221:C222"/>
    <mergeCell ref="Y215:Y218"/>
    <mergeCell ref="C217:C218"/>
    <mergeCell ref="C208:C211"/>
    <mergeCell ref="Y204:Y214"/>
    <mergeCell ref="X212:X214"/>
    <mergeCell ref="A141:A149"/>
    <mergeCell ref="C143:C146"/>
    <mergeCell ref="X147:X149"/>
    <mergeCell ref="A150:A162"/>
    <mergeCell ref="X160:X162"/>
    <mergeCell ref="C161:C162"/>
    <mergeCell ref="A163:A171"/>
    <mergeCell ref="C165:C168"/>
    <mergeCell ref="X169:X171"/>
    <mergeCell ref="C170:C171"/>
    <mergeCell ref="Y150:Y162"/>
    <mergeCell ref="Y163:Y171"/>
    <mergeCell ref="A172:A184"/>
    <mergeCell ref="Y172:Y184"/>
    <mergeCell ref="C174:C179"/>
    <mergeCell ref="C152:C159"/>
    <mergeCell ref="A123:A131"/>
    <mergeCell ref="C130:C131"/>
    <mergeCell ref="X129:X131"/>
    <mergeCell ref="A71:A77"/>
    <mergeCell ref="Y71:Y77"/>
    <mergeCell ref="C73:C74"/>
    <mergeCell ref="C76:C77"/>
    <mergeCell ref="X75:X77"/>
    <mergeCell ref="Y124:Y128"/>
    <mergeCell ref="A64:A70"/>
    <mergeCell ref="Y64:Y70"/>
    <mergeCell ref="C66:C67"/>
    <mergeCell ref="C69:C70"/>
    <mergeCell ref="X68:X70"/>
    <mergeCell ref="A55:A63"/>
    <mergeCell ref="Y55:Y63"/>
    <mergeCell ref="C62:C63"/>
    <mergeCell ref="C57:C60"/>
    <mergeCell ref="X61:X63"/>
    <mergeCell ref="A48:A54"/>
    <mergeCell ref="Y48:Y54"/>
    <mergeCell ref="C50:C51"/>
    <mergeCell ref="C53:C54"/>
    <mergeCell ref="X52:X54"/>
    <mergeCell ref="A39:A47"/>
    <mergeCell ref="Y39:Y47"/>
    <mergeCell ref="C41:C44"/>
    <mergeCell ref="C46:C47"/>
    <mergeCell ref="X45:X47"/>
    <mergeCell ref="A30:A38"/>
    <mergeCell ref="Y30:Y38"/>
    <mergeCell ref="C32:C35"/>
    <mergeCell ref="C37:C38"/>
    <mergeCell ref="X36:X38"/>
    <mergeCell ref="A21:A29"/>
    <mergeCell ref="Y21:Y29"/>
    <mergeCell ref="C23:C26"/>
    <mergeCell ref="C28:C29"/>
    <mergeCell ref="X17:X20"/>
    <mergeCell ref="X27:X29"/>
    <mergeCell ref="A3:Y3"/>
    <mergeCell ref="B4:B6"/>
    <mergeCell ref="C4:C6"/>
    <mergeCell ref="D4:D6"/>
    <mergeCell ref="E4:L5"/>
    <mergeCell ref="Y4:Y6"/>
    <mergeCell ref="X4:X6"/>
    <mergeCell ref="M4:M5"/>
    <mergeCell ref="O4:O5"/>
    <mergeCell ref="P4:P5"/>
    <mergeCell ref="Q4:W5"/>
    <mergeCell ref="A231:Y232"/>
    <mergeCell ref="A87:A95"/>
    <mergeCell ref="Y87:Y95"/>
    <mergeCell ref="C94:C95"/>
    <mergeCell ref="X93:X95"/>
    <mergeCell ref="A223:A229"/>
    <mergeCell ref="Y223:Y229"/>
    <mergeCell ref="C225:C226"/>
    <mergeCell ref="C228:C229"/>
    <mergeCell ref="X227:X229"/>
    <mergeCell ref="A96:A104"/>
    <mergeCell ref="C103:C104"/>
    <mergeCell ref="C98:C101"/>
    <mergeCell ref="X102:X104"/>
    <mergeCell ref="A105:A113"/>
    <mergeCell ref="A215:A218"/>
    <mergeCell ref="C89:C92"/>
    <mergeCell ref="A132:A140"/>
    <mergeCell ref="C134:C137"/>
    <mergeCell ref="X138:X140"/>
    <mergeCell ref="C139:C140"/>
    <mergeCell ref="Y96:Y101"/>
    <mergeCell ref="Y102:Y104"/>
    <mergeCell ref="C148:C149"/>
    <mergeCell ref="A185:A193"/>
    <mergeCell ref="C187:C190"/>
    <mergeCell ref="X191:X193"/>
    <mergeCell ref="C192:C193"/>
    <mergeCell ref="A194:A202"/>
    <mergeCell ref="C196:C199"/>
    <mergeCell ref="X200:X202"/>
    <mergeCell ref="C201:C202"/>
    <mergeCell ref="Y185:Y190"/>
    <mergeCell ref="Y191:Y193"/>
    <mergeCell ref="Y194:Y199"/>
    <mergeCell ref="Y200:Y202"/>
  </mergeCells>
  <printOptions horizontalCentered="1"/>
  <pageMargins left="0.23622047244094491" right="0.23622047244094491" top="0.51181102362204722" bottom="0.35433070866141736" header="0.19685039370078741" footer="0.11811023622047245"/>
  <pageSetup paperSize="9" scale="69" firstPageNumber="42" orientation="landscape" useFirstPageNumber="1" r:id="rId1"/>
  <headerFooter alignWithMargins="0">
    <oddHeader>&amp;C&amp;"Arial,Kursywa"Wieloletnia prognoza finansowa Województwa Zachodniopomorskiego na lata 2017-2038&amp;"Arial,Normalny"
_______________________________________________________________________________________________________________________</oddHeader>
    <oddFooter>&amp;C&amp;9&amp;P</oddFooter>
  </headerFooter>
  <rowBreaks count="3" manualBreakCount="3">
    <brk id="122" max="24" man="1"/>
    <brk id="162" max="24" man="1"/>
    <brk id="202" max="2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11</vt:i4>
      </vt:variant>
      <vt:variant>
        <vt:lpstr>Zakresy nazwane</vt:lpstr>
      </vt:variant>
      <vt:variant>
        <vt:i4>19</vt:i4>
      </vt:variant>
    </vt:vector>
  </HeadingPairs>
  <TitlesOfParts>
    <vt:vector size="30" baseType="lpstr">
      <vt:lpstr>Tabela nr 6</vt:lpstr>
      <vt:lpstr>Tab. 6A -Drogi</vt:lpstr>
      <vt:lpstr>Tab. 6B Polit społ i rozwój prz</vt:lpstr>
      <vt:lpstr>Tab. 6C - Ochrona zdrowia</vt:lpstr>
      <vt:lpstr>Tab. 6D - Oświata</vt:lpstr>
      <vt:lpstr>Tab. 6E - Administracja</vt:lpstr>
      <vt:lpstr>Tab. 6F - Kultura</vt:lpstr>
      <vt:lpstr>Tab. 6G - Roln i ochrona środ.</vt:lpstr>
      <vt:lpstr>Tab. 6H - Kultura fiz. i turyst</vt:lpstr>
      <vt:lpstr>Tab.6I - Planow. przestrz.</vt:lpstr>
      <vt:lpstr>projekty UE</vt:lpstr>
      <vt:lpstr>'Tab. 6A -Drogi'!Obszar_wydruku</vt:lpstr>
      <vt:lpstr>'Tab. 6B Polit społ i rozwój prz'!Obszar_wydruku</vt:lpstr>
      <vt:lpstr>'Tab. 6C - Ochrona zdrowia'!Obszar_wydruku</vt:lpstr>
      <vt:lpstr>'Tab. 6D - Oświata'!Obszar_wydruku</vt:lpstr>
      <vt:lpstr>'Tab. 6E - Administracja'!Obszar_wydruku</vt:lpstr>
      <vt:lpstr>'Tab. 6F - Kultura'!Obszar_wydruku</vt:lpstr>
      <vt:lpstr>'Tab. 6G - Roln i ochrona środ.'!Obszar_wydruku</vt:lpstr>
      <vt:lpstr>'Tab. 6H - Kultura fiz. i turyst'!Obszar_wydruku</vt:lpstr>
      <vt:lpstr>'Tab.6I - Planow. przestrz.'!Obszar_wydruku</vt:lpstr>
      <vt:lpstr>'Tabela nr 6'!Obszar_wydruku</vt:lpstr>
      <vt:lpstr>'Tab. 6A -Drogi'!Tytuły_wydruku</vt:lpstr>
      <vt:lpstr>'Tab. 6B Polit społ i rozwój prz'!Tytuły_wydruku</vt:lpstr>
      <vt:lpstr>'Tab. 6C - Ochrona zdrowia'!Tytuły_wydruku</vt:lpstr>
      <vt:lpstr>'Tab. 6D - Oświata'!Tytuły_wydruku</vt:lpstr>
      <vt:lpstr>'Tab. 6E - Administracja'!Tytuły_wydruku</vt:lpstr>
      <vt:lpstr>'Tab. 6F - Kultura'!Tytuły_wydruku</vt:lpstr>
      <vt:lpstr>'Tab. 6G - Roln i ochrona środ.'!Tytuły_wydruku</vt:lpstr>
      <vt:lpstr>'Tab. 6H - Kultura fiz. i turyst'!Tytuły_wydruku</vt:lpstr>
      <vt:lpstr>'Tab.6I - Planow. przestrz.'!Tytuły_wydruku</vt:lpstr>
    </vt:vector>
  </TitlesOfParts>
  <Company>Urząd Marszałkowski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Magdalena Nowocień</dc:creator>
  <cp:lastModifiedBy>Monika Tomaszewska</cp:lastModifiedBy>
  <cp:lastPrinted>2017-04-18T12:57:27Z</cp:lastPrinted>
  <dcterms:created xsi:type="dcterms:W3CDTF">2015-01-20T07:24:04Z</dcterms:created>
  <dcterms:modified xsi:type="dcterms:W3CDTF">2017-05-04T10:34:57Z</dcterms:modified>
</cp:coreProperties>
</file>